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wmf" ContentType="image/x-wm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9.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0.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3.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6.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7.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8.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1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0.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21.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22.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23.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24.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drawings/drawing25.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26.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27.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28.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drawings/drawing29.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drawings/drawing30.xml" ContentType="application/vnd.openxmlformats-officedocument.drawing+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31.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drawings/drawing3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drawings/drawing33.xml" ContentType="application/vnd.openxmlformats-officedocument.drawing+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drawings/drawing34.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drawings/drawing35.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36.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drawings/drawing37.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drawings/drawing38.xml" ContentType="application/vnd.openxmlformats-officedocument.drawing+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drawings/drawing39.xml" ContentType="application/vnd.openxmlformats-officedocument.drawing+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40.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drawings/drawing41.xml" ContentType="application/vnd.openxmlformats-officedocument.drawing+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drawings/drawing42.xml" ContentType="application/vnd.openxmlformats-officedocument.drawing+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drawings/drawing43.xml" ContentType="application/vnd.openxmlformats-officedocument.drawing+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drawings/drawing44.xml" ContentType="application/vnd.openxmlformats-officedocument.drawing+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drawings/drawing45.xml" ContentType="application/vnd.openxmlformats-officedocument.drawing+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drawings/drawing46.xml" ContentType="application/vnd.openxmlformats-officedocument.drawing+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drawings/drawing47.xml" ContentType="application/vnd.openxmlformats-officedocument.drawing+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drawings/drawing48.xml" ContentType="application/vnd.openxmlformats-officedocument.drawing+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drawings/drawing49.xml" ContentType="application/vnd.openxmlformats-officedocument.drawing+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drawings/drawing50.xml" ContentType="application/vnd.openxmlformats-officedocument.drawing+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drawings/drawing51.xml" ContentType="application/vnd.openxmlformats-officedocument.drawing+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drawings/drawing52.xml" ContentType="application/vnd.openxmlformats-officedocument.drawing+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drawings/drawing53.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drawings/drawing54.xml" ContentType="application/vnd.openxmlformats-officedocument.drawing+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drawings/drawing55.xml" ContentType="application/vnd.openxmlformats-officedocument.drawing+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56.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drawings/drawing57.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drawings/drawing58.xml" ContentType="application/vnd.openxmlformats-officedocument.drawing+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drawings/drawing59.xml" ContentType="application/vnd.openxmlformats-officedocument.drawing+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drawings/drawing60.xml" ContentType="application/vnd.openxmlformats-officedocument.drawing+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drawings/drawing61.xml" ContentType="application/vnd.openxmlformats-officedocument.drawing+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drawings/drawing62.xml" ContentType="application/vnd.openxmlformats-officedocument.drawing+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drawings/drawing63.xml" ContentType="application/vnd.openxmlformats-officedocument.drawing+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drawings/drawing64.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drawings/drawing65.xml" ContentType="application/vnd.openxmlformats-officedocument.drawing+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drawings/drawing66.xml" ContentType="application/vnd.openxmlformats-officedocument.drawing+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drawings/drawing67.xml" ContentType="application/vnd.openxmlformats-officedocument.drawing+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drawings/drawing68.xml" ContentType="application/vnd.openxmlformats-officedocument.drawing+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drawings/drawing69.xml" ContentType="application/vnd.openxmlformats-officedocument.drawing+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drawings/drawing70.xml" ContentType="application/vnd.openxmlformats-officedocument.drawing+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drawings/drawing71.xml" ContentType="application/vnd.openxmlformats-officedocument.drawing+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drawings/drawing72.xml" ContentType="application/vnd.openxmlformats-officedocument.drawing+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drawings/drawing73.xml" ContentType="application/vnd.openxmlformats-officedocument.drawing+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drawings/drawing74.xml" ContentType="application/vnd.openxmlformats-officedocument.drawing+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drawings/drawing75.xml" ContentType="application/vnd.openxmlformats-officedocument.drawing+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drawings/drawing76.xml" ContentType="application/vnd.openxmlformats-officedocument.drawing+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drawings/drawing77.xml" ContentType="application/vnd.openxmlformats-officedocument.drawing+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drawings/drawing78.xml" ContentType="application/vnd.openxmlformats-officedocument.drawing+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drawings/drawing79.xml" ContentType="application/vnd.openxmlformats-officedocument.drawing+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drawings/drawing80.xml" ContentType="application/vnd.openxmlformats-officedocument.drawing+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drawings/drawing81.xml" ContentType="application/vnd.openxmlformats-officedocument.drawing+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drawings/drawing82.xml" ContentType="application/vnd.openxmlformats-officedocument.drawing+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drawings/drawing83.xml" ContentType="application/vnd.openxmlformats-officedocument.drawing+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drawings/drawing84.xml" ContentType="application/vnd.openxmlformats-officedocument.drawing+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drawings/drawing85.xml" ContentType="application/vnd.openxmlformats-officedocument.drawing+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drawings/drawing86.xml" ContentType="application/vnd.openxmlformats-officedocument.drawing+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87.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drawings/drawing88.xml" ContentType="application/vnd.openxmlformats-officedocument.drawing+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drawings/drawing89.xml" ContentType="application/vnd.openxmlformats-officedocument.drawing+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drawings/drawing90.xml" ContentType="application/vnd.openxmlformats-officedocument.drawing+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drawings/drawing91.xml" ContentType="application/vnd.openxmlformats-officedocument.drawing+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drawings/drawing92.xml" ContentType="application/vnd.openxmlformats-officedocument.drawing+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drawings/drawing93.xml" ContentType="application/vnd.openxmlformats-officedocument.drawing+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drawings/drawing94.xml" ContentType="application/vnd.openxmlformats-officedocument.drawing+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drawings/drawing95.xml" ContentType="application/vnd.openxmlformats-officedocument.drawing+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drawings/drawing96.xml" ContentType="application/vnd.openxmlformats-officedocument.drawing+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drawings/drawing97.xml" ContentType="application/vnd.openxmlformats-officedocument.drawing+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drawings/drawing98.xml" ContentType="application/vnd.openxmlformats-officedocument.drawing+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drawings/drawing99.xml" ContentType="application/vnd.openxmlformats-officedocument.drawing+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drawings/drawing100.xml" ContentType="application/vnd.openxmlformats-officedocument.drawing+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drawings/drawing101.xml" ContentType="application/vnd.openxmlformats-officedocument.drawing+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519" codeName="{00000000-0000-0000-0000-000000000000}"/>
  <fileSharing readOnlyRecommended="1"/>
  <workbookPr showInkAnnotation="0" codeName="ThisWorkbook" checkCompatibility="1" autoCompressPictures="0"/>
  <bookViews>
    <workbookView xWindow="160" yWindow="0" windowWidth="25600" windowHeight="19820" tabRatio="773"/>
  </bookViews>
  <sheets>
    <sheet name="Overview" sheetId="87" r:id="rId1"/>
    <sheet name="Absolute Breadth Index" sheetId="1" r:id="rId2"/>
    <sheet name="Accumulation Distribution" sheetId="2" r:id="rId3"/>
    <sheet name="Accumulation Swing Index" sheetId="89" r:id="rId4"/>
    <sheet name="AD Line" sheetId="3" r:id="rId5"/>
    <sheet name="AD Ratio" sheetId="4" r:id="rId6"/>
    <sheet name="Advancing - Declining Issues" sheetId="5" r:id="rId7"/>
    <sheet name="Arms Index" sheetId="6" r:id="rId8"/>
    <sheet name="Aroon" sheetId="7" r:id="rId9"/>
    <sheet name="Average True Range" sheetId="8" r:id="rId10"/>
    <sheet name="Bollinger Bands" sheetId="83" r:id="rId11"/>
    <sheet name="Breadth Thrust" sheetId="9" r:id="rId12"/>
    <sheet name="Bull|Bear Ratio" sheetId="10" r:id="rId13"/>
    <sheet name="Chaikin Money Flow" sheetId="11" r:id="rId14"/>
    <sheet name="Chaikin Oscillator" sheetId="12" r:id="rId15"/>
    <sheet name="Chande Momentum Oscillator" sheetId="13" r:id="rId16"/>
    <sheet name="Commodity Channel Index" sheetId="93" r:id="rId17"/>
    <sheet name="Commodity Selection Index" sheetId="91" r:id="rId18"/>
    <sheet name="Correlation" sheetId="82" r:id="rId19"/>
    <sheet name="Cumulative Volume Index" sheetId="14" r:id="rId20"/>
    <sheet name="DEMA and TEMA" sheetId="98" r:id="rId21"/>
    <sheet name="Detrended Price Oscillator" sheetId="15" r:id="rId22"/>
    <sheet name="Directional Movement Indicators" sheetId="88" r:id="rId23"/>
    <sheet name="Dynamic Momentum Index" sheetId="100" r:id="rId24"/>
    <sheet name="Ease of Movement" sheetId="16" r:id="rId25"/>
    <sheet name="Envelopes" sheetId="17" r:id="rId26"/>
    <sheet name="Forecast Oscillator" sheetId="18" r:id="rId27"/>
    <sheet name="Inertia" sheetId="102" r:id="rId28"/>
    <sheet name="Intraday Momentum Index" sheetId="21" r:id="rId29"/>
    <sheet name="Klinger Oscillator" sheetId="101" r:id="rId30"/>
    <sheet name="Large Block Ratio" sheetId="22" r:id="rId31"/>
    <sheet name="Linear Regression Indicator" sheetId="23" r:id="rId32"/>
    <sheet name="Linear Regression Trendline" sheetId="24" r:id="rId33"/>
    <sheet name="Linear Regression Slope" sheetId="25" r:id="rId34"/>
    <sheet name="MACD" sheetId="26" r:id="rId35"/>
    <sheet name="Market Facilitation Index" sheetId="27" r:id="rId36"/>
    <sheet name="Mass Index" sheetId="28" r:id="rId37"/>
    <sheet name="McClellan Oscillator" sheetId="29" r:id="rId38"/>
    <sheet name="McClellan Summation" sheetId="30" r:id="rId39"/>
    <sheet name="Median Price" sheetId="31" r:id="rId40"/>
    <sheet name="Member Short Ratio" sheetId="32" r:id="rId41"/>
    <sheet name="Momentum" sheetId="33" r:id="rId42"/>
    <sheet name="Money Flow Index" sheetId="34" r:id="rId43"/>
    <sheet name="Moving Average - Exponential" sheetId="109" r:id="rId44"/>
    <sheet name="Moving Average - Simple" sheetId="35" r:id="rId45"/>
    <sheet name="Moving Average - Time Series" sheetId="106" r:id="rId46"/>
    <sheet name="Moving Average - Triangular" sheetId="107" r:id="rId47"/>
    <sheet name="Moving Average - Variable" sheetId="110" r:id="rId48"/>
    <sheet name="Moving Average - Volume Adjustd" sheetId="105" r:id="rId49"/>
    <sheet name="Moving Average - Weighted" sheetId="108" r:id="rId50"/>
    <sheet name="Negative Volume Index" sheetId="36" r:id="rId51"/>
    <sheet name="New Highs - Lows Cumulative" sheetId="37" r:id="rId52"/>
    <sheet name="New Highs - New Lows" sheetId="38" r:id="rId53"/>
    <sheet name="New Highs | New Lows Ratio" sheetId="39" r:id="rId54"/>
    <sheet name="Odd Lot Balance Index" sheetId="40" r:id="rId55"/>
    <sheet name="Odd Lot Short Ratio" sheetId="41" r:id="rId56"/>
    <sheet name="On Balance Volume" sheetId="42" r:id="rId57"/>
    <sheet name="Open-10 TRIN" sheetId="81" r:id="rId58"/>
    <sheet name="Overbought|Oversold" sheetId="80" r:id="rId59"/>
    <sheet name="Parabolic SAR" sheetId="92" r:id="rId60"/>
    <sheet name="Performance" sheetId="43" r:id="rId61"/>
    <sheet name="Positive Volume Index" sheetId="72" r:id="rId62"/>
    <sheet name="Price Channels" sheetId="44" r:id="rId63"/>
    <sheet name="Price Oscillator" sheetId="73" r:id="rId64"/>
    <sheet name="Price ROC" sheetId="74" r:id="rId65"/>
    <sheet name="Price and Volume Trend" sheetId="75" r:id="rId66"/>
    <sheet name="Projection Bands &amp; Oscillator" sheetId="46" r:id="rId67"/>
    <sheet name="Public Short Ratio" sheetId="47" r:id="rId68"/>
    <sheet name="Puts|Calls Ratio" sheetId="48" r:id="rId69"/>
    <sheet name="QStick" sheetId="49" r:id="rId70"/>
    <sheet name="r-squared" sheetId="50" r:id="rId71"/>
    <sheet name="Raff Regression Channel" sheetId="51" r:id="rId72"/>
    <sheet name="Range Indicator" sheetId="96" r:id="rId73"/>
    <sheet name="Relative Momentum Index" sheetId="53" r:id="rId74"/>
    <sheet name="Relative Strength, Comparative" sheetId="103" r:id="rId75"/>
    <sheet name="Relative Strength Index" sheetId="54" r:id="rId76"/>
    <sheet name="Relative Voltlty Idx &amp; Inertia" sheetId="55" r:id="rId77"/>
    <sheet name="Standard Deviation" sheetId="76" r:id="rId78"/>
    <sheet name="Standard Deviation Channel" sheetId="56" r:id="rId79"/>
    <sheet name="Standard Error" sheetId="86" r:id="rId80"/>
    <sheet name="Standard Error Bands" sheetId="57" r:id="rId81"/>
    <sheet name="Standard Error Channel" sheetId="58" r:id="rId82"/>
    <sheet name="STIX" sheetId="59" r:id="rId83"/>
    <sheet name="Stochastic Momentum Index" sheetId="60" r:id="rId84"/>
    <sheet name="Stochastic Oscillator" sheetId="85" r:id="rId85"/>
    <sheet name="Swing Index" sheetId="90" r:id="rId86"/>
    <sheet name="TEMA" sheetId="99" r:id="rId87"/>
    <sheet name="Time Series Forecast" sheetId="79" r:id="rId88"/>
    <sheet name="Total Short Ratio" sheetId="61" r:id="rId89"/>
    <sheet name="TRIX" sheetId="78" r:id="rId90"/>
    <sheet name="Typical Price" sheetId="62" r:id="rId91"/>
    <sheet name="Ultimate Oscillator" sheetId="104" r:id="rId92"/>
    <sheet name="Upside|Downside Ratio" sheetId="63" r:id="rId93"/>
    <sheet name="Upside - Downside Volume" sheetId="64" r:id="rId94"/>
    <sheet name="Vertical Horizontal Filter" sheetId="77" r:id="rId95"/>
    <sheet name="Volatility, Chaikins" sheetId="65" r:id="rId96"/>
    <sheet name="Volume Oscillator" sheetId="66" r:id="rId97"/>
    <sheet name="Volume Rate of Change" sheetId="67" r:id="rId98"/>
    <sheet name="Weighted Close" sheetId="68" r:id="rId99"/>
    <sheet name="Wilders Smoothing" sheetId="69" r:id="rId100"/>
    <sheet name="Williams Acc-Dist" sheetId="70" r:id="rId101"/>
    <sheet name="Williams %R" sheetId="71" r:id="rId102"/>
  </sheets>
  <calcPr calcId="140001" iterate="1" iterateCount="1" concurrentCalc="0"/>
  <extLst>
    <ext xmlns:mx="http://schemas.microsoft.com/office/mac/excel/2008/main" uri="{7523E5D3-25F3-A5E0-1632-64F254C22452}">
      <mx:ArchID Flags="2"/>
    </ext>
  </extLst>
</workbook>
</file>

<file path=xl/calcChain.xml><?xml version="1.0" encoding="utf-8"?>
<calcChain xmlns="http://schemas.openxmlformats.org/spreadsheetml/2006/main">
  <c r="D7" i="1" l="1"/>
  <c r="E7" i="1"/>
  <c r="D8" i="1"/>
  <c r="E8" i="1"/>
  <c r="D9" i="1"/>
  <c r="E9" i="1"/>
  <c r="D10" i="1"/>
  <c r="E10" i="1"/>
  <c r="D11" i="1"/>
  <c r="E11" i="1"/>
  <c r="D12" i="1"/>
  <c r="E12" i="1"/>
  <c r="D13" i="1"/>
  <c r="E13" i="1"/>
  <c r="D14" i="1"/>
  <c r="E14" i="1"/>
  <c r="D15" i="1"/>
  <c r="E15" i="1"/>
  <c r="D16" i="1"/>
  <c r="E16" i="1"/>
  <c r="D17" i="1"/>
  <c r="E17" i="1"/>
  <c r="D18" i="1"/>
  <c r="E18" i="1"/>
  <c r="D19" i="1"/>
  <c r="E19" i="1"/>
  <c r="D20" i="1"/>
  <c r="E20" i="1"/>
  <c r="D21" i="1"/>
  <c r="E21" i="1"/>
  <c r="D22" i="1"/>
  <c r="E22" i="1"/>
  <c r="D23" i="1"/>
  <c r="E23" i="1"/>
  <c r="D24" i="1"/>
  <c r="E24" i="1"/>
  <c r="D25" i="1"/>
  <c r="E25" i="1"/>
  <c r="D26" i="1"/>
  <c r="E26" i="1"/>
  <c r="D27" i="1"/>
  <c r="E27" i="1"/>
  <c r="D28" i="1"/>
  <c r="E28" i="1"/>
  <c r="D29" i="1"/>
  <c r="E29" i="1"/>
  <c r="D30" i="1"/>
  <c r="E30" i="1"/>
  <c r="D31" i="1"/>
  <c r="E31" i="1"/>
  <c r="D32" i="1"/>
  <c r="E32" i="1"/>
  <c r="D33" i="1"/>
  <c r="E33" i="1"/>
  <c r="D34" i="1"/>
  <c r="E34" i="1"/>
  <c r="D35" i="1"/>
  <c r="E35" i="1"/>
  <c r="D36" i="1"/>
  <c r="E36" i="1"/>
  <c r="D37" i="1"/>
  <c r="E37" i="1"/>
  <c r="D38" i="1"/>
  <c r="E38" i="1"/>
  <c r="F8" i="2"/>
  <c r="G8" i="2"/>
  <c r="H8" i="2"/>
  <c r="I8" i="2"/>
  <c r="J8" i="2"/>
  <c r="K8" i="2"/>
  <c r="L8" i="2"/>
  <c r="F9" i="2"/>
  <c r="G9" i="2"/>
  <c r="H9" i="2"/>
  <c r="I9" i="2"/>
  <c r="J9" i="2"/>
  <c r="K9" i="2"/>
  <c r="L9" i="2"/>
  <c r="F10" i="2"/>
  <c r="G10" i="2"/>
  <c r="H10" i="2"/>
  <c r="I10" i="2"/>
  <c r="J10" i="2"/>
  <c r="K10" i="2"/>
  <c r="L10" i="2"/>
  <c r="F11" i="2"/>
  <c r="G11" i="2"/>
  <c r="H11" i="2"/>
  <c r="I11" i="2"/>
  <c r="J11" i="2"/>
  <c r="K11" i="2"/>
  <c r="L11" i="2"/>
  <c r="F12" i="2"/>
  <c r="G12" i="2"/>
  <c r="H12" i="2"/>
  <c r="I12" i="2"/>
  <c r="J12" i="2"/>
  <c r="K12" i="2"/>
  <c r="L12" i="2"/>
  <c r="F13" i="2"/>
  <c r="G13" i="2"/>
  <c r="H13" i="2"/>
  <c r="I13" i="2"/>
  <c r="J13" i="2"/>
  <c r="K13" i="2"/>
  <c r="L13" i="2"/>
  <c r="F14" i="2"/>
  <c r="G14" i="2"/>
  <c r="H14" i="2"/>
  <c r="I14" i="2"/>
  <c r="J14" i="2"/>
  <c r="K14" i="2"/>
  <c r="L14" i="2"/>
  <c r="F15" i="2"/>
  <c r="G15" i="2"/>
  <c r="H15" i="2"/>
  <c r="I15" i="2"/>
  <c r="J15" i="2"/>
  <c r="K15" i="2"/>
  <c r="L15" i="2"/>
  <c r="F16" i="2"/>
  <c r="G16" i="2"/>
  <c r="H16" i="2"/>
  <c r="I16" i="2"/>
  <c r="J16" i="2"/>
  <c r="K16" i="2"/>
  <c r="L16" i="2"/>
  <c r="F17" i="2"/>
  <c r="G17" i="2"/>
  <c r="H17" i="2"/>
  <c r="I17" i="2"/>
  <c r="J17" i="2"/>
  <c r="K17" i="2"/>
  <c r="L17" i="2"/>
  <c r="F18" i="2"/>
  <c r="G18" i="2"/>
  <c r="H18" i="2"/>
  <c r="I18" i="2"/>
  <c r="J18" i="2"/>
  <c r="K18" i="2"/>
  <c r="L18" i="2"/>
  <c r="F19" i="2"/>
  <c r="G19" i="2"/>
  <c r="H19" i="2"/>
  <c r="I19" i="2"/>
  <c r="J19" i="2"/>
  <c r="K19" i="2"/>
  <c r="L19" i="2"/>
  <c r="F20" i="2"/>
  <c r="G20" i="2"/>
  <c r="H20" i="2"/>
  <c r="I20" i="2"/>
  <c r="J20" i="2"/>
  <c r="K20" i="2"/>
  <c r="L20" i="2"/>
  <c r="F21" i="2"/>
  <c r="G21" i="2"/>
  <c r="H21" i="2"/>
  <c r="I21" i="2"/>
  <c r="J21" i="2"/>
  <c r="K21" i="2"/>
  <c r="L21" i="2"/>
  <c r="F22" i="2"/>
  <c r="G22" i="2"/>
  <c r="H22" i="2"/>
  <c r="I22" i="2"/>
  <c r="J22" i="2"/>
  <c r="K22" i="2"/>
  <c r="L22" i="2"/>
  <c r="F23" i="2"/>
  <c r="G23" i="2"/>
  <c r="H23" i="2"/>
  <c r="I23" i="2"/>
  <c r="J23" i="2"/>
  <c r="K23" i="2"/>
  <c r="L23" i="2"/>
  <c r="F24" i="2"/>
  <c r="G24" i="2"/>
  <c r="H24" i="2"/>
  <c r="I24" i="2"/>
  <c r="J24" i="2"/>
  <c r="K24" i="2"/>
  <c r="L24" i="2"/>
  <c r="F25" i="2"/>
  <c r="G25" i="2"/>
  <c r="H25" i="2"/>
  <c r="I25" i="2"/>
  <c r="J25" i="2"/>
  <c r="K25" i="2"/>
  <c r="L25" i="2"/>
  <c r="F26" i="2"/>
  <c r="G26" i="2"/>
  <c r="H26" i="2"/>
  <c r="I26" i="2"/>
  <c r="J26" i="2"/>
  <c r="K26" i="2"/>
  <c r="L26" i="2"/>
  <c r="F27" i="2"/>
  <c r="G27" i="2"/>
  <c r="H27" i="2"/>
  <c r="I27" i="2"/>
  <c r="J27" i="2"/>
  <c r="K27" i="2"/>
  <c r="L27" i="2"/>
  <c r="F28" i="2"/>
  <c r="G28" i="2"/>
  <c r="H28" i="2"/>
  <c r="I28" i="2"/>
  <c r="J28" i="2"/>
  <c r="K28" i="2"/>
  <c r="L28" i="2"/>
  <c r="F29" i="2"/>
  <c r="G29" i="2"/>
  <c r="H29" i="2"/>
  <c r="I29" i="2"/>
  <c r="J29" i="2"/>
  <c r="K29" i="2"/>
  <c r="L29" i="2"/>
  <c r="D7" i="3"/>
  <c r="E7" i="3"/>
  <c r="D8" i="3"/>
  <c r="E8" i="3"/>
  <c r="D9" i="3"/>
  <c r="E9" i="3"/>
  <c r="D10" i="3"/>
  <c r="E10" i="3"/>
  <c r="D11" i="3"/>
  <c r="E11" i="3"/>
  <c r="D12" i="3"/>
  <c r="E12" i="3"/>
  <c r="D13" i="3"/>
  <c r="E13" i="3"/>
  <c r="D14" i="3"/>
  <c r="E14" i="3"/>
  <c r="D15" i="3"/>
  <c r="E15" i="3"/>
  <c r="D16" i="3"/>
  <c r="E16" i="3"/>
  <c r="D17" i="3"/>
  <c r="E17" i="3"/>
  <c r="D18" i="3"/>
  <c r="E18" i="3"/>
  <c r="D19" i="3"/>
  <c r="E19" i="3"/>
  <c r="D20" i="3"/>
  <c r="E20" i="3"/>
  <c r="D21" i="3"/>
  <c r="E21" i="3"/>
  <c r="D22" i="3"/>
  <c r="E22" i="3"/>
  <c r="D23" i="3"/>
  <c r="E23" i="3"/>
  <c r="D24" i="3"/>
  <c r="E24" i="3"/>
  <c r="D25" i="3"/>
  <c r="E25" i="3"/>
  <c r="D26" i="3"/>
  <c r="E26" i="3"/>
  <c r="D27" i="3"/>
  <c r="E27" i="3"/>
  <c r="D28" i="3"/>
  <c r="E28" i="3"/>
  <c r="D29" i="3"/>
  <c r="E29" i="3"/>
  <c r="D30" i="3"/>
  <c r="E30" i="3"/>
  <c r="D31" i="3"/>
  <c r="E31" i="3"/>
  <c r="D32" i="3"/>
  <c r="E32" i="3"/>
  <c r="D33" i="3"/>
  <c r="E33" i="3"/>
  <c r="D34" i="3"/>
  <c r="E34" i="3"/>
  <c r="D35" i="3"/>
  <c r="E35" i="3"/>
  <c r="D36" i="3"/>
  <c r="E36" i="3"/>
  <c r="D37" i="3"/>
  <c r="E37" i="3"/>
  <c r="D38" i="3"/>
  <c r="E38" i="3"/>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F7" i="6"/>
  <c r="G7" i="6"/>
  <c r="H7" i="6"/>
  <c r="F8" i="6"/>
  <c r="G8" i="6"/>
  <c r="H8" i="6"/>
  <c r="F9" i="6"/>
  <c r="G9" i="6"/>
  <c r="H9" i="6"/>
  <c r="F10" i="6"/>
  <c r="G10" i="6"/>
  <c r="H10" i="6"/>
  <c r="F11" i="6"/>
  <c r="G11" i="6"/>
  <c r="H11" i="6"/>
  <c r="F12" i="6"/>
  <c r="G12" i="6"/>
  <c r="H12" i="6"/>
  <c r="F13" i="6"/>
  <c r="G13" i="6"/>
  <c r="H13" i="6"/>
  <c r="F14" i="6"/>
  <c r="G14" i="6"/>
  <c r="H14" i="6"/>
  <c r="F15" i="6"/>
  <c r="G15" i="6"/>
  <c r="H15" i="6"/>
  <c r="F16" i="6"/>
  <c r="G16" i="6"/>
  <c r="H16" i="6"/>
  <c r="F17" i="6"/>
  <c r="G17" i="6"/>
  <c r="H17" i="6"/>
  <c r="F18" i="6"/>
  <c r="G18" i="6"/>
  <c r="H18" i="6"/>
  <c r="F19" i="6"/>
  <c r="G19" i="6"/>
  <c r="H19" i="6"/>
  <c r="F20" i="6"/>
  <c r="G20" i="6"/>
  <c r="H20" i="6"/>
  <c r="F21" i="6"/>
  <c r="G21" i="6"/>
  <c r="H21" i="6"/>
  <c r="F22" i="6"/>
  <c r="G22" i="6"/>
  <c r="H22" i="6"/>
  <c r="F23" i="6"/>
  <c r="G23" i="6"/>
  <c r="H23" i="6"/>
  <c r="F24" i="6"/>
  <c r="G24" i="6"/>
  <c r="H24" i="6"/>
  <c r="F25" i="6"/>
  <c r="G25" i="6"/>
  <c r="H25" i="6"/>
  <c r="F26" i="6"/>
  <c r="G26" i="6"/>
  <c r="H26" i="6"/>
  <c r="F27" i="6"/>
  <c r="G27" i="6"/>
  <c r="H27" i="6"/>
  <c r="F28" i="6"/>
  <c r="G28" i="6"/>
  <c r="H28" i="6"/>
  <c r="F29" i="6"/>
  <c r="G29" i="6"/>
  <c r="H29" i="6"/>
  <c r="F30" i="6"/>
  <c r="G30" i="6"/>
  <c r="H30" i="6"/>
  <c r="F31" i="6"/>
  <c r="G31" i="6"/>
  <c r="H31" i="6"/>
  <c r="F32" i="6"/>
  <c r="G32" i="6"/>
  <c r="H32" i="6"/>
  <c r="F33" i="6"/>
  <c r="G33" i="6"/>
  <c r="H33" i="6"/>
  <c r="F34" i="6"/>
  <c r="G34" i="6"/>
  <c r="H34" i="6"/>
  <c r="F35" i="6"/>
  <c r="G35" i="6"/>
  <c r="H35" i="6"/>
  <c r="F36" i="6"/>
  <c r="G36" i="6"/>
  <c r="H36" i="6"/>
  <c r="F37" i="6"/>
  <c r="G37" i="6"/>
  <c r="H37" i="6"/>
  <c r="F38" i="6"/>
  <c r="G38" i="6"/>
  <c r="H38" i="6"/>
  <c r="F39" i="6"/>
  <c r="G39" i="6"/>
  <c r="H39" i="6"/>
  <c r="D16" i="7"/>
  <c r="F16" i="7"/>
  <c r="G16" i="7"/>
  <c r="I16" i="7"/>
  <c r="D17" i="7"/>
  <c r="F17" i="7"/>
  <c r="G17" i="7"/>
  <c r="I17" i="7"/>
  <c r="D18" i="7"/>
  <c r="F18" i="7"/>
  <c r="G18" i="7"/>
  <c r="I18" i="7"/>
  <c r="D19" i="7"/>
  <c r="F19" i="7"/>
  <c r="G19" i="7"/>
  <c r="I19" i="7"/>
  <c r="D20" i="7"/>
  <c r="F20" i="7"/>
  <c r="G20" i="7"/>
  <c r="I20" i="7"/>
  <c r="D21" i="7"/>
  <c r="F21" i="7"/>
  <c r="G21" i="7"/>
  <c r="I21" i="7"/>
  <c r="D22" i="7"/>
  <c r="F22" i="7"/>
  <c r="G22" i="7"/>
  <c r="I22" i="7"/>
  <c r="D23" i="7"/>
  <c r="F23" i="7"/>
  <c r="G23" i="7"/>
  <c r="I23" i="7"/>
  <c r="D24" i="7"/>
  <c r="F24" i="7"/>
  <c r="G24" i="7"/>
  <c r="I24" i="7"/>
  <c r="D25" i="7"/>
  <c r="F25" i="7"/>
  <c r="G25" i="7"/>
  <c r="I25" i="7"/>
  <c r="D26" i="7"/>
  <c r="F26" i="7"/>
  <c r="G26" i="7"/>
  <c r="I26" i="7"/>
  <c r="D27" i="7"/>
  <c r="F27" i="7"/>
  <c r="G27" i="7"/>
  <c r="I27" i="7"/>
  <c r="D28" i="7"/>
  <c r="F28" i="7"/>
  <c r="G28" i="7"/>
  <c r="I28" i="7"/>
  <c r="D29" i="7"/>
  <c r="F29" i="7"/>
  <c r="G29" i="7"/>
  <c r="I29" i="7"/>
  <c r="D30" i="7"/>
  <c r="F30" i="7"/>
  <c r="G30" i="7"/>
  <c r="I30" i="7"/>
  <c r="D31" i="7"/>
  <c r="F31" i="7"/>
  <c r="G31" i="7"/>
  <c r="I31" i="7"/>
  <c r="D32" i="7"/>
  <c r="F32" i="7"/>
  <c r="G32" i="7"/>
  <c r="I32" i="7"/>
  <c r="E12" i="8"/>
  <c r="H12" i="8"/>
  <c r="E13" i="8"/>
  <c r="F13" i="8"/>
  <c r="G13" i="8"/>
  <c r="H13" i="8"/>
  <c r="E14" i="8"/>
  <c r="F14" i="8"/>
  <c r="G14" i="8"/>
  <c r="H14" i="8"/>
  <c r="E15" i="8"/>
  <c r="F15" i="8"/>
  <c r="G15" i="8"/>
  <c r="H15" i="8"/>
  <c r="E16" i="8"/>
  <c r="F16" i="8"/>
  <c r="G16" i="8"/>
  <c r="H16" i="8"/>
  <c r="E17" i="8"/>
  <c r="F17" i="8"/>
  <c r="G17" i="8"/>
  <c r="H17" i="8"/>
  <c r="E18" i="8"/>
  <c r="F18" i="8"/>
  <c r="G18" i="8"/>
  <c r="H18" i="8"/>
  <c r="E19" i="8"/>
  <c r="F19" i="8"/>
  <c r="G19" i="8"/>
  <c r="H19" i="8"/>
  <c r="E20" i="8"/>
  <c r="F20" i="8"/>
  <c r="G20" i="8"/>
  <c r="H20" i="8"/>
  <c r="E21" i="8"/>
  <c r="F21" i="8"/>
  <c r="G21" i="8"/>
  <c r="H21" i="8"/>
  <c r="E22" i="8"/>
  <c r="F22" i="8"/>
  <c r="G22" i="8"/>
  <c r="H22" i="8"/>
  <c r="E23" i="8"/>
  <c r="F23" i="8"/>
  <c r="G23" i="8"/>
  <c r="H23" i="8"/>
  <c r="E24" i="8"/>
  <c r="F24" i="8"/>
  <c r="G24" i="8"/>
  <c r="H24" i="8"/>
  <c r="E25" i="8"/>
  <c r="F25" i="8"/>
  <c r="G25" i="8"/>
  <c r="H25" i="8"/>
  <c r="K25" i="8"/>
  <c r="E26" i="8"/>
  <c r="F26" i="8"/>
  <c r="G26" i="8"/>
  <c r="H26" i="8"/>
  <c r="I26" i="8"/>
  <c r="J26" i="8"/>
  <c r="K26" i="8"/>
  <c r="E27" i="8"/>
  <c r="F27" i="8"/>
  <c r="G27" i="8"/>
  <c r="H27" i="8"/>
  <c r="I27" i="8"/>
  <c r="J27" i="8"/>
  <c r="K27" i="8"/>
  <c r="E28" i="8"/>
  <c r="F28" i="8"/>
  <c r="G28" i="8"/>
  <c r="H28" i="8"/>
  <c r="I28" i="8"/>
  <c r="J28" i="8"/>
  <c r="K28" i="8"/>
  <c r="E29" i="8"/>
  <c r="F29" i="8"/>
  <c r="G29" i="8"/>
  <c r="H29" i="8"/>
  <c r="I29" i="8"/>
  <c r="J29" i="8"/>
  <c r="K29" i="8"/>
  <c r="E30" i="8"/>
  <c r="F30" i="8"/>
  <c r="G30" i="8"/>
  <c r="H30" i="8"/>
  <c r="I30" i="8"/>
  <c r="J30" i="8"/>
  <c r="K30" i="8"/>
  <c r="E31" i="8"/>
  <c r="F31" i="8"/>
  <c r="G31" i="8"/>
  <c r="H31" i="8"/>
  <c r="I31" i="8"/>
  <c r="J31" i="8"/>
  <c r="K31" i="8"/>
  <c r="E32" i="8"/>
  <c r="F32" i="8"/>
  <c r="G32" i="8"/>
  <c r="H32" i="8"/>
  <c r="I32" i="8"/>
  <c r="J32" i="8"/>
  <c r="K32" i="8"/>
  <c r="E33" i="8"/>
  <c r="F33" i="8"/>
  <c r="G33" i="8"/>
  <c r="H33" i="8"/>
  <c r="I33" i="8"/>
  <c r="J33" i="8"/>
  <c r="K33" i="8"/>
  <c r="E34" i="8"/>
  <c r="F34" i="8"/>
  <c r="G34" i="8"/>
  <c r="H34" i="8"/>
  <c r="I34" i="8"/>
  <c r="J34" i="8"/>
  <c r="K34" i="8"/>
  <c r="E35" i="8"/>
  <c r="F35" i="8"/>
  <c r="G35" i="8"/>
  <c r="H35" i="8"/>
  <c r="I35" i="8"/>
  <c r="J35" i="8"/>
  <c r="K35" i="8"/>
  <c r="E36" i="8"/>
  <c r="F36" i="8"/>
  <c r="G36" i="8"/>
  <c r="H36" i="8"/>
  <c r="I36" i="8"/>
  <c r="J36" i="8"/>
  <c r="K36" i="8"/>
  <c r="E37" i="8"/>
  <c r="F37" i="8"/>
  <c r="G37" i="8"/>
  <c r="H37" i="8"/>
  <c r="I37" i="8"/>
  <c r="J37" i="8"/>
  <c r="K37" i="8"/>
  <c r="E38" i="8"/>
  <c r="F38" i="8"/>
  <c r="G38" i="8"/>
  <c r="H38" i="8"/>
  <c r="I38" i="8"/>
  <c r="J38" i="8"/>
  <c r="K38" i="8"/>
  <c r="E39" i="8"/>
  <c r="F39" i="8"/>
  <c r="G39" i="8"/>
  <c r="H39" i="8"/>
  <c r="I39" i="8"/>
  <c r="J39" i="8"/>
  <c r="K39" i="8"/>
  <c r="E40" i="8"/>
  <c r="F40" i="8"/>
  <c r="G40" i="8"/>
  <c r="H40" i="8"/>
  <c r="I40" i="8"/>
  <c r="J40" i="8"/>
  <c r="K40" i="8"/>
  <c r="E41" i="8"/>
  <c r="F41" i="8"/>
  <c r="G41" i="8"/>
  <c r="H41" i="8"/>
  <c r="I41" i="8"/>
  <c r="J41" i="8"/>
  <c r="K41" i="8"/>
  <c r="E42" i="8"/>
  <c r="F42" i="8"/>
  <c r="G42" i="8"/>
  <c r="H42" i="8"/>
  <c r="I42" i="8"/>
  <c r="J42" i="8"/>
  <c r="K42" i="8"/>
  <c r="C20" i="83"/>
  <c r="D20" i="83"/>
  <c r="E20" i="83"/>
  <c r="F20" i="83"/>
  <c r="G20" i="83"/>
  <c r="C21" i="83"/>
  <c r="D21" i="83"/>
  <c r="E21" i="83"/>
  <c r="F21" i="83"/>
  <c r="G21" i="83"/>
  <c r="C22" i="83"/>
  <c r="D22" i="83"/>
  <c r="E22" i="83"/>
  <c r="F22" i="83"/>
  <c r="G22" i="83"/>
  <c r="C23" i="83"/>
  <c r="D23" i="83"/>
  <c r="E23" i="83"/>
  <c r="F23" i="83"/>
  <c r="G23" i="83"/>
  <c r="C24" i="83"/>
  <c r="D24" i="83"/>
  <c r="E24" i="83"/>
  <c r="F24" i="83"/>
  <c r="G24" i="83"/>
  <c r="C25" i="83"/>
  <c r="D25" i="83"/>
  <c r="E25" i="83"/>
  <c r="F25" i="83"/>
  <c r="G25" i="83"/>
  <c r="C26" i="83"/>
  <c r="D26" i="83"/>
  <c r="E26" i="83"/>
  <c r="F26" i="83"/>
  <c r="G26" i="83"/>
  <c r="C27" i="83"/>
  <c r="D27" i="83"/>
  <c r="E27" i="83"/>
  <c r="F27" i="83"/>
  <c r="G27" i="83"/>
  <c r="C28" i="83"/>
  <c r="D28" i="83"/>
  <c r="E28" i="83"/>
  <c r="F28" i="83"/>
  <c r="G28" i="83"/>
  <c r="C29" i="83"/>
  <c r="D29" i="83"/>
  <c r="E29" i="83"/>
  <c r="F29" i="83"/>
  <c r="G29" i="83"/>
  <c r="C30" i="83"/>
  <c r="D30" i="83"/>
  <c r="E30" i="83"/>
  <c r="F30" i="83"/>
  <c r="G30" i="83"/>
  <c r="C31" i="83"/>
  <c r="D31" i="83"/>
  <c r="E31" i="83"/>
  <c r="F31" i="83"/>
  <c r="G31" i="83"/>
  <c r="C32" i="83"/>
  <c r="D32" i="83"/>
  <c r="E32" i="83"/>
  <c r="F32" i="83"/>
  <c r="G32" i="83"/>
  <c r="C33" i="83"/>
  <c r="D33" i="83"/>
  <c r="E33" i="83"/>
  <c r="F33" i="83"/>
  <c r="G33" i="83"/>
  <c r="C34" i="83"/>
  <c r="D34" i="83"/>
  <c r="E34" i="83"/>
  <c r="F34" i="83"/>
  <c r="G34" i="83"/>
  <c r="C35" i="83"/>
  <c r="D35" i="83"/>
  <c r="E35" i="83"/>
  <c r="F35" i="83"/>
  <c r="G35" i="83"/>
  <c r="C36" i="83"/>
  <c r="D36" i="83"/>
  <c r="E36" i="83"/>
  <c r="F36" i="83"/>
  <c r="G36" i="83"/>
  <c r="C37" i="83"/>
  <c r="D37" i="83"/>
  <c r="E37" i="83"/>
  <c r="F37" i="83"/>
  <c r="G37" i="83"/>
  <c r="C38" i="83"/>
  <c r="D38" i="83"/>
  <c r="E38" i="83"/>
  <c r="F38" i="83"/>
  <c r="G38" i="83"/>
  <c r="C39" i="83"/>
  <c r="D39" i="83"/>
  <c r="E39" i="83"/>
  <c r="F39" i="83"/>
  <c r="G39" i="83"/>
  <c r="C40" i="83"/>
  <c r="D40" i="83"/>
  <c r="E40" i="83"/>
  <c r="F40" i="83"/>
  <c r="G40" i="83"/>
  <c r="C41" i="83"/>
  <c r="D41" i="83"/>
  <c r="E41" i="83"/>
  <c r="F41" i="83"/>
  <c r="G41" i="83"/>
  <c r="C42" i="83"/>
  <c r="D42" i="83"/>
  <c r="E42" i="83"/>
  <c r="F42" i="83"/>
  <c r="G42" i="83"/>
  <c r="C43" i="83"/>
  <c r="D43" i="83"/>
  <c r="E43" i="83"/>
  <c r="F43" i="83"/>
  <c r="G43" i="83"/>
  <c r="C44" i="83"/>
  <c r="D44" i="83"/>
  <c r="E44" i="83"/>
  <c r="F44" i="83"/>
  <c r="G44" i="83"/>
  <c r="C45" i="83"/>
  <c r="D45" i="83"/>
  <c r="E45" i="83"/>
  <c r="F45" i="83"/>
  <c r="G45" i="83"/>
  <c r="C46" i="83"/>
  <c r="D46" i="83"/>
  <c r="E46" i="83"/>
  <c r="F46" i="83"/>
  <c r="G46" i="83"/>
  <c r="C47" i="83"/>
  <c r="D47" i="83"/>
  <c r="E47" i="83"/>
  <c r="F47" i="83"/>
  <c r="G47" i="83"/>
  <c r="C48" i="83"/>
  <c r="D48" i="83"/>
  <c r="E48" i="83"/>
  <c r="F48" i="83"/>
  <c r="G48" i="83"/>
  <c r="C49" i="83"/>
  <c r="D49" i="83"/>
  <c r="E49" i="83"/>
  <c r="F49" i="83"/>
  <c r="G49" i="83"/>
  <c r="C50" i="83"/>
  <c r="D50" i="83"/>
  <c r="E50" i="83"/>
  <c r="F50" i="83"/>
  <c r="G50" i="83"/>
  <c r="C51" i="83"/>
  <c r="D51" i="83"/>
  <c r="E51" i="83"/>
  <c r="F51" i="83"/>
  <c r="G51" i="83"/>
  <c r="C52" i="83"/>
  <c r="D52" i="83"/>
  <c r="E52" i="83"/>
  <c r="F52" i="83"/>
  <c r="G52" i="83"/>
  <c r="C53" i="83"/>
  <c r="D53" i="83"/>
  <c r="E53" i="83"/>
  <c r="F53" i="83"/>
  <c r="G53" i="83"/>
  <c r="C54" i="83"/>
  <c r="D54" i="83"/>
  <c r="E54" i="83"/>
  <c r="F54" i="83"/>
  <c r="G54" i="83"/>
  <c r="C55" i="83"/>
  <c r="D55" i="83"/>
  <c r="E55" i="83"/>
  <c r="F55" i="83"/>
  <c r="G55" i="83"/>
  <c r="C56" i="83"/>
  <c r="D56" i="83"/>
  <c r="E56" i="83"/>
  <c r="F56" i="83"/>
  <c r="G56" i="83"/>
  <c r="C57" i="83"/>
  <c r="D57" i="83"/>
  <c r="E57" i="83"/>
  <c r="F57" i="83"/>
  <c r="G57" i="83"/>
  <c r="C58" i="83"/>
  <c r="D58" i="83"/>
  <c r="E58" i="83"/>
  <c r="F58" i="83"/>
  <c r="G58" i="83"/>
  <c r="C59" i="83"/>
  <c r="D59" i="83"/>
  <c r="E59" i="83"/>
  <c r="F59" i="83"/>
  <c r="G59" i="83"/>
  <c r="C60" i="83"/>
  <c r="D60" i="83"/>
  <c r="E60" i="83"/>
  <c r="F60" i="83"/>
  <c r="G60" i="83"/>
  <c r="C61" i="83"/>
  <c r="D61" i="83"/>
  <c r="E61" i="83"/>
  <c r="F61" i="83"/>
  <c r="G61" i="83"/>
  <c r="C62" i="83"/>
  <c r="D62" i="83"/>
  <c r="E62" i="83"/>
  <c r="F62" i="83"/>
  <c r="G62" i="83"/>
  <c r="C63" i="83"/>
  <c r="D63" i="83"/>
  <c r="E63" i="83"/>
  <c r="F63" i="83"/>
  <c r="G63" i="83"/>
  <c r="C64" i="83"/>
  <c r="D64" i="83"/>
  <c r="E64" i="83"/>
  <c r="F64" i="83"/>
  <c r="G64" i="83"/>
  <c r="C65" i="83"/>
  <c r="D65" i="83"/>
  <c r="E65" i="83"/>
  <c r="F65" i="83"/>
  <c r="G65" i="83"/>
  <c r="C66" i="83"/>
  <c r="D66" i="83"/>
  <c r="E66" i="83"/>
  <c r="F66" i="83"/>
  <c r="G66" i="83"/>
  <c r="C67" i="83"/>
  <c r="D67" i="83"/>
  <c r="E67" i="83"/>
  <c r="F67" i="83"/>
  <c r="G67" i="83"/>
  <c r="C68" i="83"/>
  <c r="D68" i="83"/>
  <c r="E68" i="83"/>
  <c r="F68" i="83"/>
  <c r="G68" i="83"/>
  <c r="C69" i="83"/>
  <c r="D69" i="83"/>
  <c r="E69" i="83"/>
  <c r="F69" i="83"/>
  <c r="G69" i="83"/>
  <c r="C70" i="83"/>
  <c r="D70" i="83"/>
  <c r="E70" i="83"/>
  <c r="F70" i="83"/>
  <c r="G70" i="83"/>
  <c r="C71" i="83"/>
  <c r="D71" i="83"/>
  <c r="E71" i="83"/>
  <c r="F71" i="83"/>
  <c r="G71" i="83"/>
  <c r="D7" i="9"/>
  <c r="E7" i="9"/>
  <c r="F7" i="9"/>
  <c r="D8" i="9"/>
  <c r="E8" i="9"/>
  <c r="F8" i="9"/>
  <c r="D9" i="9"/>
  <c r="E9" i="9"/>
  <c r="F9" i="9"/>
  <c r="D10" i="9"/>
  <c r="E10" i="9"/>
  <c r="F10" i="9"/>
  <c r="D11" i="9"/>
  <c r="E11" i="9"/>
  <c r="F11" i="9"/>
  <c r="D12" i="9"/>
  <c r="E12" i="9"/>
  <c r="F12" i="9"/>
  <c r="D13" i="9"/>
  <c r="E13" i="9"/>
  <c r="F13" i="9"/>
  <c r="D14" i="9"/>
  <c r="E14" i="9"/>
  <c r="F14" i="9"/>
  <c r="D15" i="9"/>
  <c r="E15" i="9"/>
  <c r="F15" i="9"/>
  <c r="D16" i="9"/>
  <c r="E16" i="9"/>
  <c r="F16" i="9"/>
  <c r="D17" i="9"/>
  <c r="E17" i="9"/>
  <c r="F17" i="9"/>
  <c r="D18" i="9"/>
  <c r="E18" i="9"/>
  <c r="F18" i="9"/>
  <c r="D19" i="9"/>
  <c r="E19" i="9"/>
  <c r="F19" i="9"/>
  <c r="D20" i="9"/>
  <c r="E20" i="9"/>
  <c r="F20" i="9"/>
  <c r="D21" i="9"/>
  <c r="E21" i="9"/>
  <c r="F21" i="9"/>
  <c r="D22" i="9"/>
  <c r="E22" i="9"/>
  <c r="F22" i="9"/>
  <c r="D23" i="9"/>
  <c r="E23" i="9"/>
  <c r="F23" i="9"/>
  <c r="D24" i="9"/>
  <c r="E24" i="9"/>
  <c r="F24" i="9"/>
  <c r="D25" i="9"/>
  <c r="E25" i="9"/>
  <c r="F25" i="9"/>
  <c r="D26" i="9"/>
  <c r="E26" i="9"/>
  <c r="F26" i="9"/>
  <c r="D27" i="9"/>
  <c r="E27" i="9"/>
  <c r="F27" i="9"/>
  <c r="D28" i="9"/>
  <c r="E28" i="9"/>
  <c r="F28" i="9"/>
  <c r="D29" i="9"/>
  <c r="E29" i="9"/>
  <c r="F29" i="9"/>
  <c r="D30" i="9"/>
  <c r="E30" i="9"/>
  <c r="F30" i="9"/>
  <c r="D31" i="9"/>
  <c r="E31" i="9"/>
  <c r="F31" i="9"/>
  <c r="D32" i="9"/>
  <c r="E32" i="9"/>
  <c r="F32" i="9"/>
  <c r="D33" i="9"/>
  <c r="E33" i="9"/>
  <c r="F33" i="9"/>
  <c r="D34" i="9"/>
  <c r="E34" i="9"/>
  <c r="F34" i="9"/>
  <c r="D35" i="9"/>
  <c r="E35" i="9"/>
  <c r="F35" i="9"/>
  <c r="D36" i="9"/>
  <c r="E36" i="9"/>
  <c r="F36" i="9"/>
  <c r="D37" i="9"/>
  <c r="E37" i="9"/>
  <c r="F37" i="9"/>
  <c r="D38" i="9"/>
  <c r="E38" i="9"/>
  <c r="F38" i="9"/>
  <c r="D39" i="9"/>
  <c r="E39" i="9"/>
  <c r="F39" i="9"/>
  <c r="D8" i="10"/>
  <c r="E8" i="10"/>
  <c r="D9" i="10"/>
  <c r="E9" i="10"/>
  <c r="D10" i="10"/>
  <c r="E10" i="10"/>
  <c r="D11" i="10"/>
  <c r="E11" i="10"/>
  <c r="D12" i="10"/>
  <c r="E12" i="10"/>
  <c r="D13" i="10"/>
  <c r="E13" i="10"/>
  <c r="D14" i="10"/>
  <c r="E14" i="10"/>
  <c r="D15" i="10"/>
  <c r="E15" i="10"/>
  <c r="D16" i="10"/>
  <c r="E16" i="10"/>
  <c r="D17" i="10"/>
  <c r="E17" i="10"/>
  <c r="D18" i="10"/>
  <c r="E18" i="10"/>
  <c r="D19" i="10"/>
  <c r="E19" i="10"/>
  <c r="D20" i="10"/>
  <c r="E20" i="10"/>
  <c r="D21" i="10"/>
  <c r="E21" i="10"/>
  <c r="D22" i="10"/>
  <c r="E22" i="10"/>
  <c r="D23" i="10"/>
  <c r="E23" i="10"/>
  <c r="D24" i="10"/>
  <c r="E24" i="10"/>
  <c r="D25" i="10"/>
  <c r="E25" i="10"/>
  <c r="D26" i="10"/>
  <c r="E26" i="10"/>
  <c r="D27" i="10"/>
  <c r="E27" i="10"/>
  <c r="D28" i="10"/>
  <c r="E28" i="10"/>
  <c r="D29" i="10"/>
  <c r="E29" i="10"/>
  <c r="D30" i="10"/>
  <c r="E30" i="10"/>
  <c r="D31" i="10"/>
  <c r="E31" i="10"/>
  <c r="D32" i="10"/>
  <c r="E32" i="10"/>
  <c r="D33" i="10"/>
  <c r="E33" i="10"/>
  <c r="D34" i="10"/>
  <c r="E34" i="10"/>
  <c r="D35" i="10"/>
  <c r="E35" i="10"/>
  <c r="D36" i="10"/>
  <c r="E36" i="10"/>
  <c r="D37" i="10"/>
  <c r="E37" i="10"/>
  <c r="D38" i="10"/>
  <c r="E38" i="10"/>
  <c r="D39" i="10"/>
  <c r="E39" i="10"/>
  <c r="D40" i="10"/>
  <c r="E40" i="10"/>
  <c r="D41" i="10"/>
  <c r="E41" i="10"/>
  <c r="D42" i="10"/>
  <c r="E42" i="10"/>
  <c r="D43" i="10"/>
  <c r="E43" i="10"/>
  <c r="F9" i="11"/>
  <c r="G9" i="11"/>
  <c r="F10" i="11"/>
  <c r="G10" i="11"/>
  <c r="F11" i="11"/>
  <c r="G11" i="11"/>
  <c r="F12" i="11"/>
  <c r="G12" i="11"/>
  <c r="F13" i="11"/>
  <c r="G13" i="11"/>
  <c r="H13" i="11"/>
  <c r="I13" i="11"/>
  <c r="J13" i="11"/>
  <c r="F14" i="11"/>
  <c r="G14" i="11"/>
  <c r="H14" i="11"/>
  <c r="I14" i="11"/>
  <c r="J14" i="11"/>
  <c r="F15" i="11"/>
  <c r="G15" i="11"/>
  <c r="H15" i="11"/>
  <c r="I15" i="11"/>
  <c r="J15" i="11"/>
  <c r="F16" i="11"/>
  <c r="G16" i="11"/>
  <c r="H16" i="11"/>
  <c r="I16" i="11"/>
  <c r="J16" i="11"/>
  <c r="F17" i="11"/>
  <c r="G17" i="11"/>
  <c r="H17" i="11"/>
  <c r="I17" i="11"/>
  <c r="J17" i="11"/>
  <c r="F18" i="11"/>
  <c r="G18" i="11"/>
  <c r="H18" i="11"/>
  <c r="I18" i="11"/>
  <c r="J18" i="11"/>
  <c r="F19" i="11"/>
  <c r="G19" i="11"/>
  <c r="H19" i="11"/>
  <c r="I19" i="11"/>
  <c r="J19" i="11"/>
  <c r="F20" i="11"/>
  <c r="G20" i="11"/>
  <c r="H20" i="11"/>
  <c r="I20" i="11"/>
  <c r="J20" i="11"/>
  <c r="F21" i="11"/>
  <c r="G21" i="11"/>
  <c r="H21" i="11"/>
  <c r="I21" i="11"/>
  <c r="J21" i="11"/>
  <c r="F22" i="11"/>
  <c r="G22" i="11"/>
  <c r="H22" i="11"/>
  <c r="I22" i="11"/>
  <c r="J22" i="11"/>
  <c r="F23" i="11"/>
  <c r="G23" i="11"/>
  <c r="H23" i="11"/>
  <c r="I23" i="11"/>
  <c r="J23" i="11"/>
  <c r="F24" i="11"/>
  <c r="G24" i="11"/>
  <c r="H24" i="11"/>
  <c r="I24" i="11"/>
  <c r="J24" i="11"/>
  <c r="F25" i="11"/>
  <c r="G25" i="11"/>
  <c r="H25" i="11"/>
  <c r="I25" i="11"/>
  <c r="J25" i="11"/>
  <c r="F26" i="11"/>
  <c r="G26" i="11"/>
  <c r="H26" i="11"/>
  <c r="I26" i="11"/>
  <c r="J26" i="11"/>
  <c r="F27" i="11"/>
  <c r="G27" i="11"/>
  <c r="H27" i="11"/>
  <c r="I27" i="11"/>
  <c r="J27" i="11"/>
  <c r="F28" i="11"/>
  <c r="G28" i="11"/>
  <c r="H28" i="11"/>
  <c r="I28" i="11"/>
  <c r="J28" i="11"/>
  <c r="F29" i="11"/>
  <c r="G29" i="11"/>
  <c r="H29" i="11"/>
  <c r="I29" i="11"/>
  <c r="J29" i="11"/>
  <c r="F30" i="11"/>
  <c r="G30" i="11"/>
  <c r="H30" i="11"/>
  <c r="I30" i="11"/>
  <c r="J30" i="11"/>
  <c r="F31" i="11"/>
  <c r="G31" i="11"/>
  <c r="H31" i="11"/>
  <c r="I31" i="11"/>
  <c r="J31" i="11"/>
  <c r="F32" i="11"/>
  <c r="G32" i="11"/>
  <c r="H32" i="11"/>
  <c r="I32" i="11"/>
  <c r="J32" i="11"/>
  <c r="F33" i="11"/>
  <c r="G33" i="11"/>
  <c r="H33" i="11"/>
  <c r="I33" i="11"/>
  <c r="J33" i="11"/>
  <c r="F34" i="11"/>
  <c r="G34" i="11"/>
  <c r="H34" i="11"/>
  <c r="I34" i="11"/>
  <c r="J34" i="11"/>
  <c r="F35" i="11"/>
  <c r="G35" i="11"/>
  <c r="H35" i="11"/>
  <c r="I35" i="11"/>
  <c r="J35" i="11"/>
  <c r="F36" i="11"/>
  <c r="G36" i="11"/>
  <c r="H36" i="11"/>
  <c r="I36" i="11"/>
  <c r="J36" i="11"/>
  <c r="F37" i="11"/>
  <c r="G37" i="11"/>
  <c r="H37" i="11"/>
  <c r="I37" i="11"/>
  <c r="J37" i="11"/>
  <c r="F38" i="11"/>
  <c r="G38" i="11"/>
  <c r="H38" i="11"/>
  <c r="I38" i="11"/>
  <c r="J38" i="11"/>
  <c r="F39" i="11"/>
  <c r="G39" i="11"/>
  <c r="H39" i="11"/>
  <c r="I39" i="11"/>
  <c r="J39" i="11"/>
  <c r="F40" i="11"/>
  <c r="G40" i="11"/>
  <c r="H40" i="11"/>
  <c r="I40" i="11"/>
  <c r="J40" i="11"/>
  <c r="F41" i="11"/>
  <c r="G41" i="11"/>
  <c r="H41" i="11"/>
  <c r="I41" i="11"/>
  <c r="J41" i="11"/>
  <c r="F42" i="11"/>
  <c r="G42" i="11"/>
  <c r="H42" i="11"/>
  <c r="I42" i="11"/>
  <c r="J42" i="11"/>
  <c r="F43" i="11"/>
  <c r="G43" i="11"/>
  <c r="H43" i="11"/>
  <c r="I43" i="11"/>
  <c r="J43" i="11"/>
  <c r="F44" i="11"/>
  <c r="G44" i="11"/>
  <c r="H44" i="11"/>
  <c r="I44" i="11"/>
  <c r="J44" i="11"/>
  <c r="F45" i="11"/>
  <c r="G45" i="11"/>
  <c r="H45" i="11"/>
  <c r="I45" i="11"/>
  <c r="J45" i="11"/>
  <c r="F46" i="11"/>
  <c r="G46" i="11"/>
  <c r="H46" i="11"/>
  <c r="I46" i="11"/>
  <c r="J46" i="11"/>
  <c r="F47" i="11"/>
  <c r="G47" i="11"/>
  <c r="H47" i="11"/>
  <c r="I47" i="11"/>
  <c r="J47" i="11"/>
  <c r="F48" i="11"/>
  <c r="G48" i="11"/>
  <c r="H48" i="11"/>
  <c r="I48" i="11"/>
  <c r="J48" i="11"/>
  <c r="F49" i="11"/>
  <c r="G49" i="11"/>
  <c r="H49" i="11"/>
  <c r="I49" i="11"/>
  <c r="J49" i="11"/>
  <c r="F50" i="11"/>
  <c r="G50" i="11"/>
  <c r="H50" i="11"/>
  <c r="I50" i="11"/>
  <c r="J50" i="11"/>
  <c r="F51" i="11"/>
  <c r="G51" i="11"/>
  <c r="H51" i="11"/>
  <c r="I51" i="11"/>
  <c r="J51" i="11"/>
  <c r="F52" i="11"/>
  <c r="G52" i="11"/>
  <c r="H52" i="11"/>
  <c r="I52" i="11"/>
  <c r="J52" i="11"/>
  <c r="F53" i="11"/>
  <c r="G53" i="11"/>
  <c r="H53" i="11"/>
  <c r="I53" i="11"/>
  <c r="J53" i="11"/>
  <c r="F54" i="11"/>
  <c r="G54" i="11"/>
  <c r="H54" i="11"/>
  <c r="I54" i="11"/>
  <c r="J54" i="11"/>
  <c r="F55" i="11"/>
  <c r="G55" i="11"/>
  <c r="H55" i="11"/>
  <c r="I55" i="11"/>
  <c r="J55" i="11"/>
  <c r="F56" i="11"/>
  <c r="G56" i="11"/>
  <c r="H56" i="11"/>
  <c r="I56" i="11"/>
  <c r="J56" i="11"/>
  <c r="F57" i="11"/>
  <c r="G57" i="11"/>
  <c r="H57" i="11"/>
  <c r="I57" i="11"/>
  <c r="J57" i="11"/>
  <c r="F58" i="11"/>
  <c r="G58" i="11"/>
  <c r="H58" i="11"/>
  <c r="I58" i="11"/>
  <c r="J58" i="11"/>
  <c r="F59" i="11"/>
  <c r="G59" i="11"/>
  <c r="H59" i="11"/>
  <c r="I59" i="11"/>
  <c r="J59" i="11"/>
  <c r="F60" i="11"/>
  <c r="G60" i="11"/>
  <c r="H60" i="11"/>
  <c r="I60" i="11"/>
  <c r="J60" i="11"/>
  <c r="F61" i="11"/>
  <c r="G61" i="11"/>
  <c r="H61" i="11"/>
  <c r="I61" i="11"/>
  <c r="J61" i="11"/>
  <c r="F62" i="11"/>
  <c r="G62" i="11"/>
  <c r="H62" i="11"/>
  <c r="I62" i="11"/>
  <c r="J62" i="11"/>
  <c r="F63" i="11"/>
  <c r="G63" i="11"/>
  <c r="H63" i="11"/>
  <c r="I63" i="11"/>
  <c r="J63" i="11"/>
  <c r="F64" i="11"/>
  <c r="G64" i="11"/>
  <c r="H64" i="11"/>
  <c r="I64" i="11"/>
  <c r="J64" i="11"/>
  <c r="F65" i="11"/>
  <c r="G65" i="11"/>
  <c r="H65" i="11"/>
  <c r="I65" i="11"/>
  <c r="J65" i="11"/>
  <c r="F66" i="11"/>
  <c r="G66" i="11"/>
  <c r="H66" i="11"/>
  <c r="I66" i="11"/>
  <c r="J66" i="11"/>
  <c r="F7" i="12"/>
  <c r="G7" i="12"/>
  <c r="H7" i="12"/>
  <c r="F8" i="12"/>
  <c r="G8" i="12"/>
  <c r="H8" i="12"/>
  <c r="F9" i="12"/>
  <c r="G9" i="12"/>
  <c r="H9" i="12"/>
  <c r="F10" i="12"/>
  <c r="G10" i="12"/>
  <c r="H10" i="12"/>
  <c r="F11" i="12"/>
  <c r="G11" i="12"/>
  <c r="H11" i="12"/>
  <c r="F12" i="12"/>
  <c r="G12" i="12"/>
  <c r="H12" i="12"/>
  <c r="F13" i="12"/>
  <c r="G13" i="12"/>
  <c r="H13" i="12"/>
  <c r="F14" i="12"/>
  <c r="G14" i="12"/>
  <c r="H14" i="12"/>
  <c r="F15" i="12"/>
  <c r="G15" i="12"/>
  <c r="H15" i="12"/>
  <c r="F16" i="12"/>
  <c r="G16" i="12"/>
  <c r="H16" i="12"/>
  <c r="I16" i="12"/>
  <c r="F17" i="12"/>
  <c r="G17" i="12"/>
  <c r="H17" i="12"/>
  <c r="I17" i="12"/>
  <c r="F18" i="12"/>
  <c r="G18" i="12"/>
  <c r="H18" i="12"/>
  <c r="I18" i="12"/>
  <c r="F19" i="12"/>
  <c r="G19" i="12"/>
  <c r="H19" i="12"/>
  <c r="I19" i="12"/>
  <c r="F20" i="12"/>
  <c r="G20" i="12"/>
  <c r="H20" i="12"/>
  <c r="I20" i="12"/>
  <c r="F21" i="12"/>
  <c r="G21" i="12"/>
  <c r="H21" i="12"/>
  <c r="I21" i="12"/>
  <c r="F22" i="12"/>
  <c r="G22" i="12"/>
  <c r="H22" i="12"/>
  <c r="I22" i="12"/>
  <c r="F23" i="12"/>
  <c r="G23" i="12"/>
  <c r="H23" i="12"/>
  <c r="I23" i="12"/>
  <c r="F24" i="12"/>
  <c r="G24" i="12"/>
  <c r="H24" i="12"/>
  <c r="I24" i="12"/>
  <c r="F25" i="12"/>
  <c r="G25" i="12"/>
  <c r="H25" i="12"/>
  <c r="I25" i="12"/>
  <c r="F26" i="12"/>
  <c r="G26" i="12"/>
  <c r="H26" i="12"/>
  <c r="I26" i="12"/>
  <c r="F27" i="12"/>
  <c r="G27" i="12"/>
  <c r="H27" i="12"/>
  <c r="I27" i="12"/>
  <c r="F28" i="12"/>
  <c r="G28" i="12"/>
  <c r="H28" i="12"/>
  <c r="I28" i="12"/>
  <c r="C11" i="13"/>
  <c r="D11" i="13"/>
  <c r="F11" i="13"/>
  <c r="C12" i="13"/>
  <c r="D12" i="13"/>
  <c r="F12" i="13"/>
  <c r="C13" i="13"/>
  <c r="D13" i="13"/>
  <c r="F13" i="13"/>
  <c r="C14" i="13"/>
  <c r="D14" i="13"/>
  <c r="F14" i="13"/>
  <c r="C15" i="13"/>
  <c r="D15" i="13"/>
  <c r="E15" i="13"/>
  <c r="F15" i="13"/>
  <c r="G15" i="13"/>
  <c r="H15" i="13"/>
  <c r="I15" i="13"/>
  <c r="J15" i="13"/>
  <c r="C16" i="13"/>
  <c r="D16" i="13"/>
  <c r="E16" i="13"/>
  <c r="F16" i="13"/>
  <c r="G16" i="13"/>
  <c r="H16" i="13"/>
  <c r="I16" i="13"/>
  <c r="J16" i="13"/>
  <c r="C17" i="13"/>
  <c r="D17" i="13"/>
  <c r="E17" i="13"/>
  <c r="F17" i="13"/>
  <c r="G17" i="13"/>
  <c r="H17" i="13"/>
  <c r="I17" i="13"/>
  <c r="J17" i="13"/>
  <c r="C18" i="13"/>
  <c r="D18" i="13"/>
  <c r="E18" i="13"/>
  <c r="F18" i="13"/>
  <c r="G18" i="13"/>
  <c r="H18" i="13"/>
  <c r="I18" i="13"/>
  <c r="J18" i="13"/>
  <c r="C19" i="13"/>
  <c r="D19" i="13"/>
  <c r="E19" i="13"/>
  <c r="F19" i="13"/>
  <c r="G19" i="13"/>
  <c r="H19" i="13"/>
  <c r="I19" i="13"/>
  <c r="J19" i="13"/>
  <c r="C20" i="13"/>
  <c r="D20" i="13"/>
  <c r="E20" i="13"/>
  <c r="F20" i="13"/>
  <c r="G20" i="13"/>
  <c r="H20" i="13"/>
  <c r="I20" i="13"/>
  <c r="J20" i="13"/>
  <c r="C21" i="13"/>
  <c r="D21" i="13"/>
  <c r="E21" i="13"/>
  <c r="F21" i="13"/>
  <c r="G21" i="13"/>
  <c r="H21" i="13"/>
  <c r="I21" i="13"/>
  <c r="J21" i="13"/>
  <c r="C22" i="13"/>
  <c r="D22" i="13"/>
  <c r="E22" i="13"/>
  <c r="F22" i="13"/>
  <c r="G22" i="13"/>
  <c r="H22" i="13"/>
  <c r="I22" i="13"/>
  <c r="J22" i="13"/>
  <c r="C23" i="13"/>
  <c r="D23" i="13"/>
  <c r="E23" i="13"/>
  <c r="F23" i="13"/>
  <c r="G23" i="13"/>
  <c r="H23" i="13"/>
  <c r="I23" i="13"/>
  <c r="J23" i="13"/>
  <c r="C24" i="13"/>
  <c r="D24" i="13"/>
  <c r="E24" i="13"/>
  <c r="F24" i="13"/>
  <c r="G24" i="13"/>
  <c r="H24" i="13"/>
  <c r="I24" i="13"/>
  <c r="J24" i="13"/>
  <c r="C25" i="13"/>
  <c r="D25" i="13"/>
  <c r="E25" i="13"/>
  <c r="F25" i="13"/>
  <c r="G25" i="13"/>
  <c r="H25" i="13"/>
  <c r="I25" i="13"/>
  <c r="J25" i="13"/>
  <c r="C26" i="13"/>
  <c r="D26" i="13"/>
  <c r="E26" i="13"/>
  <c r="F26" i="13"/>
  <c r="G26" i="13"/>
  <c r="H26" i="13"/>
  <c r="I26" i="13"/>
  <c r="J26" i="13"/>
  <c r="C27" i="13"/>
  <c r="D27" i="13"/>
  <c r="E27" i="13"/>
  <c r="F27" i="13"/>
  <c r="G27" i="13"/>
  <c r="H27" i="13"/>
  <c r="I27" i="13"/>
  <c r="J27" i="13"/>
  <c r="C28" i="13"/>
  <c r="D28" i="13"/>
  <c r="E28" i="13"/>
  <c r="F28" i="13"/>
  <c r="G28" i="13"/>
  <c r="H28" i="13"/>
  <c r="I28" i="13"/>
  <c r="J28" i="13"/>
  <c r="C29" i="13"/>
  <c r="D29" i="13"/>
  <c r="E29" i="13"/>
  <c r="F29" i="13"/>
  <c r="G29" i="13"/>
  <c r="H29" i="13"/>
  <c r="I29" i="13"/>
  <c r="J29" i="13"/>
  <c r="C30" i="13"/>
  <c r="D30" i="13"/>
  <c r="E30" i="13"/>
  <c r="F30" i="13"/>
  <c r="G30" i="13"/>
  <c r="H30" i="13"/>
  <c r="I30" i="13"/>
  <c r="J30" i="13"/>
  <c r="C31" i="13"/>
  <c r="D31" i="13"/>
  <c r="E31" i="13"/>
  <c r="F31" i="13"/>
  <c r="G31" i="13"/>
  <c r="H31" i="13"/>
  <c r="I31" i="13"/>
  <c r="J31" i="13"/>
  <c r="C32" i="13"/>
  <c r="D32" i="13"/>
  <c r="E32" i="13"/>
  <c r="F32" i="13"/>
  <c r="G32" i="13"/>
  <c r="H32" i="13"/>
  <c r="I32" i="13"/>
  <c r="J32" i="13"/>
  <c r="C33" i="13"/>
  <c r="D33" i="13"/>
  <c r="E33" i="13"/>
  <c r="F33" i="13"/>
  <c r="G33" i="13"/>
  <c r="H33" i="13"/>
  <c r="I33" i="13"/>
  <c r="J33" i="13"/>
  <c r="C34" i="13"/>
  <c r="D34" i="13"/>
  <c r="E34" i="13"/>
  <c r="F34" i="13"/>
  <c r="G34" i="13"/>
  <c r="H34" i="13"/>
  <c r="I34" i="13"/>
  <c r="J34" i="13"/>
  <c r="C35" i="13"/>
  <c r="D35" i="13"/>
  <c r="E35" i="13"/>
  <c r="F35" i="13"/>
  <c r="G35" i="13"/>
  <c r="H35" i="13"/>
  <c r="I35" i="13"/>
  <c r="J35" i="13"/>
  <c r="C36" i="13"/>
  <c r="D36" i="13"/>
  <c r="E36" i="13"/>
  <c r="F36" i="13"/>
  <c r="G36" i="13"/>
  <c r="H36" i="13"/>
  <c r="I36" i="13"/>
  <c r="J36" i="13"/>
  <c r="C37" i="13"/>
  <c r="D37" i="13"/>
  <c r="E37" i="13"/>
  <c r="F37" i="13"/>
  <c r="G37" i="13"/>
  <c r="H37" i="13"/>
  <c r="I37" i="13"/>
  <c r="J37" i="13"/>
  <c r="C38" i="13"/>
  <c r="D38" i="13"/>
  <c r="E38" i="13"/>
  <c r="F38" i="13"/>
  <c r="G38" i="13"/>
  <c r="H38" i="13"/>
  <c r="I38" i="13"/>
  <c r="J38" i="13"/>
  <c r="C39" i="13"/>
  <c r="D39" i="13"/>
  <c r="E39" i="13"/>
  <c r="F39" i="13"/>
  <c r="G39" i="13"/>
  <c r="H39" i="13"/>
  <c r="I39" i="13"/>
  <c r="J39" i="13"/>
  <c r="C40" i="13"/>
  <c r="D40" i="13"/>
  <c r="E40" i="13"/>
  <c r="F40" i="13"/>
  <c r="G40" i="13"/>
  <c r="H40" i="13"/>
  <c r="I40" i="13"/>
  <c r="J40" i="13"/>
  <c r="C41" i="13"/>
  <c r="D41" i="13"/>
  <c r="E41" i="13"/>
  <c r="F41" i="13"/>
  <c r="G41" i="13"/>
  <c r="H41" i="13"/>
  <c r="I41" i="13"/>
  <c r="J41" i="13"/>
  <c r="C42" i="13"/>
  <c r="D42" i="13"/>
  <c r="E42" i="13"/>
  <c r="F42" i="13"/>
  <c r="G42" i="13"/>
  <c r="H42" i="13"/>
  <c r="I42" i="13"/>
  <c r="J42" i="13"/>
  <c r="C43" i="13"/>
  <c r="D43" i="13"/>
  <c r="E43" i="13"/>
  <c r="F43" i="13"/>
  <c r="G43" i="13"/>
  <c r="H43" i="13"/>
  <c r="I43" i="13"/>
  <c r="J43" i="13"/>
  <c r="C44" i="13"/>
  <c r="D44" i="13"/>
  <c r="E44" i="13"/>
  <c r="F44" i="13"/>
  <c r="G44" i="13"/>
  <c r="H44" i="13"/>
  <c r="I44" i="13"/>
  <c r="J44" i="13"/>
  <c r="C45" i="13"/>
  <c r="D45" i="13"/>
  <c r="E45" i="13"/>
  <c r="F45" i="13"/>
  <c r="G45" i="13"/>
  <c r="H45" i="13"/>
  <c r="I45" i="13"/>
  <c r="J45" i="13"/>
  <c r="C46" i="13"/>
  <c r="D46" i="13"/>
  <c r="E46" i="13"/>
  <c r="F46" i="13"/>
  <c r="G46" i="13"/>
  <c r="H46" i="13"/>
  <c r="I46" i="13"/>
  <c r="J46" i="13"/>
  <c r="C47" i="13"/>
  <c r="D47" i="13"/>
  <c r="E47" i="13"/>
  <c r="F47" i="13"/>
  <c r="G47" i="13"/>
  <c r="H47" i="13"/>
  <c r="I47" i="13"/>
  <c r="J47" i="13"/>
  <c r="C48" i="13"/>
  <c r="D48" i="13"/>
  <c r="E48" i="13"/>
  <c r="F48" i="13"/>
  <c r="G48" i="13"/>
  <c r="H48" i="13"/>
  <c r="I48" i="13"/>
  <c r="J48" i="13"/>
  <c r="C49" i="13"/>
  <c r="D49" i="13"/>
  <c r="E49" i="13"/>
  <c r="F49" i="13"/>
  <c r="G49" i="13"/>
  <c r="H49" i="13"/>
  <c r="I49" i="13"/>
  <c r="J49" i="13"/>
  <c r="C50" i="13"/>
  <c r="D50" i="13"/>
  <c r="E50" i="13"/>
  <c r="F50" i="13"/>
  <c r="G50" i="13"/>
  <c r="H50" i="13"/>
  <c r="I50" i="13"/>
  <c r="J50" i="13"/>
  <c r="C51" i="13"/>
  <c r="D51" i="13"/>
  <c r="E51" i="13"/>
  <c r="F51" i="13"/>
  <c r="G51" i="13"/>
  <c r="H51" i="13"/>
  <c r="I51" i="13"/>
  <c r="J51" i="13"/>
  <c r="C52" i="13"/>
  <c r="D52" i="13"/>
  <c r="E52" i="13"/>
  <c r="F52" i="13"/>
  <c r="G52" i="13"/>
  <c r="H52" i="13"/>
  <c r="I52" i="13"/>
  <c r="J52" i="13"/>
  <c r="C53" i="13"/>
  <c r="D53" i="13"/>
  <c r="E53" i="13"/>
  <c r="F53" i="13"/>
  <c r="G53" i="13"/>
  <c r="H53" i="13"/>
  <c r="I53" i="13"/>
  <c r="J53" i="13"/>
  <c r="C54" i="13"/>
  <c r="D54" i="13"/>
  <c r="E54" i="13"/>
  <c r="F54" i="13"/>
  <c r="G54" i="13"/>
  <c r="H54" i="13"/>
  <c r="I54" i="13"/>
  <c r="J54" i="13"/>
  <c r="C55" i="13"/>
  <c r="D55" i="13"/>
  <c r="E55" i="13"/>
  <c r="F55" i="13"/>
  <c r="G55" i="13"/>
  <c r="H55" i="13"/>
  <c r="I55" i="13"/>
  <c r="J55" i="13"/>
  <c r="C56" i="13"/>
  <c r="D56" i="13"/>
  <c r="E56" i="13"/>
  <c r="F56" i="13"/>
  <c r="G56" i="13"/>
  <c r="H56" i="13"/>
  <c r="I56" i="13"/>
  <c r="J56" i="13"/>
  <c r="C57" i="13"/>
  <c r="D57" i="13"/>
  <c r="E57" i="13"/>
  <c r="F57" i="13"/>
  <c r="G57" i="13"/>
  <c r="H57" i="13"/>
  <c r="I57" i="13"/>
  <c r="J57" i="13"/>
  <c r="C58" i="13"/>
  <c r="D58" i="13"/>
  <c r="E58" i="13"/>
  <c r="F58" i="13"/>
  <c r="G58" i="13"/>
  <c r="H58" i="13"/>
  <c r="I58" i="13"/>
  <c r="J58" i="13"/>
  <c r="C59" i="13"/>
  <c r="D59" i="13"/>
  <c r="E59" i="13"/>
  <c r="F59" i="13"/>
  <c r="G59" i="13"/>
  <c r="H59" i="13"/>
  <c r="I59" i="13"/>
  <c r="J59" i="13"/>
  <c r="E7" i="93"/>
  <c r="E8" i="93"/>
  <c r="E9" i="93"/>
  <c r="E10" i="93"/>
  <c r="E11" i="93"/>
  <c r="F11" i="93"/>
  <c r="G11" i="93"/>
  <c r="H11" i="93"/>
  <c r="I11" i="93"/>
  <c r="J11" i="93"/>
  <c r="K11" i="93"/>
  <c r="E12" i="93"/>
  <c r="F12" i="93"/>
  <c r="G12" i="93"/>
  <c r="H12" i="93"/>
  <c r="I12" i="93"/>
  <c r="J12" i="93"/>
  <c r="K12" i="93"/>
  <c r="E13" i="93"/>
  <c r="F13" i="93"/>
  <c r="G13" i="93"/>
  <c r="H13" i="93"/>
  <c r="I13" i="93"/>
  <c r="J13" i="93"/>
  <c r="K13" i="93"/>
  <c r="E14" i="93"/>
  <c r="F14" i="93"/>
  <c r="G14" i="93"/>
  <c r="H14" i="93"/>
  <c r="I14" i="93"/>
  <c r="J14" i="93"/>
  <c r="K14" i="93"/>
  <c r="E15" i="93"/>
  <c r="F15" i="93"/>
  <c r="G15" i="93"/>
  <c r="H15" i="93"/>
  <c r="I15" i="93"/>
  <c r="J15" i="93"/>
  <c r="K15" i="93"/>
  <c r="E16" i="93"/>
  <c r="F16" i="93"/>
  <c r="G16" i="93"/>
  <c r="H16" i="93"/>
  <c r="I16" i="93"/>
  <c r="J16" i="93"/>
  <c r="K16" i="93"/>
  <c r="E17" i="93"/>
  <c r="F17" i="93"/>
  <c r="G17" i="93"/>
  <c r="H17" i="93"/>
  <c r="I17" i="93"/>
  <c r="J17" i="93"/>
  <c r="K17" i="93"/>
  <c r="E18" i="93"/>
  <c r="F18" i="93"/>
  <c r="G18" i="93"/>
  <c r="H18" i="93"/>
  <c r="I18" i="93"/>
  <c r="J18" i="93"/>
  <c r="K18" i="93"/>
  <c r="E19" i="93"/>
  <c r="F19" i="93"/>
  <c r="G19" i="93"/>
  <c r="H19" i="93"/>
  <c r="I19" i="93"/>
  <c r="J19" i="93"/>
  <c r="K19" i="93"/>
  <c r="E20" i="93"/>
  <c r="F20" i="93"/>
  <c r="G20" i="93"/>
  <c r="H20" i="93"/>
  <c r="I20" i="93"/>
  <c r="J20" i="93"/>
  <c r="K20" i="93"/>
  <c r="E21" i="93"/>
  <c r="F21" i="93"/>
  <c r="G21" i="93"/>
  <c r="H21" i="93"/>
  <c r="I21" i="93"/>
  <c r="J21" i="93"/>
  <c r="K21" i="93"/>
  <c r="E22" i="93"/>
  <c r="F22" i="93"/>
  <c r="G22" i="93"/>
  <c r="H22" i="93"/>
  <c r="I22" i="93"/>
  <c r="J22" i="93"/>
  <c r="K22" i="93"/>
  <c r="E23" i="93"/>
  <c r="F23" i="93"/>
  <c r="G23" i="93"/>
  <c r="H23" i="93"/>
  <c r="I23" i="93"/>
  <c r="J23" i="93"/>
  <c r="K23" i="93"/>
  <c r="E24" i="93"/>
  <c r="F24" i="93"/>
  <c r="G24" i="93"/>
  <c r="H24" i="93"/>
  <c r="I24" i="93"/>
  <c r="J24" i="93"/>
  <c r="K24" i="93"/>
  <c r="E25" i="93"/>
  <c r="F25" i="93"/>
  <c r="G25" i="93"/>
  <c r="H25" i="93"/>
  <c r="I25" i="93"/>
  <c r="J25" i="93"/>
  <c r="K25" i="93"/>
  <c r="E26" i="93"/>
  <c r="F26" i="93"/>
  <c r="G26" i="93"/>
  <c r="H26" i="93"/>
  <c r="I26" i="93"/>
  <c r="J26" i="93"/>
  <c r="K26" i="93"/>
  <c r="E27" i="93"/>
  <c r="F27" i="93"/>
  <c r="G27" i="93"/>
  <c r="H27" i="93"/>
  <c r="I27" i="93"/>
  <c r="J27" i="93"/>
  <c r="K27" i="93"/>
  <c r="E28" i="93"/>
  <c r="F28" i="93"/>
  <c r="G28" i="93"/>
  <c r="H28" i="93"/>
  <c r="I28" i="93"/>
  <c r="J28" i="93"/>
  <c r="K28" i="93"/>
  <c r="E29" i="93"/>
  <c r="F29" i="93"/>
  <c r="G29" i="93"/>
  <c r="H29" i="93"/>
  <c r="I29" i="93"/>
  <c r="J29" i="93"/>
  <c r="K29" i="93"/>
  <c r="E30" i="93"/>
  <c r="F30" i="93"/>
  <c r="G30" i="93"/>
  <c r="H30" i="93"/>
  <c r="I30" i="93"/>
  <c r="J30" i="93"/>
  <c r="K30" i="93"/>
  <c r="E31" i="93"/>
  <c r="F31" i="93"/>
  <c r="G31" i="93"/>
  <c r="H31" i="93"/>
  <c r="I31" i="93"/>
  <c r="J31" i="93"/>
  <c r="K31" i="93"/>
  <c r="F7" i="82"/>
  <c r="H7" i="82"/>
  <c r="J7" i="82"/>
  <c r="F8" i="82"/>
  <c r="H8" i="82"/>
  <c r="J8" i="82"/>
  <c r="F9" i="82"/>
  <c r="H9" i="82"/>
  <c r="J9" i="82"/>
  <c r="F10" i="82"/>
  <c r="H10" i="82"/>
  <c r="J10" i="82"/>
  <c r="F11" i="82"/>
  <c r="H11" i="82"/>
  <c r="J11" i="82"/>
  <c r="F12" i="82"/>
  <c r="H12" i="82"/>
  <c r="J12" i="82"/>
  <c r="F13" i="82"/>
  <c r="H13" i="82"/>
  <c r="J13" i="82"/>
  <c r="F14" i="82"/>
  <c r="H14" i="82"/>
  <c r="J14" i="82"/>
  <c r="F15" i="82"/>
  <c r="H15" i="82"/>
  <c r="J15" i="82"/>
  <c r="C16" i="82"/>
  <c r="E16" i="82"/>
  <c r="F16" i="82"/>
  <c r="G16" i="82"/>
  <c r="H16" i="82"/>
  <c r="I16" i="82"/>
  <c r="J16" i="82"/>
  <c r="K16" i="82"/>
  <c r="L16" i="82"/>
  <c r="M16" i="82"/>
  <c r="C17" i="82"/>
  <c r="E17" i="82"/>
  <c r="F17" i="82"/>
  <c r="G17" i="82"/>
  <c r="H17" i="82"/>
  <c r="I17" i="82"/>
  <c r="J17" i="82"/>
  <c r="K17" i="82"/>
  <c r="L17" i="82"/>
  <c r="M17" i="82"/>
  <c r="C18" i="82"/>
  <c r="E18" i="82"/>
  <c r="F18" i="82"/>
  <c r="G18" i="82"/>
  <c r="H18" i="82"/>
  <c r="I18" i="82"/>
  <c r="J18" i="82"/>
  <c r="K18" i="82"/>
  <c r="L18" i="82"/>
  <c r="M18" i="82"/>
  <c r="C19" i="82"/>
  <c r="E19" i="82"/>
  <c r="F19" i="82"/>
  <c r="G19" i="82"/>
  <c r="H19" i="82"/>
  <c r="I19" i="82"/>
  <c r="J19" i="82"/>
  <c r="K19" i="82"/>
  <c r="L19" i="82"/>
  <c r="M19" i="82"/>
  <c r="C20" i="82"/>
  <c r="E20" i="82"/>
  <c r="F20" i="82"/>
  <c r="G20" i="82"/>
  <c r="H20" i="82"/>
  <c r="I20" i="82"/>
  <c r="J20" i="82"/>
  <c r="K20" i="82"/>
  <c r="L20" i="82"/>
  <c r="M20" i="82"/>
  <c r="C21" i="82"/>
  <c r="E21" i="82"/>
  <c r="F21" i="82"/>
  <c r="G21" i="82"/>
  <c r="H21" i="82"/>
  <c r="I21" i="82"/>
  <c r="J21" i="82"/>
  <c r="K21" i="82"/>
  <c r="L21" i="82"/>
  <c r="M21" i="82"/>
  <c r="C22" i="82"/>
  <c r="E22" i="82"/>
  <c r="F22" i="82"/>
  <c r="G22" i="82"/>
  <c r="H22" i="82"/>
  <c r="I22" i="82"/>
  <c r="J22" i="82"/>
  <c r="K22" i="82"/>
  <c r="L22" i="82"/>
  <c r="M22" i="82"/>
  <c r="C23" i="82"/>
  <c r="E23" i="82"/>
  <c r="F23" i="82"/>
  <c r="G23" i="82"/>
  <c r="H23" i="82"/>
  <c r="I23" i="82"/>
  <c r="J23" i="82"/>
  <c r="K23" i="82"/>
  <c r="L23" i="82"/>
  <c r="M23" i="82"/>
  <c r="C24" i="82"/>
  <c r="E24" i="82"/>
  <c r="F24" i="82"/>
  <c r="G24" i="82"/>
  <c r="H24" i="82"/>
  <c r="I24" i="82"/>
  <c r="J24" i="82"/>
  <c r="K24" i="82"/>
  <c r="L24" i="82"/>
  <c r="M24" i="82"/>
  <c r="C25" i="82"/>
  <c r="E25" i="82"/>
  <c r="F25" i="82"/>
  <c r="G25" i="82"/>
  <c r="H25" i="82"/>
  <c r="I25" i="82"/>
  <c r="J25" i="82"/>
  <c r="K25" i="82"/>
  <c r="L25" i="82"/>
  <c r="M25" i="82"/>
  <c r="C26" i="82"/>
  <c r="E26" i="82"/>
  <c r="F26" i="82"/>
  <c r="G26" i="82"/>
  <c r="H26" i="82"/>
  <c r="I26" i="82"/>
  <c r="J26" i="82"/>
  <c r="K26" i="82"/>
  <c r="L26" i="82"/>
  <c r="M26" i="82"/>
  <c r="C27" i="82"/>
  <c r="E27" i="82"/>
  <c r="F27" i="82"/>
  <c r="G27" i="82"/>
  <c r="H27" i="82"/>
  <c r="I27" i="82"/>
  <c r="J27" i="82"/>
  <c r="K27" i="82"/>
  <c r="L27" i="82"/>
  <c r="M27" i="82"/>
  <c r="C28" i="82"/>
  <c r="E28" i="82"/>
  <c r="F28" i="82"/>
  <c r="G28" i="82"/>
  <c r="H28" i="82"/>
  <c r="I28" i="82"/>
  <c r="J28" i="82"/>
  <c r="K28" i="82"/>
  <c r="L28" i="82"/>
  <c r="M28" i="82"/>
  <c r="C29" i="82"/>
  <c r="E29" i="82"/>
  <c r="F29" i="82"/>
  <c r="G29" i="82"/>
  <c r="H29" i="82"/>
  <c r="I29" i="82"/>
  <c r="J29" i="82"/>
  <c r="K29" i="82"/>
  <c r="L29" i="82"/>
  <c r="M29" i="82"/>
  <c r="C30" i="82"/>
  <c r="E30" i="82"/>
  <c r="F30" i="82"/>
  <c r="G30" i="82"/>
  <c r="H30" i="82"/>
  <c r="I30" i="82"/>
  <c r="J30" i="82"/>
  <c r="K30" i="82"/>
  <c r="L30" i="82"/>
  <c r="M30" i="82"/>
  <c r="C31" i="82"/>
  <c r="E31" i="82"/>
  <c r="F31" i="82"/>
  <c r="G31" i="82"/>
  <c r="H31" i="82"/>
  <c r="I31" i="82"/>
  <c r="J31" i="82"/>
  <c r="K31" i="82"/>
  <c r="L31" i="82"/>
  <c r="M31" i="82"/>
  <c r="C32" i="82"/>
  <c r="E32" i="82"/>
  <c r="F32" i="82"/>
  <c r="G32" i="82"/>
  <c r="H32" i="82"/>
  <c r="I32" i="82"/>
  <c r="J32" i="82"/>
  <c r="K32" i="82"/>
  <c r="L32" i="82"/>
  <c r="M32" i="82"/>
  <c r="C33" i="82"/>
  <c r="E33" i="82"/>
  <c r="F33" i="82"/>
  <c r="G33" i="82"/>
  <c r="H33" i="82"/>
  <c r="I33" i="82"/>
  <c r="J33" i="82"/>
  <c r="K33" i="82"/>
  <c r="L33" i="82"/>
  <c r="M33" i="82"/>
  <c r="C34" i="82"/>
  <c r="E34" i="82"/>
  <c r="F34" i="82"/>
  <c r="G34" i="82"/>
  <c r="H34" i="82"/>
  <c r="I34" i="82"/>
  <c r="J34" i="82"/>
  <c r="K34" i="82"/>
  <c r="L34" i="82"/>
  <c r="M34" i="82"/>
  <c r="C35" i="82"/>
  <c r="E35" i="82"/>
  <c r="F35" i="82"/>
  <c r="G35" i="82"/>
  <c r="H35" i="82"/>
  <c r="I35" i="82"/>
  <c r="J35" i="82"/>
  <c r="K35" i="82"/>
  <c r="L35" i="82"/>
  <c r="M35" i="82"/>
  <c r="C36" i="82"/>
  <c r="E36" i="82"/>
  <c r="F36" i="82"/>
  <c r="G36" i="82"/>
  <c r="H36" i="82"/>
  <c r="I36" i="82"/>
  <c r="J36" i="82"/>
  <c r="K36" i="82"/>
  <c r="L36" i="82"/>
  <c r="M36" i="82"/>
  <c r="C37" i="82"/>
  <c r="E37" i="82"/>
  <c r="F37" i="82"/>
  <c r="G37" i="82"/>
  <c r="H37" i="82"/>
  <c r="I37" i="82"/>
  <c r="J37" i="82"/>
  <c r="K37" i="82"/>
  <c r="L37" i="82"/>
  <c r="M37" i="82"/>
  <c r="C38" i="82"/>
  <c r="E38" i="82"/>
  <c r="F38" i="82"/>
  <c r="G38" i="82"/>
  <c r="H38" i="82"/>
  <c r="I38" i="82"/>
  <c r="J38" i="82"/>
  <c r="K38" i="82"/>
  <c r="L38" i="82"/>
  <c r="M38" i="82"/>
  <c r="C39" i="82"/>
  <c r="E39" i="82"/>
  <c r="F39" i="82"/>
  <c r="G39" i="82"/>
  <c r="H39" i="82"/>
  <c r="I39" i="82"/>
  <c r="J39" i="82"/>
  <c r="K39" i="82"/>
  <c r="L39" i="82"/>
  <c r="M39" i="82"/>
  <c r="C40" i="82"/>
  <c r="E40" i="82"/>
  <c r="F40" i="82"/>
  <c r="G40" i="82"/>
  <c r="H40" i="82"/>
  <c r="I40" i="82"/>
  <c r="J40" i="82"/>
  <c r="K40" i="82"/>
  <c r="L40" i="82"/>
  <c r="M40" i="82"/>
  <c r="C41" i="82"/>
  <c r="E41" i="82"/>
  <c r="F41" i="82"/>
  <c r="G41" i="82"/>
  <c r="H41" i="82"/>
  <c r="I41" i="82"/>
  <c r="J41" i="82"/>
  <c r="K41" i="82"/>
  <c r="L41" i="82"/>
  <c r="M41" i="82"/>
  <c r="C42" i="82"/>
  <c r="E42" i="82"/>
  <c r="F42" i="82"/>
  <c r="G42" i="82"/>
  <c r="H42" i="82"/>
  <c r="I42" i="82"/>
  <c r="J42" i="82"/>
  <c r="K42" i="82"/>
  <c r="L42" i="82"/>
  <c r="M42" i="82"/>
  <c r="C43" i="82"/>
  <c r="E43" i="82"/>
  <c r="F43" i="82"/>
  <c r="G43" i="82"/>
  <c r="H43" i="82"/>
  <c r="I43" i="82"/>
  <c r="J43" i="82"/>
  <c r="K43" i="82"/>
  <c r="L43" i="82"/>
  <c r="M43" i="82"/>
  <c r="C44" i="82"/>
  <c r="E44" i="82"/>
  <c r="F44" i="82"/>
  <c r="G44" i="82"/>
  <c r="H44" i="82"/>
  <c r="I44" i="82"/>
  <c r="J44" i="82"/>
  <c r="K44" i="82"/>
  <c r="L44" i="82"/>
  <c r="M44" i="82"/>
  <c r="C45" i="82"/>
  <c r="E45" i="82"/>
  <c r="F45" i="82"/>
  <c r="G45" i="82"/>
  <c r="H45" i="82"/>
  <c r="I45" i="82"/>
  <c r="J45" i="82"/>
  <c r="K45" i="82"/>
  <c r="L45" i="82"/>
  <c r="M45" i="82"/>
  <c r="C46" i="82"/>
  <c r="E46" i="82"/>
  <c r="F46" i="82"/>
  <c r="G46" i="82"/>
  <c r="H46" i="82"/>
  <c r="I46" i="82"/>
  <c r="J46" i="82"/>
  <c r="K46" i="82"/>
  <c r="L46" i="82"/>
  <c r="M46" i="82"/>
  <c r="C47" i="82"/>
  <c r="E47" i="82"/>
  <c r="F47" i="82"/>
  <c r="G47" i="82"/>
  <c r="H47" i="82"/>
  <c r="I47" i="82"/>
  <c r="J47" i="82"/>
  <c r="K47" i="82"/>
  <c r="L47" i="82"/>
  <c r="M47" i="82"/>
  <c r="C48" i="82"/>
  <c r="E48" i="82"/>
  <c r="F48" i="82"/>
  <c r="G48" i="82"/>
  <c r="H48" i="82"/>
  <c r="I48" i="82"/>
  <c r="J48" i="82"/>
  <c r="K48" i="82"/>
  <c r="L48" i="82"/>
  <c r="M48" i="82"/>
  <c r="C49" i="82"/>
  <c r="E49" i="82"/>
  <c r="F49" i="82"/>
  <c r="G49" i="82"/>
  <c r="H49" i="82"/>
  <c r="I49" i="82"/>
  <c r="J49" i="82"/>
  <c r="K49" i="82"/>
  <c r="L49" i="82"/>
  <c r="M49" i="82"/>
  <c r="C50" i="82"/>
  <c r="E50" i="82"/>
  <c r="F50" i="82"/>
  <c r="G50" i="82"/>
  <c r="H50" i="82"/>
  <c r="I50" i="82"/>
  <c r="J50" i="82"/>
  <c r="K50" i="82"/>
  <c r="L50" i="82"/>
  <c r="M50" i="82"/>
  <c r="C51" i="82"/>
  <c r="E51" i="82"/>
  <c r="F51" i="82"/>
  <c r="G51" i="82"/>
  <c r="H51" i="82"/>
  <c r="I51" i="82"/>
  <c r="J51" i="82"/>
  <c r="K51" i="82"/>
  <c r="L51" i="82"/>
  <c r="M51" i="82"/>
  <c r="C52" i="82"/>
  <c r="E52" i="82"/>
  <c r="F52" i="82"/>
  <c r="G52" i="82"/>
  <c r="H52" i="82"/>
  <c r="I52" i="82"/>
  <c r="J52" i="82"/>
  <c r="K52" i="82"/>
  <c r="L52" i="82"/>
  <c r="M52" i="82"/>
  <c r="C53" i="82"/>
  <c r="E53" i="82"/>
  <c r="F53" i="82"/>
  <c r="G53" i="82"/>
  <c r="H53" i="82"/>
  <c r="I53" i="82"/>
  <c r="J53" i="82"/>
  <c r="K53" i="82"/>
  <c r="L53" i="82"/>
  <c r="M53" i="82"/>
  <c r="C54" i="82"/>
  <c r="E54" i="82"/>
  <c r="F54" i="82"/>
  <c r="G54" i="82"/>
  <c r="H54" i="82"/>
  <c r="I54" i="82"/>
  <c r="J54" i="82"/>
  <c r="K54" i="82"/>
  <c r="L54" i="82"/>
  <c r="M54" i="82"/>
  <c r="C55" i="82"/>
  <c r="E55" i="82"/>
  <c r="F55" i="82"/>
  <c r="G55" i="82"/>
  <c r="H55" i="82"/>
  <c r="I55" i="82"/>
  <c r="J55" i="82"/>
  <c r="K55" i="82"/>
  <c r="L55" i="82"/>
  <c r="M55" i="82"/>
  <c r="C56" i="82"/>
  <c r="E56" i="82"/>
  <c r="F56" i="82"/>
  <c r="G56" i="82"/>
  <c r="H56" i="82"/>
  <c r="I56" i="82"/>
  <c r="J56" i="82"/>
  <c r="K56" i="82"/>
  <c r="L56" i="82"/>
  <c r="M56" i="82"/>
  <c r="C57" i="82"/>
  <c r="E57" i="82"/>
  <c r="F57" i="82"/>
  <c r="G57" i="82"/>
  <c r="H57" i="82"/>
  <c r="I57" i="82"/>
  <c r="J57" i="82"/>
  <c r="K57" i="82"/>
  <c r="L57" i="82"/>
  <c r="M57" i="82"/>
  <c r="C58" i="82"/>
  <c r="E58" i="82"/>
  <c r="F58" i="82"/>
  <c r="G58" i="82"/>
  <c r="H58" i="82"/>
  <c r="I58" i="82"/>
  <c r="J58" i="82"/>
  <c r="K58" i="82"/>
  <c r="L58" i="82"/>
  <c r="M58" i="82"/>
  <c r="C59" i="82"/>
  <c r="E59" i="82"/>
  <c r="F59" i="82"/>
  <c r="G59" i="82"/>
  <c r="H59" i="82"/>
  <c r="I59" i="82"/>
  <c r="J59" i="82"/>
  <c r="K59" i="82"/>
  <c r="L59" i="82"/>
  <c r="M59" i="82"/>
  <c r="C60" i="82"/>
  <c r="E60" i="82"/>
  <c r="F60" i="82"/>
  <c r="G60" i="82"/>
  <c r="H60" i="82"/>
  <c r="I60" i="82"/>
  <c r="J60" i="82"/>
  <c r="K60" i="82"/>
  <c r="L60" i="82"/>
  <c r="M60" i="82"/>
  <c r="C61" i="82"/>
  <c r="E61" i="82"/>
  <c r="F61" i="82"/>
  <c r="G61" i="82"/>
  <c r="H61" i="82"/>
  <c r="I61" i="82"/>
  <c r="J61" i="82"/>
  <c r="K61" i="82"/>
  <c r="L61" i="82"/>
  <c r="M61" i="82"/>
  <c r="D7" i="14"/>
  <c r="E7" i="14"/>
  <c r="D8" i="14"/>
  <c r="E8" i="14"/>
  <c r="D9" i="14"/>
  <c r="E9" i="14"/>
  <c r="D10" i="14"/>
  <c r="E10" i="14"/>
  <c r="D11" i="14"/>
  <c r="E11" i="14"/>
  <c r="D12" i="14"/>
  <c r="E12" i="14"/>
  <c r="D13" i="14"/>
  <c r="E13" i="14"/>
  <c r="D14" i="14"/>
  <c r="E14" i="14"/>
  <c r="D15" i="14"/>
  <c r="E15" i="14"/>
  <c r="D16" i="14"/>
  <c r="E16" i="14"/>
  <c r="D17" i="14"/>
  <c r="E17" i="14"/>
  <c r="D18" i="14"/>
  <c r="E18" i="14"/>
  <c r="D19" i="14"/>
  <c r="E19" i="14"/>
  <c r="D20" i="14"/>
  <c r="E20" i="14"/>
  <c r="D21" i="14"/>
  <c r="E21" i="14"/>
  <c r="D22" i="14"/>
  <c r="E22" i="14"/>
  <c r="D23" i="14"/>
  <c r="E23" i="14"/>
  <c r="D24" i="14"/>
  <c r="E24" i="14"/>
  <c r="D25" i="14"/>
  <c r="E25" i="14"/>
  <c r="D26" i="14"/>
  <c r="E26" i="14"/>
  <c r="D27" i="14"/>
  <c r="E27" i="14"/>
  <c r="D28" i="14"/>
  <c r="E28" i="14"/>
  <c r="D29" i="14"/>
  <c r="E29" i="14"/>
  <c r="D30" i="14"/>
  <c r="E30" i="14"/>
  <c r="D31" i="14"/>
  <c r="E31" i="14"/>
  <c r="D32" i="14"/>
  <c r="E32" i="14"/>
  <c r="D33" i="14"/>
  <c r="E33" i="14"/>
  <c r="D34" i="14"/>
  <c r="E34" i="14"/>
  <c r="D35" i="14"/>
  <c r="E35" i="14"/>
  <c r="D36" i="14"/>
  <c r="E36" i="14"/>
  <c r="D37" i="14"/>
  <c r="E37" i="14"/>
  <c r="D38" i="14"/>
  <c r="E38" i="14"/>
  <c r="D39" i="14"/>
  <c r="E39" i="14"/>
  <c r="C11" i="98"/>
  <c r="C12" i="98"/>
  <c r="C13" i="98"/>
  <c r="C14" i="98"/>
  <c r="C15" i="98"/>
  <c r="D15" i="98"/>
  <c r="C16" i="98"/>
  <c r="D16" i="98"/>
  <c r="C17" i="98"/>
  <c r="D17" i="98"/>
  <c r="C18" i="98"/>
  <c r="D18" i="98"/>
  <c r="C19" i="98"/>
  <c r="D19" i="98"/>
  <c r="E19" i="98"/>
  <c r="F19" i="98"/>
  <c r="C20" i="98"/>
  <c r="D20" i="98"/>
  <c r="E20" i="98"/>
  <c r="F20" i="98"/>
  <c r="C21" i="98"/>
  <c r="D21" i="98"/>
  <c r="E21" i="98"/>
  <c r="F21" i="98"/>
  <c r="C22" i="98"/>
  <c r="D22" i="98"/>
  <c r="E22" i="98"/>
  <c r="F22" i="98"/>
  <c r="C23" i="98"/>
  <c r="D23" i="98"/>
  <c r="E23" i="98"/>
  <c r="F23" i="98"/>
  <c r="G23" i="98"/>
  <c r="C24" i="98"/>
  <c r="D24" i="98"/>
  <c r="E24" i="98"/>
  <c r="F24" i="98"/>
  <c r="G24" i="98"/>
  <c r="C25" i="98"/>
  <c r="D25" i="98"/>
  <c r="E25" i="98"/>
  <c r="F25" i="98"/>
  <c r="G25" i="98"/>
  <c r="C26" i="98"/>
  <c r="D26" i="98"/>
  <c r="E26" i="98"/>
  <c r="F26" i="98"/>
  <c r="G26" i="98"/>
  <c r="C27" i="98"/>
  <c r="D27" i="98"/>
  <c r="E27" i="98"/>
  <c r="F27" i="98"/>
  <c r="G27" i="98"/>
  <c r="C28" i="98"/>
  <c r="D28" i="98"/>
  <c r="E28" i="98"/>
  <c r="F28" i="98"/>
  <c r="G28" i="98"/>
  <c r="C29" i="98"/>
  <c r="D29" i="98"/>
  <c r="E29" i="98"/>
  <c r="F29" i="98"/>
  <c r="G29" i="98"/>
  <c r="C30" i="98"/>
  <c r="D30" i="98"/>
  <c r="E30" i="98"/>
  <c r="F30" i="98"/>
  <c r="G30" i="98"/>
  <c r="C31" i="98"/>
  <c r="D31" i="98"/>
  <c r="E31" i="98"/>
  <c r="F31" i="98"/>
  <c r="G31" i="98"/>
  <c r="C32" i="98"/>
  <c r="D32" i="98"/>
  <c r="E32" i="98"/>
  <c r="F32" i="98"/>
  <c r="G32" i="98"/>
  <c r="C33" i="98"/>
  <c r="D33" i="98"/>
  <c r="E33" i="98"/>
  <c r="F33" i="98"/>
  <c r="G33" i="98"/>
  <c r="C34" i="98"/>
  <c r="D34" i="98"/>
  <c r="E34" i="98"/>
  <c r="F34" i="98"/>
  <c r="G34" i="98"/>
  <c r="C35" i="98"/>
  <c r="D35" i="98"/>
  <c r="E35" i="98"/>
  <c r="F35" i="98"/>
  <c r="G35" i="98"/>
  <c r="C36" i="98"/>
  <c r="D36" i="98"/>
  <c r="E36" i="98"/>
  <c r="F36" i="98"/>
  <c r="G36" i="98"/>
  <c r="C37" i="98"/>
  <c r="D37" i="98"/>
  <c r="E37" i="98"/>
  <c r="F37" i="98"/>
  <c r="G37" i="98"/>
  <c r="C38" i="98"/>
  <c r="D38" i="98"/>
  <c r="E38" i="98"/>
  <c r="F38" i="98"/>
  <c r="G38" i="98"/>
  <c r="C39" i="98"/>
  <c r="D39" i="98"/>
  <c r="E39" i="98"/>
  <c r="F39" i="98"/>
  <c r="G39" i="98"/>
  <c r="C40" i="98"/>
  <c r="D40" i="98"/>
  <c r="E40" i="98"/>
  <c r="F40" i="98"/>
  <c r="G40" i="98"/>
  <c r="C41" i="98"/>
  <c r="D41" i="98"/>
  <c r="E41" i="98"/>
  <c r="F41" i="98"/>
  <c r="G41" i="98"/>
  <c r="C42" i="98"/>
  <c r="D42" i="98"/>
  <c r="E42" i="98"/>
  <c r="F42" i="98"/>
  <c r="G42" i="98"/>
  <c r="C43" i="98"/>
  <c r="D43" i="98"/>
  <c r="E43" i="98"/>
  <c r="F43" i="98"/>
  <c r="G43" i="98"/>
  <c r="C44" i="98"/>
  <c r="D44" i="98"/>
  <c r="E44" i="98"/>
  <c r="F44" i="98"/>
  <c r="G44" i="98"/>
  <c r="C45" i="98"/>
  <c r="D45" i="98"/>
  <c r="E45" i="98"/>
  <c r="F45" i="98"/>
  <c r="G45" i="98"/>
  <c r="C46" i="98"/>
  <c r="D46" i="98"/>
  <c r="E46" i="98"/>
  <c r="F46" i="98"/>
  <c r="G46" i="98"/>
  <c r="C47" i="98"/>
  <c r="D47" i="98"/>
  <c r="E47" i="98"/>
  <c r="F47" i="98"/>
  <c r="G47" i="98"/>
  <c r="C48" i="98"/>
  <c r="D48" i="98"/>
  <c r="E48" i="98"/>
  <c r="F48" i="98"/>
  <c r="G48" i="98"/>
  <c r="C49" i="98"/>
  <c r="D49" i="98"/>
  <c r="E49" i="98"/>
  <c r="F49" i="98"/>
  <c r="G49" i="98"/>
  <c r="C50" i="98"/>
  <c r="D50" i="98"/>
  <c r="E50" i="98"/>
  <c r="F50" i="98"/>
  <c r="G50" i="98"/>
  <c r="C51" i="98"/>
  <c r="D51" i="98"/>
  <c r="E51" i="98"/>
  <c r="F51" i="98"/>
  <c r="G51" i="98"/>
  <c r="C52" i="98"/>
  <c r="D52" i="98"/>
  <c r="E52" i="98"/>
  <c r="F52" i="98"/>
  <c r="G52" i="98"/>
  <c r="C53" i="98"/>
  <c r="D53" i="98"/>
  <c r="E53" i="98"/>
  <c r="F53" i="98"/>
  <c r="G53" i="98"/>
  <c r="C54" i="98"/>
  <c r="D54" i="98"/>
  <c r="E54" i="98"/>
  <c r="F54" i="98"/>
  <c r="G54" i="98"/>
  <c r="C55" i="98"/>
  <c r="D55" i="98"/>
  <c r="E55" i="98"/>
  <c r="F55" i="98"/>
  <c r="G55" i="98"/>
  <c r="C56" i="98"/>
  <c r="D56" i="98"/>
  <c r="E56" i="98"/>
  <c r="F56" i="98"/>
  <c r="G56" i="98"/>
  <c r="C57" i="98"/>
  <c r="D57" i="98"/>
  <c r="E57" i="98"/>
  <c r="F57" i="98"/>
  <c r="G57" i="98"/>
  <c r="C58" i="98"/>
  <c r="D58" i="98"/>
  <c r="E58" i="98"/>
  <c r="F58" i="98"/>
  <c r="G58" i="98"/>
  <c r="C59" i="98"/>
  <c r="D59" i="98"/>
  <c r="E59" i="98"/>
  <c r="F59" i="98"/>
  <c r="G59" i="98"/>
  <c r="C60" i="98"/>
  <c r="D60" i="98"/>
  <c r="E60" i="98"/>
  <c r="F60" i="98"/>
  <c r="G60" i="98"/>
  <c r="C15" i="15"/>
  <c r="D11" i="15"/>
  <c r="E11" i="15"/>
  <c r="C16" i="15"/>
  <c r="D12" i="15"/>
  <c r="E12" i="15"/>
  <c r="C17" i="15"/>
  <c r="D13" i="15"/>
  <c r="E13" i="15"/>
  <c r="C18" i="15"/>
  <c r="D14" i="15"/>
  <c r="E14" i="15"/>
  <c r="C19" i="15"/>
  <c r="D15" i="15"/>
  <c r="E15" i="15"/>
  <c r="C20" i="15"/>
  <c r="D16" i="15"/>
  <c r="E16" i="15"/>
  <c r="C21" i="15"/>
  <c r="D17" i="15"/>
  <c r="E17" i="15"/>
  <c r="C22" i="15"/>
  <c r="D18" i="15"/>
  <c r="E18" i="15"/>
  <c r="C23" i="15"/>
  <c r="D19" i="15"/>
  <c r="E19" i="15"/>
  <c r="C24" i="15"/>
  <c r="D20" i="15"/>
  <c r="E20" i="15"/>
  <c r="C25" i="15"/>
  <c r="D21" i="15"/>
  <c r="E21" i="15"/>
  <c r="C26" i="15"/>
  <c r="D22" i="15"/>
  <c r="E22" i="15"/>
  <c r="C27" i="15"/>
  <c r="D23" i="15"/>
  <c r="E23" i="15"/>
  <c r="C28" i="15"/>
  <c r="D24" i="15"/>
  <c r="E24" i="15"/>
  <c r="C29" i="15"/>
  <c r="D25" i="15"/>
  <c r="E25" i="15"/>
  <c r="C30" i="15"/>
  <c r="D26" i="15"/>
  <c r="E26" i="15"/>
  <c r="C31" i="15"/>
  <c r="D27" i="15"/>
  <c r="E27" i="15"/>
  <c r="C32" i="15"/>
  <c r="D28" i="15"/>
  <c r="E28" i="15"/>
  <c r="C33" i="15"/>
  <c r="D29" i="15"/>
  <c r="E29" i="15"/>
  <c r="C34" i="15"/>
  <c r="D30" i="15"/>
  <c r="E30" i="15"/>
  <c r="C35" i="15"/>
  <c r="D31" i="15"/>
  <c r="E31" i="15"/>
  <c r="C36" i="15"/>
  <c r="D32" i="15"/>
  <c r="E32" i="15"/>
  <c r="C37" i="15"/>
  <c r="D33" i="15"/>
  <c r="E33" i="15"/>
  <c r="C38" i="15"/>
  <c r="D34" i="15"/>
  <c r="E34" i="15"/>
  <c r="C39" i="15"/>
  <c r="D35" i="15"/>
  <c r="E35" i="15"/>
  <c r="C40" i="15"/>
  <c r="D36" i="15"/>
  <c r="E36" i="15"/>
  <c r="C41" i="15"/>
  <c r="D37" i="15"/>
  <c r="E37" i="15"/>
  <c r="C42" i="15"/>
  <c r="D38" i="15"/>
  <c r="E38" i="15"/>
  <c r="C43" i="15"/>
  <c r="D39" i="15"/>
  <c r="E39" i="15"/>
  <c r="C44" i="15"/>
  <c r="D40" i="15"/>
  <c r="E40" i="15"/>
  <c r="C45" i="15"/>
  <c r="D41" i="15"/>
  <c r="E41" i="15"/>
  <c r="C46" i="15"/>
  <c r="D42" i="15"/>
  <c r="E42" i="15"/>
  <c r="C47" i="15"/>
  <c r="D43" i="15"/>
  <c r="E43" i="15"/>
  <c r="C48" i="15"/>
  <c r="D44" i="15"/>
  <c r="E44" i="15"/>
  <c r="C49" i="15"/>
  <c r="D45" i="15"/>
  <c r="E45" i="15"/>
  <c r="C50" i="15"/>
  <c r="D46" i="15"/>
  <c r="E46" i="15"/>
  <c r="C51" i="15"/>
  <c r="D47" i="15"/>
  <c r="E47" i="15"/>
  <c r="F12" i="88"/>
  <c r="G12" i="88"/>
  <c r="H12" i="88"/>
  <c r="F13" i="88"/>
  <c r="G13" i="88"/>
  <c r="H13" i="88"/>
  <c r="F14" i="88"/>
  <c r="G14" i="88"/>
  <c r="H14" i="88"/>
  <c r="F15" i="88"/>
  <c r="G15" i="88"/>
  <c r="H15" i="88"/>
  <c r="F16" i="88"/>
  <c r="G16" i="88"/>
  <c r="H16" i="88"/>
  <c r="F17" i="88"/>
  <c r="G17" i="88"/>
  <c r="H17" i="88"/>
  <c r="F18" i="88"/>
  <c r="G18" i="88"/>
  <c r="H18" i="88"/>
  <c r="F19" i="88"/>
  <c r="G19" i="88"/>
  <c r="H19" i="88"/>
  <c r="F20" i="88"/>
  <c r="G20" i="88"/>
  <c r="H20" i="88"/>
  <c r="F21" i="88"/>
  <c r="G21" i="88"/>
  <c r="H21" i="88"/>
  <c r="F22" i="88"/>
  <c r="G22" i="88"/>
  <c r="H22" i="88"/>
  <c r="F23" i="88"/>
  <c r="G23" i="88"/>
  <c r="H23" i="88"/>
  <c r="F24" i="88"/>
  <c r="G24" i="88"/>
  <c r="H24" i="88"/>
  <c r="I24" i="88"/>
  <c r="J24" i="88"/>
  <c r="K24" i="88"/>
  <c r="S24" i="88"/>
  <c r="F25" i="88"/>
  <c r="G25" i="88"/>
  <c r="H25" i="88"/>
  <c r="I25" i="88"/>
  <c r="J25" i="88"/>
  <c r="K25" i="88"/>
  <c r="L25" i="88"/>
  <c r="M25" i="88"/>
  <c r="N25" i="88"/>
  <c r="O25" i="88"/>
  <c r="P25" i="88"/>
  <c r="S25" i="88"/>
  <c r="F26" i="88"/>
  <c r="G26" i="88"/>
  <c r="H26" i="88"/>
  <c r="I26" i="88"/>
  <c r="J26" i="88"/>
  <c r="K26" i="88"/>
  <c r="L26" i="88"/>
  <c r="M26" i="88"/>
  <c r="N26" i="88"/>
  <c r="O26" i="88"/>
  <c r="P26" i="88"/>
  <c r="S26" i="88"/>
  <c r="F27" i="88"/>
  <c r="G27" i="88"/>
  <c r="H27" i="88"/>
  <c r="I27" i="88"/>
  <c r="J27" i="88"/>
  <c r="K27" i="88"/>
  <c r="L27" i="88"/>
  <c r="M27" i="88"/>
  <c r="N27" i="88"/>
  <c r="O27" i="88"/>
  <c r="P27" i="88"/>
  <c r="S27" i="88"/>
  <c r="F28" i="88"/>
  <c r="G28" i="88"/>
  <c r="H28" i="88"/>
  <c r="I28" i="88"/>
  <c r="J28" i="88"/>
  <c r="K28" i="88"/>
  <c r="L28" i="88"/>
  <c r="M28" i="88"/>
  <c r="N28" i="88"/>
  <c r="O28" i="88"/>
  <c r="P28" i="88"/>
  <c r="S28" i="88"/>
  <c r="F29" i="88"/>
  <c r="G29" i="88"/>
  <c r="H29" i="88"/>
  <c r="I29" i="88"/>
  <c r="J29" i="88"/>
  <c r="K29" i="88"/>
  <c r="L29" i="88"/>
  <c r="M29" i="88"/>
  <c r="N29" i="88"/>
  <c r="O29" i="88"/>
  <c r="P29" i="88"/>
  <c r="S29" i="88"/>
  <c r="F30" i="88"/>
  <c r="G30" i="88"/>
  <c r="H30" i="88"/>
  <c r="I30" i="88"/>
  <c r="J30" i="88"/>
  <c r="K30" i="88"/>
  <c r="L30" i="88"/>
  <c r="M30" i="88"/>
  <c r="N30" i="88"/>
  <c r="O30" i="88"/>
  <c r="P30" i="88"/>
  <c r="S30" i="88"/>
  <c r="F31" i="88"/>
  <c r="G31" i="88"/>
  <c r="H31" i="88"/>
  <c r="I31" i="88"/>
  <c r="J31" i="88"/>
  <c r="K31" i="88"/>
  <c r="L31" i="88"/>
  <c r="M31" i="88"/>
  <c r="N31" i="88"/>
  <c r="O31" i="88"/>
  <c r="P31" i="88"/>
  <c r="S31" i="88"/>
  <c r="F32" i="88"/>
  <c r="G32" i="88"/>
  <c r="H32" i="88"/>
  <c r="I32" i="88"/>
  <c r="J32" i="88"/>
  <c r="K32" i="88"/>
  <c r="L32" i="88"/>
  <c r="M32" i="88"/>
  <c r="N32" i="88"/>
  <c r="O32" i="88"/>
  <c r="P32" i="88"/>
  <c r="S32" i="88"/>
  <c r="F33" i="88"/>
  <c r="G33" i="88"/>
  <c r="H33" i="88"/>
  <c r="I33" i="88"/>
  <c r="J33" i="88"/>
  <c r="K33" i="88"/>
  <c r="L33" i="88"/>
  <c r="M33" i="88"/>
  <c r="N33" i="88"/>
  <c r="O33" i="88"/>
  <c r="P33" i="88"/>
  <c r="S33" i="88"/>
  <c r="F34" i="88"/>
  <c r="G34" i="88"/>
  <c r="H34" i="88"/>
  <c r="I34" i="88"/>
  <c r="J34" i="88"/>
  <c r="K34" i="88"/>
  <c r="L34" i="88"/>
  <c r="M34" i="88"/>
  <c r="N34" i="88"/>
  <c r="O34" i="88"/>
  <c r="P34" i="88"/>
  <c r="S34" i="88"/>
  <c r="F35" i="88"/>
  <c r="G35" i="88"/>
  <c r="H35" i="88"/>
  <c r="I35" i="88"/>
  <c r="J35" i="88"/>
  <c r="K35" i="88"/>
  <c r="L35" i="88"/>
  <c r="M35" i="88"/>
  <c r="N35" i="88"/>
  <c r="O35" i="88"/>
  <c r="P35" i="88"/>
  <c r="S35" i="88"/>
  <c r="F36" i="88"/>
  <c r="G36" i="88"/>
  <c r="H36" i="88"/>
  <c r="I36" i="88"/>
  <c r="J36" i="88"/>
  <c r="K36" i="88"/>
  <c r="L36" i="88"/>
  <c r="M36" i="88"/>
  <c r="N36" i="88"/>
  <c r="O36" i="88"/>
  <c r="P36" i="88"/>
  <c r="S36" i="88"/>
  <c r="F37" i="88"/>
  <c r="G37" i="88"/>
  <c r="H37" i="88"/>
  <c r="I37" i="88"/>
  <c r="J37" i="88"/>
  <c r="K37" i="88"/>
  <c r="L37" i="88"/>
  <c r="M37" i="88"/>
  <c r="N37" i="88"/>
  <c r="O37" i="88"/>
  <c r="P37" i="88"/>
  <c r="S37" i="88"/>
  <c r="F38" i="88"/>
  <c r="G38" i="88"/>
  <c r="H38" i="88"/>
  <c r="I38" i="88"/>
  <c r="J38" i="88"/>
  <c r="K38" i="88"/>
  <c r="L38" i="88"/>
  <c r="M38" i="88"/>
  <c r="N38" i="88"/>
  <c r="O38" i="88"/>
  <c r="P38" i="88"/>
  <c r="Q38" i="88"/>
  <c r="S38" i="88"/>
  <c r="F39" i="88"/>
  <c r="G39" i="88"/>
  <c r="H39" i="88"/>
  <c r="I39" i="88"/>
  <c r="J39" i="88"/>
  <c r="K39" i="88"/>
  <c r="L39" i="88"/>
  <c r="M39" i="88"/>
  <c r="N39" i="88"/>
  <c r="O39" i="88"/>
  <c r="P39" i="88"/>
  <c r="Q39" i="88"/>
  <c r="S39" i="88"/>
  <c r="F40" i="88"/>
  <c r="G40" i="88"/>
  <c r="H40" i="88"/>
  <c r="I40" i="88"/>
  <c r="J40" i="88"/>
  <c r="K40" i="88"/>
  <c r="L40" i="88"/>
  <c r="M40" i="88"/>
  <c r="N40" i="88"/>
  <c r="O40" i="88"/>
  <c r="P40" i="88"/>
  <c r="Q40" i="88"/>
  <c r="S40" i="88"/>
  <c r="F41" i="88"/>
  <c r="G41" i="88"/>
  <c r="H41" i="88"/>
  <c r="I41" i="88"/>
  <c r="J41" i="88"/>
  <c r="K41" i="88"/>
  <c r="L41" i="88"/>
  <c r="M41" i="88"/>
  <c r="N41" i="88"/>
  <c r="O41" i="88"/>
  <c r="P41" i="88"/>
  <c r="Q41" i="88"/>
  <c r="S41" i="88"/>
  <c r="F42" i="88"/>
  <c r="G42" i="88"/>
  <c r="H42" i="88"/>
  <c r="I42" i="88"/>
  <c r="J42" i="88"/>
  <c r="K42" i="88"/>
  <c r="L42" i="88"/>
  <c r="M42" i="88"/>
  <c r="N42" i="88"/>
  <c r="O42" i="88"/>
  <c r="P42" i="88"/>
  <c r="Q42" i="88"/>
  <c r="S42" i="88"/>
  <c r="F43" i="88"/>
  <c r="G43" i="88"/>
  <c r="H43" i="88"/>
  <c r="I43" i="88"/>
  <c r="J43" i="88"/>
  <c r="K43" i="88"/>
  <c r="L43" i="88"/>
  <c r="M43" i="88"/>
  <c r="N43" i="88"/>
  <c r="O43" i="88"/>
  <c r="P43" i="88"/>
  <c r="Q43" i="88"/>
  <c r="S43" i="88"/>
  <c r="F44" i="88"/>
  <c r="G44" i="88"/>
  <c r="H44" i="88"/>
  <c r="I44" i="88"/>
  <c r="J44" i="88"/>
  <c r="K44" i="88"/>
  <c r="L44" i="88"/>
  <c r="M44" i="88"/>
  <c r="N44" i="88"/>
  <c r="O44" i="88"/>
  <c r="P44" i="88"/>
  <c r="Q44" i="88"/>
  <c r="S44" i="88"/>
  <c r="F45" i="88"/>
  <c r="G45" i="88"/>
  <c r="H45" i="88"/>
  <c r="I45" i="88"/>
  <c r="J45" i="88"/>
  <c r="K45" i="88"/>
  <c r="L45" i="88"/>
  <c r="M45" i="88"/>
  <c r="N45" i="88"/>
  <c r="O45" i="88"/>
  <c r="P45" i="88"/>
  <c r="Q45" i="88"/>
  <c r="S45" i="88"/>
  <c r="F46" i="88"/>
  <c r="G46" i="88"/>
  <c r="H46" i="88"/>
  <c r="I46" i="88"/>
  <c r="J46" i="88"/>
  <c r="K46" i="88"/>
  <c r="L46" i="88"/>
  <c r="M46" i="88"/>
  <c r="N46" i="88"/>
  <c r="O46" i="88"/>
  <c r="P46" i="88"/>
  <c r="Q46" i="88"/>
  <c r="S46" i="88"/>
  <c r="F47" i="88"/>
  <c r="G47" i="88"/>
  <c r="H47" i="88"/>
  <c r="I47" i="88"/>
  <c r="J47" i="88"/>
  <c r="K47" i="88"/>
  <c r="L47" i="88"/>
  <c r="M47" i="88"/>
  <c r="N47" i="88"/>
  <c r="O47" i="88"/>
  <c r="P47" i="88"/>
  <c r="Q47" i="88"/>
  <c r="S47" i="88"/>
  <c r="F48" i="88"/>
  <c r="G48" i="88"/>
  <c r="H48" i="88"/>
  <c r="I48" i="88"/>
  <c r="J48" i="88"/>
  <c r="K48" i="88"/>
  <c r="L48" i="88"/>
  <c r="M48" i="88"/>
  <c r="N48" i="88"/>
  <c r="O48" i="88"/>
  <c r="P48" i="88"/>
  <c r="Q48" i="88"/>
  <c r="S48" i="88"/>
  <c r="F49" i="88"/>
  <c r="G49" i="88"/>
  <c r="H49" i="88"/>
  <c r="I49" i="88"/>
  <c r="J49" i="88"/>
  <c r="K49" i="88"/>
  <c r="L49" i="88"/>
  <c r="M49" i="88"/>
  <c r="N49" i="88"/>
  <c r="O49" i="88"/>
  <c r="P49" i="88"/>
  <c r="Q49" i="88"/>
  <c r="S49" i="88"/>
  <c r="F50" i="88"/>
  <c r="G50" i="88"/>
  <c r="H50" i="88"/>
  <c r="I50" i="88"/>
  <c r="J50" i="88"/>
  <c r="K50" i="88"/>
  <c r="L50" i="88"/>
  <c r="M50" i="88"/>
  <c r="N50" i="88"/>
  <c r="O50" i="88"/>
  <c r="P50" i="88"/>
  <c r="Q50" i="88"/>
  <c r="S50" i="88"/>
  <c r="F51" i="88"/>
  <c r="G51" i="88"/>
  <c r="H51" i="88"/>
  <c r="I51" i="88"/>
  <c r="J51" i="88"/>
  <c r="K51" i="88"/>
  <c r="L51" i="88"/>
  <c r="M51" i="88"/>
  <c r="N51" i="88"/>
  <c r="O51" i="88"/>
  <c r="P51" i="88"/>
  <c r="Q51" i="88"/>
  <c r="R51" i="88"/>
  <c r="S51" i="88"/>
  <c r="T51" i="88"/>
  <c r="U51" i="88"/>
  <c r="F52" i="88"/>
  <c r="G52" i="88"/>
  <c r="H52" i="88"/>
  <c r="I52" i="88"/>
  <c r="J52" i="88"/>
  <c r="K52" i="88"/>
  <c r="L52" i="88"/>
  <c r="M52" i="88"/>
  <c r="N52" i="88"/>
  <c r="O52" i="88"/>
  <c r="P52" i="88"/>
  <c r="Q52" i="88"/>
  <c r="R52" i="88"/>
  <c r="S52" i="88"/>
  <c r="T52" i="88"/>
  <c r="U52" i="88"/>
  <c r="F53" i="88"/>
  <c r="G53" i="88"/>
  <c r="H53" i="88"/>
  <c r="I53" i="88"/>
  <c r="J53" i="88"/>
  <c r="K53" i="88"/>
  <c r="L53" i="88"/>
  <c r="M53" i="88"/>
  <c r="N53" i="88"/>
  <c r="O53" i="88"/>
  <c r="P53" i="88"/>
  <c r="Q53" i="88"/>
  <c r="R53" i="88"/>
  <c r="S53" i="88"/>
  <c r="T53" i="88"/>
  <c r="U53" i="88"/>
  <c r="F54" i="88"/>
  <c r="G54" i="88"/>
  <c r="H54" i="88"/>
  <c r="I54" i="88"/>
  <c r="J54" i="88"/>
  <c r="K54" i="88"/>
  <c r="L54" i="88"/>
  <c r="M54" i="88"/>
  <c r="N54" i="88"/>
  <c r="O54" i="88"/>
  <c r="P54" i="88"/>
  <c r="Q54" i="88"/>
  <c r="R54" i="88"/>
  <c r="S54" i="88"/>
  <c r="T54" i="88"/>
  <c r="U54" i="88"/>
  <c r="F55" i="88"/>
  <c r="G55" i="88"/>
  <c r="H55" i="88"/>
  <c r="I55" i="88"/>
  <c r="J55" i="88"/>
  <c r="K55" i="88"/>
  <c r="L55" i="88"/>
  <c r="M55" i="88"/>
  <c r="N55" i="88"/>
  <c r="O55" i="88"/>
  <c r="P55" i="88"/>
  <c r="Q55" i="88"/>
  <c r="R55" i="88"/>
  <c r="S55" i="88"/>
  <c r="T55" i="88"/>
  <c r="U55" i="88"/>
  <c r="F56" i="88"/>
  <c r="G56" i="88"/>
  <c r="H56" i="88"/>
  <c r="I56" i="88"/>
  <c r="J56" i="88"/>
  <c r="K56" i="88"/>
  <c r="L56" i="88"/>
  <c r="M56" i="88"/>
  <c r="N56" i="88"/>
  <c r="O56" i="88"/>
  <c r="P56" i="88"/>
  <c r="Q56" i="88"/>
  <c r="R56" i="88"/>
  <c r="S56" i="88"/>
  <c r="T56" i="88"/>
  <c r="U56" i="88"/>
  <c r="F57" i="88"/>
  <c r="G57" i="88"/>
  <c r="H57" i="88"/>
  <c r="I57" i="88"/>
  <c r="J57" i="88"/>
  <c r="K57" i="88"/>
  <c r="L57" i="88"/>
  <c r="M57" i="88"/>
  <c r="N57" i="88"/>
  <c r="O57" i="88"/>
  <c r="P57" i="88"/>
  <c r="Q57" i="88"/>
  <c r="R57" i="88"/>
  <c r="S57" i="88"/>
  <c r="T57" i="88"/>
  <c r="U57" i="88"/>
  <c r="F58" i="88"/>
  <c r="G58" i="88"/>
  <c r="H58" i="88"/>
  <c r="I58" i="88"/>
  <c r="J58" i="88"/>
  <c r="K58" i="88"/>
  <c r="L58" i="88"/>
  <c r="M58" i="88"/>
  <c r="N58" i="88"/>
  <c r="O58" i="88"/>
  <c r="P58" i="88"/>
  <c r="Q58" i="88"/>
  <c r="R58" i="88"/>
  <c r="S58" i="88"/>
  <c r="T58" i="88"/>
  <c r="U58" i="88"/>
  <c r="F59" i="88"/>
  <c r="G59" i="88"/>
  <c r="H59" i="88"/>
  <c r="I59" i="88"/>
  <c r="J59" i="88"/>
  <c r="K59" i="88"/>
  <c r="L59" i="88"/>
  <c r="M59" i="88"/>
  <c r="N59" i="88"/>
  <c r="O59" i="88"/>
  <c r="P59" i="88"/>
  <c r="Q59" i="88"/>
  <c r="R59" i="88"/>
  <c r="S59" i="88"/>
  <c r="T59" i="88"/>
  <c r="U59" i="88"/>
  <c r="F60" i="88"/>
  <c r="G60" i="88"/>
  <c r="H60" i="88"/>
  <c r="I60" i="88"/>
  <c r="J60" i="88"/>
  <c r="K60" i="88"/>
  <c r="L60" i="88"/>
  <c r="M60" i="88"/>
  <c r="N60" i="88"/>
  <c r="O60" i="88"/>
  <c r="P60" i="88"/>
  <c r="Q60" i="88"/>
  <c r="R60" i="88"/>
  <c r="S60" i="88"/>
  <c r="T60" i="88"/>
  <c r="U60" i="88"/>
  <c r="H12" i="100"/>
  <c r="J12" i="100"/>
  <c r="H13" i="100"/>
  <c r="J13" i="100"/>
  <c r="H14" i="100"/>
  <c r="J14" i="100"/>
  <c r="C15" i="100"/>
  <c r="H15" i="100"/>
  <c r="J15" i="100"/>
  <c r="C16" i="100"/>
  <c r="H16" i="100"/>
  <c r="J16" i="100"/>
  <c r="C17" i="100"/>
  <c r="H17" i="100"/>
  <c r="J17" i="100"/>
  <c r="C18" i="100"/>
  <c r="H18" i="100"/>
  <c r="J18" i="100"/>
  <c r="C19" i="100"/>
  <c r="H19" i="100"/>
  <c r="J19" i="100"/>
  <c r="C20" i="100"/>
  <c r="H20" i="100"/>
  <c r="J20" i="100"/>
  <c r="C21" i="100"/>
  <c r="H21" i="100"/>
  <c r="J21" i="100"/>
  <c r="C22" i="100"/>
  <c r="H22" i="100"/>
  <c r="I22" i="100"/>
  <c r="J22" i="100"/>
  <c r="K22" i="100"/>
  <c r="C23" i="100"/>
  <c r="H23" i="100"/>
  <c r="I23" i="100"/>
  <c r="J23" i="100"/>
  <c r="K23" i="100"/>
  <c r="C24" i="100"/>
  <c r="D24" i="100"/>
  <c r="E24" i="100"/>
  <c r="H24" i="100"/>
  <c r="I24" i="100"/>
  <c r="J24" i="100"/>
  <c r="K24" i="100"/>
  <c r="C25" i="100"/>
  <c r="D25" i="100"/>
  <c r="E25" i="100"/>
  <c r="H25" i="100"/>
  <c r="I25" i="100"/>
  <c r="J25" i="100"/>
  <c r="K25" i="100"/>
  <c r="C26" i="100"/>
  <c r="D26" i="100"/>
  <c r="E26" i="100"/>
  <c r="H26" i="100"/>
  <c r="I26" i="100"/>
  <c r="J26" i="100"/>
  <c r="K26" i="100"/>
  <c r="C27" i="100"/>
  <c r="D27" i="100"/>
  <c r="E27" i="100"/>
  <c r="H27" i="100"/>
  <c r="I27" i="100"/>
  <c r="J27" i="100"/>
  <c r="K27" i="100"/>
  <c r="C28" i="100"/>
  <c r="D28" i="100"/>
  <c r="E28" i="100"/>
  <c r="H28" i="100"/>
  <c r="I28" i="100"/>
  <c r="J28" i="100"/>
  <c r="K28" i="100"/>
  <c r="C29" i="100"/>
  <c r="D29" i="100"/>
  <c r="E29" i="100"/>
  <c r="H29" i="100"/>
  <c r="I29" i="100"/>
  <c r="J29" i="100"/>
  <c r="K29" i="100"/>
  <c r="C30" i="100"/>
  <c r="D30" i="100"/>
  <c r="E30" i="100"/>
  <c r="H30" i="100"/>
  <c r="I30" i="100"/>
  <c r="J30" i="100"/>
  <c r="K30" i="100"/>
  <c r="C31" i="100"/>
  <c r="D31" i="100"/>
  <c r="E31" i="100"/>
  <c r="H31" i="100"/>
  <c r="I31" i="100"/>
  <c r="J31" i="100"/>
  <c r="K31" i="100"/>
  <c r="C32" i="100"/>
  <c r="D32" i="100"/>
  <c r="E32" i="100"/>
  <c r="H32" i="100"/>
  <c r="I32" i="100"/>
  <c r="J32" i="100"/>
  <c r="K32" i="100"/>
  <c r="C33" i="100"/>
  <c r="D33" i="100"/>
  <c r="E33" i="100"/>
  <c r="H33" i="100"/>
  <c r="I33" i="100"/>
  <c r="J33" i="100"/>
  <c r="K33" i="100"/>
  <c r="C34" i="100"/>
  <c r="D34" i="100"/>
  <c r="E34" i="100"/>
  <c r="H34" i="100"/>
  <c r="I34" i="100"/>
  <c r="J34" i="100"/>
  <c r="K34" i="100"/>
  <c r="C35" i="100"/>
  <c r="D35" i="100"/>
  <c r="E35" i="100"/>
  <c r="H35" i="100"/>
  <c r="I35" i="100"/>
  <c r="J35" i="100"/>
  <c r="K35" i="100"/>
  <c r="C36" i="100"/>
  <c r="D36" i="100"/>
  <c r="E36" i="100"/>
  <c r="H36" i="100"/>
  <c r="I36" i="100"/>
  <c r="J36" i="100"/>
  <c r="K36" i="100"/>
  <c r="C37" i="100"/>
  <c r="D37" i="100"/>
  <c r="E37" i="100"/>
  <c r="H37" i="100"/>
  <c r="I37" i="100"/>
  <c r="J37" i="100"/>
  <c r="K37" i="100"/>
  <c r="C38" i="100"/>
  <c r="D38" i="100"/>
  <c r="E38" i="100"/>
  <c r="H38" i="100"/>
  <c r="I38" i="100"/>
  <c r="J38" i="100"/>
  <c r="K38" i="100"/>
  <c r="C39" i="100"/>
  <c r="D39" i="100"/>
  <c r="E39" i="100"/>
  <c r="H39" i="100"/>
  <c r="I39" i="100"/>
  <c r="J39" i="100"/>
  <c r="K39" i="100"/>
  <c r="C40" i="100"/>
  <c r="D40" i="100"/>
  <c r="E40" i="100"/>
  <c r="F40" i="100"/>
  <c r="G40" i="100"/>
  <c r="H40" i="100"/>
  <c r="I40" i="100"/>
  <c r="J40" i="100"/>
  <c r="K40" i="100"/>
  <c r="L40" i="100"/>
  <c r="M40" i="100"/>
  <c r="N40" i="100"/>
  <c r="O40" i="100"/>
  <c r="E14" i="16"/>
  <c r="F14" i="16"/>
  <c r="H14" i="16"/>
  <c r="E15" i="16"/>
  <c r="F15" i="16"/>
  <c r="G15" i="16"/>
  <c r="H15" i="16"/>
  <c r="I15" i="16"/>
  <c r="J15" i="16"/>
  <c r="E16" i="16"/>
  <c r="F16" i="16"/>
  <c r="G16" i="16"/>
  <c r="H16" i="16"/>
  <c r="I16" i="16"/>
  <c r="J16" i="16"/>
  <c r="E17" i="16"/>
  <c r="F17" i="16"/>
  <c r="G17" i="16"/>
  <c r="H17" i="16"/>
  <c r="I17" i="16"/>
  <c r="J17" i="16"/>
  <c r="E18" i="16"/>
  <c r="F18" i="16"/>
  <c r="G18" i="16"/>
  <c r="H18" i="16"/>
  <c r="I18" i="16"/>
  <c r="J18" i="16"/>
  <c r="E19" i="16"/>
  <c r="F19" i="16"/>
  <c r="G19" i="16"/>
  <c r="H19" i="16"/>
  <c r="I19" i="16"/>
  <c r="J19" i="16"/>
  <c r="E20" i="16"/>
  <c r="F20" i="16"/>
  <c r="G20" i="16"/>
  <c r="H20" i="16"/>
  <c r="I20" i="16"/>
  <c r="J20" i="16"/>
  <c r="E21" i="16"/>
  <c r="F21" i="16"/>
  <c r="G21" i="16"/>
  <c r="H21" i="16"/>
  <c r="I21" i="16"/>
  <c r="J21" i="16"/>
  <c r="E22" i="16"/>
  <c r="F22" i="16"/>
  <c r="G22" i="16"/>
  <c r="H22" i="16"/>
  <c r="I22" i="16"/>
  <c r="J22" i="16"/>
  <c r="E23" i="16"/>
  <c r="F23" i="16"/>
  <c r="G23" i="16"/>
  <c r="H23" i="16"/>
  <c r="I23" i="16"/>
  <c r="J23" i="16"/>
  <c r="E24" i="16"/>
  <c r="F24" i="16"/>
  <c r="G24" i="16"/>
  <c r="H24" i="16"/>
  <c r="I24" i="16"/>
  <c r="J24" i="16"/>
  <c r="E25" i="16"/>
  <c r="F25" i="16"/>
  <c r="G25" i="16"/>
  <c r="H25" i="16"/>
  <c r="I25" i="16"/>
  <c r="J25" i="16"/>
  <c r="E26" i="16"/>
  <c r="F26" i="16"/>
  <c r="G26" i="16"/>
  <c r="H26" i="16"/>
  <c r="I26" i="16"/>
  <c r="J26" i="16"/>
  <c r="E27" i="16"/>
  <c r="F27" i="16"/>
  <c r="G27" i="16"/>
  <c r="H27" i="16"/>
  <c r="I27" i="16"/>
  <c r="J27" i="16"/>
  <c r="E28" i="16"/>
  <c r="F28" i="16"/>
  <c r="G28" i="16"/>
  <c r="H28" i="16"/>
  <c r="I28" i="16"/>
  <c r="J28" i="16"/>
  <c r="K28" i="16"/>
  <c r="E29" i="16"/>
  <c r="F29" i="16"/>
  <c r="G29" i="16"/>
  <c r="H29" i="16"/>
  <c r="I29" i="16"/>
  <c r="J29" i="16"/>
  <c r="K29" i="16"/>
  <c r="E30" i="16"/>
  <c r="F30" i="16"/>
  <c r="G30" i="16"/>
  <c r="H30" i="16"/>
  <c r="I30" i="16"/>
  <c r="J30" i="16"/>
  <c r="K30" i="16"/>
  <c r="E31" i="16"/>
  <c r="F31" i="16"/>
  <c r="G31" i="16"/>
  <c r="H31" i="16"/>
  <c r="I31" i="16"/>
  <c r="J31" i="16"/>
  <c r="K31" i="16"/>
  <c r="E32" i="16"/>
  <c r="F32" i="16"/>
  <c r="G32" i="16"/>
  <c r="H32" i="16"/>
  <c r="I32" i="16"/>
  <c r="J32" i="16"/>
  <c r="K32" i="16"/>
  <c r="E33" i="16"/>
  <c r="F33" i="16"/>
  <c r="G33" i="16"/>
  <c r="H33" i="16"/>
  <c r="I33" i="16"/>
  <c r="J33" i="16"/>
  <c r="K33" i="16"/>
  <c r="E34" i="16"/>
  <c r="F34" i="16"/>
  <c r="G34" i="16"/>
  <c r="H34" i="16"/>
  <c r="I34" i="16"/>
  <c r="J34" i="16"/>
  <c r="K34" i="16"/>
  <c r="E35" i="16"/>
  <c r="F35" i="16"/>
  <c r="G35" i="16"/>
  <c r="H35" i="16"/>
  <c r="I35" i="16"/>
  <c r="J35" i="16"/>
  <c r="K35" i="16"/>
  <c r="E36" i="16"/>
  <c r="F36" i="16"/>
  <c r="G36" i="16"/>
  <c r="H36" i="16"/>
  <c r="I36" i="16"/>
  <c r="J36" i="16"/>
  <c r="K36" i="16"/>
  <c r="E37" i="16"/>
  <c r="F37" i="16"/>
  <c r="G37" i="16"/>
  <c r="H37" i="16"/>
  <c r="I37" i="16"/>
  <c r="J37" i="16"/>
  <c r="K37" i="16"/>
  <c r="E38" i="16"/>
  <c r="F38" i="16"/>
  <c r="G38" i="16"/>
  <c r="H38" i="16"/>
  <c r="I38" i="16"/>
  <c r="J38" i="16"/>
  <c r="K38" i="16"/>
  <c r="E39" i="16"/>
  <c r="F39" i="16"/>
  <c r="G39" i="16"/>
  <c r="H39" i="16"/>
  <c r="I39" i="16"/>
  <c r="J39" i="16"/>
  <c r="K39" i="16"/>
  <c r="E40" i="16"/>
  <c r="F40" i="16"/>
  <c r="G40" i="16"/>
  <c r="H40" i="16"/>
  <c r="I40" i="16"/>
  <c r="J40" i="16"/>
  <c r="K40" i="16"/>
  <c r="E41" i="16"/>
  <c r="F41" i="16"/>
  <c r="G41" i="16"/>
  <c r="H41" i="16"/>
  <c r="I41" i="16"/>
  <c r="J41" i="16"/>
  <c r="K41" i="16"/>
  <c r="E42" i="16"/>
  <c r="F42" i="16"/>
  <c r="G42" i="16"/>
  <c r="H42" i="16"/>
  <c r="I42" i="16"/>
  <c r="J42" i="16"/>
  <c r="K42" i="16"/>
  <c r="E43" i="16"/>
  <c r="F43" i="16"/>
  <c r="G43" i="16"/>
  <c r="H43" i="16"/>
  <c r="I43" i="16"/>
  <c r="J43" i="16"/>
  <c r="K43" i="16"/>
  <c r="C12" i="17"/>
  <c r="D12" i="17"/>
  <c r="E12" i="17"/>
  <c r="C13" i="17"/>
  <c r="D13" i="17"/>
  <c r="E13" i="17"/>
  <c r="C14" i="17"/>
  <c r="D14" i="17"/>
  <c r="E14" i="17"/>
  <c r="C15" i="17"/>
  <c r="D15" i="17"/>
  <c r="E15" i="17"/>
  <c r="C16" i="17"/>
  <c r="D16" i="17"/>
  <c r="E16" i="17"/>
  <c r="C17" i="17"/>
  <c r="D17" i="17"/>
  <c r="E17" i="17"/>
  <c r="C18" i="17"/>
  <c r="D18" i="17"/>
  <c r="E18" i="17"/>
  <c r="C19" i="17"/>
  <c r="D19" i="17"/>
  <c r="E19" i="17"/>
  <c r="C20" i="17"/>
  <c r="D20" i="17"/>
  <c r="E20" i="17"/>
  <c r="C21" i="17"/>
  <c r="D21" i="17"/>
  <c r="E21" i="17"/>
  <c r="C22" i="17"/>
  <c r="D22" i="17"/>
  <c r="E22" i="17"/>
  <c r="C23" i="17"/>
  <c r="D23" i="17"/>
  <c r="E23" i="17"/>
  <c r="C24" i="17"/>
  <c r="D24" i="17"/>
  <c r="E24" i="17"/>
  <c r="C25" i="17"/>
  <c r="D25" i="17"/>
  <c r="E25" i="17"/>
  <c r="C26" i="17"/>
  <c r="D26" i="17"/>
  <c r="E26" i="17"/>
  <c r="C27" i="17"/>
  <c r="D27" i="17"/>
  <c r="E27" i="17"/>
  <c r="C28" i="17"/>
  <c r="D28" i="17"/>
  <c r="E28" i="17"/>
  <c r="C29" i="17"/>
  <c r="D29" i="17"/>
  <c r="E29" i="17"/>
  <c r="C30" i="17"/>
  <c r="D30" i="17"/>
  <c r="E30" i="17"/>
  <c r="C31" i="17"/>
  <c r="D31" i="17"/>
  <c r="E31" i="17"/>
  <c r="C32" i="17"/>
  <c r="D32" i="17"/>
  <c r="E32" i="17"/>
  <c r="C33" i="17"/>
  <c r="D33" i="17"/>
  <c r="E33" i="17"/>
  <c r="C34" i="17"/>
  <c r="D34" i="17"/>
  <c r="E34" i="17"/>
  <c r="C35" i="17"/>
  <c r="D35" i="17"/>
  <c r="E35" i="17"/>
  <c r="C36" i="17"/>
  <c r="D36" i="17"/>
  <c r="E36" i="17"/>
  <c r="C37" i="17"/>
  <c r="D37" i="17"/>
  <c r="E37" i="17"/>
  <c r="C38" i="17"/>
  <c r="D38" i="17"/>
  <c r="E38" i="17"/>
  <c r="C39" i="17"/>
  <c r="D39" i="17"/>
  <c r="E39" i="17"/>
  <c r="C40" i="17"/>
  <c r="D40" i="17"/>
  <c r="E40" i="17"/>
  <c r="C41" i="17"/>
  <c r="D41" i="17"/>
  <c r="E41" i="17"/>
  <c r="C42" i="17"/>
  <c r="D42" i="17"/>
  <c r="E42" i="17"/>
  <c r="C43" i="17"/>
  <c r="D43" i="17"/>
  <c r="E43" i="17"/>
  <c r="C44" i="17"/>
  <c r="D44" i="17"/>
  <c r="E44" i="17"/>
  <c r="C45" i="17"/>
  <c r="D45" i="17"/>
  <c r="E45" i="17"/>
  <c r="C46" i="17"/>
  <c r="D46" i="17"/>
  <c r="E46" i="17"/>
  <c r="C47" i="17"/>
  <c r="D47" i="17"/>
  <c r="E47" i="17"/>
  <c r="C48" i="17"/>
  <c r="D48" i="17"/>
  <c r="E48" i="17"/>
  <c r="C49" i="17"/>
  <c r="D49" i="17"/>
  <c r="E49" i="17"/>
  <c r="C50" i="17"/>
  <c r="D50" i="17"/>
  <c r="E50" i="17"/>
  <c r="C51" i="17"/>
  <c r="D51" i="17"/>
  <c r="E51" i="17"/>
  <c r="C52" i="17"/>
  <c r="D52" i="17"/>
  <c r="E52" i="17"/>
  <c r="C53" i="17"/>
  <c r="D53" i="17"/>
  <c r="E53" i="17"/>
  <c r="C54" i="17"/>
  <c r="D54" i="17"/>
  <c r="E54" i="17"/>
  <c r="C55" i="17"/>
  <c r="D55" i="17"/>
  <c r="E55" i="17"/>
  <c r="C56" i="17"/>
  <c r="D56" i="17"/>
  <c r="E56" i="17"/>
  <c r="C57" i="17"/>
  <c r="D57" i="17"/>
  <c r="E57" i="17"/>
  <c r="C58" i="17"/>
  <c r="D58" i="17"/>
  <c r="E58" i="17"/>
  <c r="C59" i="17"/>
  <c r="D59" i="17"/>
  <c r="E59" i="17"/>
  <c r="C60" i="17"/>
  <c r="D60" i="17"/>
  <c r="E60" i="17"/>
  <c r="C61" i="17"/>
  <c r="D61" i="17"/>
  <c r="E61" i="17"/>
  <c r="C62" i="17"/>
  <c r="D62" i="17"/>
  <c r="E62" i="17"/>
  <c r="C63" i="17"/>
  <c r="D63" i="17"/>
  <c r="E63" i="17"/>
  <c r="C13" i="18"/>
  <c r="C14" i="18"/>
  <c r="D14" i="18"/>
  <c r="E14" i="18"/>
  <c r="C15" i="18"/>
  <c r="D15" i="18"/>
  <c r="E15" i="18"/>
  <c r="C16" i="18"/>
  <c r="D16" i="18"/>
  <c r="E16" i="18"/>
  <c r="C17" i="18"/>
  <c r="D17" i="18"/>
  <c r="E17" i="18"/>
  <c r="C18" i="18"/>
  <c r="D18" i="18"/>
  <c r="E18" i="18"/>
  <c r="C19" i="18"/>
  <c r="D19" i="18"/>
  <c r="E19" i="18"/>
  <c r="C20" i="18"/>
  <c r="D20" i="18"/>
  <c r="E20" i="18"/>
  <c r="C21" i="18"/>
  <c r="D21" i="18"/>
  <c r="E21" i="18"/>
  <c r="C22" i="18"/>
  <c r="D22" i="18"/>
  <c r="E22" i="18"/>
  <c r="C23" i="18"/>
  <c r="D23" i="18"/>
  <c r="E23" i="18"/>
  <c r="C24" i="18"/>
  <c r="D24" i="18"/>
  <c r="E24" i="18"/>
  <c r="C25" i="18"/>
  <c r="D25" i="18"/>
  <c r="E25" i="18"/>
  <c r="C26" i="18"/>
  <c r="D26" i="18"/>
  <c r="E26" i="18"/>
  <c r="C27" i="18"/>
  <c r="D27" i="18"/>
  <c r="E27" i="18"/>
  <c r="C28" i="18"/>
  <c r="D28" i="18"/>
  <c r="E28" i="18"/>
  <c r="C29" i="18"/>
  <c r="D29" i="18"/>
  <c r="E29" i="18"/>
  <c r="C30" i="18"/>
  <c r="D30" i="18"/>
  <c r="E30" i="18"/>
  <c r="C31" i="18"/>
  <c r="D31" i="18"/>
  <c r="E31" i="18"/>
  <c r="C32" i="18"/>
  <c r="D32" i="18"/>
  <c r="E32" i="18"/>
  <c r="C33" i="18"/>
  <c r="D33" i="18"/>
  <c r="E33" i="18"/>
  <c r="C34" i="18"/>
  <c r="D34" i="18"/>
  <c r="E34" i="18"/>
  <c r="C35" i="18"/>
  <c r="D35" i="18"/>
  <c r="E35" i="18"/>
  <c r="C36" i="18"/>
  <c r="D36" i="18"/>
  <c r="E36" i="18"/>
  <c r="C37" i="18"/>
  <c r="D37" i="18"/>
  <c r="E37" i="18"/>
  <c r="C38" i="18"/>
  <c r="D38" i="18"/>
  <c r="E38" i="18"/>
  <c r="C39" i="18"/>
  <c r="D39" i="18"/>
  <c r="E39" i="18"/>
  <c r="C40" i="18"/>
  <c r="D40" i="18"/>
  <c r="E40" i="18"/>
  <c r="C41" i="18"/>
  <c r="D41" i="18"/>
  <c r="E41" i="18"/>
  <c r="C42" i="18"/>
  <c r="D42" i="18"/>
  <c r="E42" i="18"/>
  <c r="C43" i="18"/>
  <c r="D43" i="18"/>
  <c r="E43" i="18"/>
  <c r="C44" i="18"/>
  <c r="D44" i="18"/>
  <c r="E44" i="18"/>
  <c r="C45" i="18"/>
  <c r="D45" i="18"/>
  <c r="E45" i="18"/>
  <c r="C46" i="18"/>
  <c r="D46" i="18"/>
  <c r="E46" i="18"/>
  <c r="C47" i="18"/>
  <c r="D47" i="18"/>
  <c r="E47" i="18"/>
  <c r="C48" i="18"/>
  <c r="D48" i="18"/>
  <c r="E48" i="18"/>
  <c r="C49" i="18"/>
  <c r="D49" i="18"/>
  <c r="E49" i="18"/>
  <c r="C50" i="18"/>
  <c r="D50" i="18"/>
  <c r="E50" i="18"/>
  <c r="C51" i="18"/>
  <c r="D51" i="18"/>
  <c r="E51" i="18"/>
  <c r="C52" i="18"/>
  <c r="D52" i="18"/>
  <c r="E52" i="18"/>
  <c r="C53" i="18"/>
  <c r="D53" i="18"/>
  <c r="E53" i="18"/>
  <c r="C54" i="18"/>
  <c r="D54" i="18"/>
  <c r="E54" i="18"/>
  <c r="C55" i="18"/>
  <c r="D55" i="18"/>
  <c r="E55" i="18"/>
  <c r="C56" i="18"/>
  <c r="D56" i="18"/>
  <c r="E56" i="18"/>
  <c r="C57" i="18"/>
  <c r="D57" i="18"/>
  <c r="E57" i="18"/>
  <c r="C58" i="18"/>
  <c r="D58" i="18"/>
  <c r="E58" i="18"/>
  <c r="C59" i="18"/>
  <c r="D59" i="18"/>
  <c r="E59" i="18"/>
  <c r="C60" i="18"/>
  <c r="D60" i="18"/>
  <c r="E60" i="18"/>
  <c r="C61" i="18"/>
  <c r="D61" i="18"/>
  <c r="E61" i="18"/>
  <c r="C62" i="18"/>
  <c r="D62" i="18"/>
  <c r="E62" i="18"/>
  <c r="C63" i="18"/>
  <c r="D63" i="18"/>
  <c r="E63" i="18"/>
  <c r="D13" i="21"/>
  <c r="E13" i="21"/>
  <c r="G13" i="21"/>
  <c r="D14" i="21"/>
  <c r="E14" i="21"/>
  <c r="G14" i="21"/>
  <c r="D15" i="21"/>
  <c r="E15" i="21"/>
  <c r="G15" i="21"/>
  <c r="D16" i="21"/>
  <c r="E16" i="21"/>
  <c r="G16" i="21"/>
  <c r="D17" i="21"/>
  <c r="E17" i="21"/>
  <c r="G17" i="21"/>
  <c r="D18" i="21"/>
  <c r="E18" i="21"/>
  <c r="G18" i="21"/>
  <c r="D19" i="21"/>
  <c r="E19" i="21"/>
  <c r="G19" i="21"/>
  <c r="D20" i="21"/>
  <c r="E20" i="21"/>
  <c r="G20" i="21"/>
  <c r="D21" i="21"/>
  <c r="E21" i="21"/>
  <c r="G21" i="21"/>
  <c r="D22" i="21"/>
  <c r="E22" i="21"/>
  <c r="G22" i="21"/>
  <c r="D23" i="21"/>
  <c r="E23" i="21"/>
  <c r="G23" i="21"/>
  <c r="D24" i="21"/>
  <c r="E24" i="21"/>
  <c r="G24" i="21"/>
  <c r="D25" i="21"/>
  <c r="E25" i="21"/>
  <c r="G25" i="21"/>
  <c r="D26" i="21"/>
  <c r="E26" i="21"/>
  <c r="F26" i="21"/>
  <c r="G26" i="21"/>
  <c r="H26" i="21"/>
  <c r="I26" i="21"/>
  <c r="J26" i="21"/>
  <c r="D27" i="21"/>
  <c r="E27" i="21"/>
  <c r="F27" i="21"/>
  <c r="G27" i="21"/>
  <c r="H27" i="21"/>
  <c r="I27" i="21"/>
  <c r="J27" i="21"/>
  <c r="D28" i="21"/>
  <c r="E28" i="21"/>
  <c r="F28" i="21"/>
  <c r="G28" i="21"/>
  <c r="H28" i="21"/>
  <c r="I28" i="21"/>
  <c r="J28" i="21"/>
  <c r="D29" i="21"/>
  <c r="E29" i="21"/>
  <c r="F29" i="21"/>
  <c r="G29" i="21"/>
  <c r="H29" i="21"/>
  <c r="I29" i="21"/>
  <c r="J29" i="21"/>
  <c r="D30" i="21"/>
  <c r="E30" i="21"/>
  <c r="F30" i="21"/>
  <c r="G30" i="21"/>
  <c r="H30" i="21"/>
  <c r="I30" i="21"/>
  <c r="J30" i="21"/>
  <c r="D31" i="21"/>
  <c r="E31" i="21"/>
  <c r="F31" i="21"/>
  <c r="G31" i="21"/>
  <c r="H31" i="21"/>
  <c r="I31" i="21"/>
  <c r="J31" i="21"/>
  <c r="D32" i="21"/>
  <c r="E32" i="21"/>
  <c r="F32" i="21"/>
  <c r="G32" i="21"/>
  <c r="H32" i="21"/>
  <c r="I32" i="21"/>
  <c r="J32" i="21"/>
  <c r="D33" i="21"/>
  <c r="E33" i="21"/>
  <c r="F33" i="21"/>
  <c r="G33" i="21"/>
  <c r="H33" i="21"/>
  <c r="I33" i="21"/>
  <c r="J33" i="21"/>
  <c r="D34" i="21"/>
  <c r="E34" i="21"/>
  <c r="F34" i="21"/>
  <c r="G34" i="21"/>
  <c r="H34" i="21"/>
  <c r="I34" i="21"/>
  <c r="J34" i="21"/>
  <c r="D35" i="21"/>
  <c r="E35" i="21"/>
  <c r="F35" i="21"/>
  <c r="G35" i="21"/>
  <c r="H35" i="21"/>
  <c r="I35" i="21"/>
  <c r="J35" i="21"/>
  <c r="D36" i="21"/>
  <c r="E36" i="21"/>
  <c r="F36" i="21"/>
  <c r="G36" i="21"/>
  <c r="H36" i="21"/>
  <c r="I36" i="21"/>
  <c r="J36" i="21"/>
  <c r="D37" i="21"/>
  <c r="E37" i="21"/>
  <c r="F37" i="21"/>
  <c r="G37" i="21"/>
  <c r="H37" i="21"/>
  <c r="I37" i="21"/>
  <c r="J37" i="21"/>
  <c r="D38" i="21"/>
  <c r="E38" i="21"/>
  <c r="F38" i="21"/>
  <c r="G38" i="21"/>
  <c r="H38" i="21"/>
  <c r="I38" i="21"/>
  <c r="J38" i="21"/>
  <c r="D39" i="21"/>
  <c r="E39" i="21"/>
  <c r="F39" i="21"/>
  <c r="G39" i="21"/>
  <c r="H39" i="21"/>
  <c r="I39" i="21"/>
  <c r="J39" i="21"/>
  <c r="D40" i="21"/>
  <c r="E40" i="21"/>
  <c r="F40" i="21"/>
  <c r="G40" i="21"/>
  <c r="H40" i="21"/>
  <c r="I40" i="21"/>
  <c r="J40" i="21"/>
  <c r="D41" i="21"/>
  <c r="E41" i="21"/>
  <c r="F41" i="21"/>
  <c r="G41" i="21"/>
  <c r="H41" i="21"/>
  <c r="I41" i="21"/>
  <c r="J41" i="21"/>
  <c r="D42" i="21"/>
  <c r="E42" i="21"/>
  <c r="F42" i="21"/>
  <c r="G42" i="21"/>
  <c r="H42" i="21"/>
  <c r="I42" i="21"/>
  <c r="J42" i="21"/>
  <c r="D43" i="21"/>
  <c r="E43" i="21"/>
  <c r="F43" i="21"/>
  <c r="G43" i="21"/>
  <c r="H43" i="21"/>
  <c r="I43" i="21"/>
  <c r="J43" i="21"/>
  <c r="D44" i="21"/>
  <c r="E44" i="21"/>
  <c r="F44" i="21"/>
  <c r="G44" i="21"/>
  <c r="H44" i="21"/>
  <c r="I44" i="21"/>
  <c r="J44" i="21"/>
  <c r="D45" i="21"/>
  <c r="E45" i="21"/>
  <c r="F45" i="21"/>
  <c r="G45" i="21"/>
  <c r="H45" i="21"/>
  <c r="I45" i="21"/>
  <c r="J45" i="21"/>
  <c r="D46" i="21"/>
  <c r="E46" i="21"/>
  <c r="F46" i="21"/>
  <c r="G46" i="21"/>
  <c r="H46" i="21"/>
  <c r="I46" i="21"/>
  <c r="J46" i="21"/>
  <c r="D47" i="21"/>
  <c r="E47" i="21"/>
  <c r="F47" i="21"/>
  <c r="G47" i="21"/>
  <c r="H47" i="21"/>
  <c r="I47" i="21"/>
  <c r="J47" i="21"/>
  <c r="D48" i="21"/>
  <c r="E48" i="21"/>
  <c r="F48" i="21"/>
  <c r="G48" i="21"/>
  <c r="H48" i="21"/>
  <c r="I48" i="21"/>
  <c r="J48" i="21"/>
  <c r="D49" i="21"/>
  <c r="E49" i="21"/>
  <c r="F49" i="21"/>
  <c r="G49" i="21"/>
  <c r="H49" i="21"/>
  <c r="I49" i="21"/>
  <c r="J49" i="21"/>
  <c r="D50" i="21"/>
  <c r="E50" i="21"/>
  <c r="F50" i="21"/>
  <c r="G50" i="21"/>
  <c r="H50" i="21"/>
  <c r="I50" i="21"/>
  <c r="J50" i="21"/>
  <c r="D51" i="21"/>
  <c r="E51" i="21"/>
  <c r="F51" i="21"/>
  <c r="G51" i="21"/>
  <c r="H51" i="21"/>
  <c r="I51" i="21"/>
  <c r="J51" i="21"/>
  <c r="D52" i="21"/>
  <c r="E52" i="21"/>
  <c r="F52" i="21"/>
  <c r="G52" i="21"/>
  <c r="H52" i="21"/>
  <c r="I52" i="21"/>
  <c r="J52" i="21"/>
  <c r="D53" i="21"/>
  <c r="E53" i="21"/>
  <c r="F53" i="21"/>
  <c r="G53" i="21"/>
  <c r="H53" i="21"/>
  <c r="I53" i="21"/>
  <c r="J53" i="21"/>
  <c r="D54" i="21"/>
  <c r="E54" i="21"/>
  <c r="F54" i="21"/>
  <c r="G54" i="21"/>
  <c r="H54" i="21"/>
  <c r="I54" i="21"/>
  <c r="J54" i="21"/>
  <c r="D55" i="21"/>
  <c r="E55" i="21"/>
  <c r="F55" i="21"/>
  <c r="G55" i="21"/>
  <c r="H55" i="21"/>
  <c r="I55" i="21"/>
  <c r="J55" i="21"/>
  <c r="D56" i="21"/>
  <c r="E56" i="21"/>
  <c r="F56" i="21"/>
  <c r="G56" i="21"/>
  <c r="H56" i="21"/>
  <c r="I56" i="21"/>
  <c r="J56" i="21"/>
  <c r="D57" i="21"/>
  <c r="E57" i="21"/>
  <c r="F57" i="21"/>
  <c r="G57" i="21"/>
  <c r="H57" i="21"/>
  <c r="I57" i="21"/>
  <c r="J57" i="21"/>
  <c r="D58" i="21"/>
  <c r="E58" i="21"/>
  <c r="F58" i="21"/>
  <c r="G58" i="21"/>
  <c r="H58" i="21"/>
  <c r="I58" i="21"/>
  <c r="J58" i="21"/>
  <c r="D59" i="21"/>
  <c r="E59" i="21"/>
  <c r="F59" i="21"/>
  <c r="G59" i="21"/>
  <c r="H59" i="21"/>
  <c r="I59" i="21"/>
  <c r="J59" i="21"/>
  <c r="D60" i="21"/>
  <c r="E60" i="21"/>
  <c r="F60" i="21"/>
  <c r="G60" i="21"/>
  <c r="H60" i="21"/>
  <c r="I60" i="21"/>
  <c r="J60" i="21"/>
  <c r="D61" i="21"/>
  <c r="E61" i="21"/>
  <c r="F61" i="21"/>
  <c r="G61" i="21"/>
  <c r="H61" i="21"/>
  <c r="I61" i="21"/>
  <c r="J61" i="21"/>
  <c r="D62" i="21"/>
  <c r="E62" i="21"/>
  <c r="F62" i="21"/>
  <c r="G62" i="21"/>
  <c r="H62" i="21"/>
  <c r="I62" i="21"/>
  <c r="J62" i="21"/>
  <c r="D63" i="21"/>
  <c r="E63" i="21"/>
  <c r="F63" i="21"/>
  <c r="G63" i="21"/>
  <c r="H63" i="21"/>
  <c r="I63" i="21"/>
  <c r="J63" i="21"/>
  <c r="D64" i="21"/>
  <c r="E64" i="21"/>
  <c r="F64" i="21"/>
  <c r="G64" i="21"/>
  <c r="H64" i="21"/>
  <c r="I64" i="21"/>
  <c r="J64" i="21"/>
  <c r="D65" i="21"/>
  <c r="E65" i="21"/>
  <c r="F65" i="21"/>
  <c r="G65" i="21"/>
  <c r="H65" i="21"/>
  <c r="I65" i="21"/>
  <c r="J65" i="21"/>
  <c r="D66" i="21"/>
  <c r="E66" i="21"/>
  <c r="F66" i="21"/>
  <c r="G66" i="21"/>
  <c r="H66" i="21"/>
  <c r="I66" i="21"/>
  <c r="J66" i="21"/>
  <c r="G14" i="101"/>
  <c r="F15" i="101"/>
  <c r="G15" i="101"/>
  <c r="H15" i="101"/>
  <c r="I15" i="101"/>
  <c r="J15" i="101"/>
  <c r="K15" i="101"/>
  <c r="L15" i="101"/>
  <c r="F16" i="101"/>
  <c r="G16" i="101"/>
  <c r="H16" i="101"/>
  <c r="I16" i="101"/>
  <c r="J16" i="101"/>
  <c r="K16" i="101"/>
  <c r="L16" i="101"/>
  <c r="F17" i="101"/>
  <c r="G17" i="101"/>
  <c r="H17" i="101"/>
  <c r="I17" i="101"/>
  <c r="J17" i="101"/>
  <c r="K17" i="101"/>
  <c r="L17" i="101"/>
  <c r="F18" i="101"/>
  <c r="G18" i="101"/>
  <c r="H18" i="101"/>
  <c r="I18" i="101"/>
  <c r="J18" i="101"/>
  <c r="K18" i="101"/>
  <c r="L18" i="101"/>
  <c r="F19" i="101"/>
  <c r="G19" i="101"/>
  <c r="H19" i="101"/>
  <c r="I19" i="101"/>
  <c r="J19" i="101"/>
  <c r="K19" i="101"/>
  <c r="L19" i="101"/>
  <c r="F20" i="101"/>
  <c r="G20" i="101"/>
  <c r="H20" i="101"/>
  <c r="I20" i="101"/>
  <c r="J20" i="101"/>
  <c r="K20" i="101"/>
  <c r="L20" i="101"/>
  <c r="F21" i="101"/>
  <c r="G21" i="101"/>
  <c r="H21" i="101"/>
  <c r="I21" i="101"/>
  <c r="J21" i="101"/>
  <c r="K21" i="101"/>
  <c r="L21" i="101"/>
  <c r="F22" i="101"/>
  <c r="G22" i="101"/>
  <c r="H22" i="101"/>
  <c r="I22" i="101"/>
  <c r="J22" i="101"/>
  <c r="K22" i="101"/>
  <c r="L22" i="101"/>
  <c r="F23" i="101"/>
  <c r="G23" i="101"/>
  <c r="H23" i="101"/>
  <c r="I23" i="101"/>
  <c r="J23" i="101"/>
  <c r="K23" i="101"/>
  <c r="L23" i="101"/>
  <c r="F24" i="101"/>
  <c r="G24" i="101"/>
  <c r="H24" i="101"/>
  <c r="I24" i="101"/>
  <c r="J24" i="101"/>
  <c r="K24" i="101"/>
  <c r="L24" i="101"/>
  <c r="F25" i="101"/>
  <c r="G25" i="101"/>
  <c r="H25" i="101"/>
  <c r="I25" i="101"/>
  <c r="J25" i="101"/>
  <c r="K25" i="101"/>
  <c r="L25" i="101"/>
  <c r="F26" i="101"/>
  <c r="G26" i="101"/>
  <c r="H26" i="101"/>
  <c r="I26" i="101"/>
  <c r="J26" i="101"/>
  <c r="K26" i="101"/>
  <c r="L26" i="101"/>
  <c r="F27" i="101"/>
  <c r="G27" i="101"/>
  <c r="H27" i="101"/>
  <c r="I27" i="101"/>
  <c r="J27" i="101"/>
  <c r="K27" i="101"/>
  <c r="L27" i="101"/>
  <c r="F28" i="101"/>
  <c r="G28" i="101"/>
  <c r="H28" i="101"/>
  <c r="I28" i="101"/>
  <c r="J28" i="101"/>
  <c r="K28" i="101"/>
  <c r="L28" i="101"/>
  <c r="F29" i="101"/>
  <c r="G29" i="101"/>
  <c r="H29" i="101"/>
  <c r="I29" i="101"/>
  <c r="J29" i="101"/>
  <c r="K29" i="101"/>
  <c r="L29" i="101"/>
  <c r="F30" i="101"/>
  <c r="G30" i="101"/>
  <c r="H30" i="101"/>
  <c r="I30" i="101"/>
  <c r="J30" i="101"/>
  <c r="K30" i="101"/>
  <c r="L30" i="101"/>
  <c r="F31" i="101"/>
  <c r="G31" i="101"/>
  <c r="H31" i="101"/>
  <c r="I31" i="101"/>
  <c r="J31" i="101"/>
  <c r="K31" i="101"/>
  <c r="L31" i="101"/>
  <c r="F32" i="101"/>
  <c r="G32" i="101"/>
  <c r="H32" i="101"/>
  <c r="I32" i="101"/>
  <c r="J32" i="101"/>
  <c r="K32" i="101"/>
  <c r="L32" i="101"/>
  <c r="F33" i="101"/>
  <c r="G33" i="101"/>
  <c r="H33" i="101"/>
  <c r="I33" i="101"/>
  <c r="J33" i="101"/>
  <c r="K33" i="101"/>
  <c r="L33" i="101"/>
  <c r="F34" i="101"/>
  <c r="G34" i="101"/>
  <c r="H34" i="101"/>
  <c r="I34" i="101"/>
  <c r="J34" i="101"/>
  <c r="K34" i="101"/>
  <c r="L34" i="101"/>
  <c r="F35" i="101"/>
  <c r="G35" i="101"/>
  <c r="H35" i="101"/>
  <c r="I35" i="101"/>
  <c r="J35" i="101"/>
  <c r="K35" i="101"/>
  <c r="L35" i="101"/>
  <c r="F36" i="101"/>
  <c r="G36" i="101"/>
  <c r="H36" i="101"/>
  <c r="I36" i="101"/>
  <c r="J36" i="101"/>
  <c r="K36" i="101"/>
  <c r="L36" i="101"/>
  <c r="F37" i="101"/>
  <c r="G37" i="101"/>
  <c r="H37" i="101"/>
  <c r="I37" i="101"/>
  <c r="J37" i="101"/>
  <c r="K37" i="101"/>
  <c r="L37" i="101"/>
  <c r="F38" i="101"/>
  <c r="G38" i="101"/>
  <c r="H38" i="101"/>
  <c r="I38" i="101"/>
  <c r="J38" i="101"/>
  <c r="K38" i="101"/>
  <c r="L38" i="101"/>
  <c r="F39" i="101"/>
  <c r="G39" i="101"/>
  <c r="H39" i="101"/>
  <c r="I39" i="101"/>
  <c r="J39" i="101"/>
  <c r="K39" i="101"/>
  <c r="L39" i="101"/>
  <c r="F40" i="101"/>
  <c r="G40" i="101"/>
  <c r="H40" i="101"/>
  <c r="I40" i="101"/>
  <c r="J40" i="101"/>
  <c r="K40" i="101"/>
  <c r="L40" i="101"/>
  <c r="F41" i="101"/>
  <c r="G41" i="101"/>
  <c r="H41" i="101"/>
  <c r="I41" i="101"/>
  <c r="J41" i="101"/>
  <c r="K41" i="101"/>
  <c r="L41" i="101"/>
  <c r="F42" i="101"/>
  <c r="G42" i="101"/>
  <c r="H42" i="101"/>
  <c r="I42" i="101"/>
  <c r="J42" i="101"/>
  <c r="K42" i="101"/>
  <c r="L42" i="101"/>
  <c r="F43" i="101"/>
  <c r="G43" i="101"/>
  <c r="H43" i="101"/>
  <c r="I43" i="101"/>
  <c r="J43" i="101"/>
  <c r="K43" i="101"/>
  <c r="L43" i="101"/>
  <c r="F44" i="101"/>
  <c r="G44" i="101"/>
  <c r="H44" i="101"/>
  <c r="I44" i="101"/>
  <c r="J44" i="101"/>
  <c r="K44" i="101"/>
  <c r="L44" i="101"/>
  <c r="F45" i="101"/>
  <c r="G45" i="101"/>
  <c r="H45" i="101"/>
  <c r="I45" i="101"/>
  <c r="J45" i="101"/>
  <c r="K45" i="101"/>
  <c r="L45" i="101"/>
  <c r="F46" i="101"/>
  <c r="G46" i="101"/>
  <c r="H46" i="101"/>
  <c r="I46" i="101"/>
  <c r="J46" i="101"/>
  <c r="K46" i="101"/>
  <c r="L46" i="101"/>
  <c r="F47" i="101"/>
  <c r="G47" i="101"/>
  <c r="H47" i="101"/>
  <c r="I47" i="101"/>
  <c r="J47" i="101"/>
  <c r="K47" i="101"/>
  <c r="L47" i="101"/>
  <c r="F48" i="101"/>
  <c r="G48" i="101"/>
  <c r="H48" i="101"/>
  <c r="I48" i="101"/>
  <c r="J48" i="101"/>
  <c r="K48" i="101"/>
  <c r="L48" i="101"/>
  <c r="F49" i="101"/>
  <c r="G49" i="101"/>
  <c r="H49" i="101"/>
  <c r="I49" i="101"/>
  <c r="J49" i="101"/>
  <c r="K49" i="101"/>
  <c r="L49" i="101"/>
  <c r="F50" i="101"/>
  <c r="G50" i="101"/>
  <c r="H50" i="101"/>
  <c r="I50" i="101"/>
  <c r="J50" i="101"/>
  <c r="K50" i="101"/>
  <c r="L50" i="101"/>
  <c r="F51" i="101"/>
  <c r="G51" i="101"/>
  <c r="H51" i="101"/>
  <c r="I51" i="101"/>
  <c r="J51" i="101"/>
  <c r="K51" i="101"/>
  <c r="L51" i="101"/>
  <c r="F52" i="101"/>
  <c r="G52" i="101"/>
  <c r="H52" i="101"/>
  <c r="I52" i="101"/>
  <c r="J52" i="101"/>
  <c r="K52" i="101"/>
  <c r="L52" i="101"/>
  <c r="F53" i="101"/>
  <c r="G53" i="101"/>
  <c r="H53" i="101"/>
  <c r="I53" i="101"/>
  <c r="J53" i="101"/>
  <c r="K53" i="101"/>
  <c r="L53" i="101"/>
  <c r="F54" i="101"/>
  <c r="G54" i="101"/>
  <c r="H54" i="101"/>
  <c r="I54" i="101"/>
  <c r="J54" i="101"/>
  <c r="K54" i="101"/>
  <c r="L54" i="101"/>
  <c r="F55" i="101"/>
  <c r="G55" i="101"/>
  <c r="H55" i="101"/>
  <c r="I55" i="101"/>
  <c r="J55" i="101"/>
  <c r="K55" i="101"/>
  <c r="L55" i="101"/>
  <c r="F56" i="101"/>
  <c r="G56" i="101"/>
  <c r="H56" i="101"/>
  <c r="I56" i="101"/>
  <c r="J56" i="101"/>
  <c r="K56" i="101"/>
  <c r="L56" i="101"/>
  <c r="F57" i="101"/>
  <c r="G57" i="101"/>
  <c r="H57" i="101"/>
  <c r="I57" i="101"/>
  <c r="J57" i="101"/>
  <c r="K57" i="101"/>
  <c r="L57" i="101"/>
  <c r="F58" i="101"/>
  <c r="G58" i="101"/>
  <c r="H58" i="101"/>
  <c r="I58" i="101"/>
  <c r="J58" i="101"/>
  <c r="K58" i="101"/>
  <c r="L58" i="101"/>
  <c r="F59" i="101"/>
  <c r="G59" i="101"/>
  <c r="H59" i="101"/>
  <c r="I59" i="101"/>
  <c r="J59" i="101"/>
  <c r="K59" i="101"/>
  <c r="L59" i="101"/>
  <c r="F60" i="101"/>
  <c r="G60" i="101"/>
  <c r="H60" i="101"/>
  <c r="I60" i="101"/>
  <c r="J60" i="101"/>
  <c r="K60" i="101"/>
  <c r="L60" i="101"/>
  <c r="F61" i="101"/>
  <c r="G61" i="101"/>
  <c r="H61" i="101"/>
  <c r="I61" i="101"/>
  <c r="J61" i="101"/>
  <c r="K61" i="101"/>
  <c r="L61" i="101"/>
  <c r="F62" i="101"/>
  <c r="G62" i="101"/>
  <c r="H62" i="101"/>
  <c r="I62" i="101"/>
  <c r="J62" i="101"/>
  <c r="K62" i="101"/>
  <c r="L62" i="101"/>
  <c r="F63" i="101"/>
  <c r="G63" i="101"/>
  <c r="H63" i="101"/>
  <c r="I63" i="101"/>
  <c r="J63" i="101"/>
  <c r="K63" i="101"/>
  <c r="L63" i="101"/>
  <c r="F64" i="101"/>
  <c r="G64" i="101"/>
  <c r="H64" i="101"/>
  <c r="I64" i="101"/>
  <c r="J64" i="101"/>
  <c r="K64" i="101"/>
  <c r="L64" i="101"/>
  <c r="F65" i="101"/>
  <c r="G65" i="101"/>
  <c r="H65" i="101"/>
  <c r="I65" i="101"/>
  <c r="J65" i="101"/>
  <c r="K65" i="101"/>
  <c r="L65" i="101"/>
  <c r="F66" i="101"/>
  <c r="G66" i="101"/>
  <c r="H66" i="101"/>
  <c r="I66" i="101"/>
  <c r="J66" i="101"/>
  <c r="K66" i="101"/>
  <c r="L66" i="101"/>
  <c r="F67" i="101"/>
  <c r="G67" i="101"/>
  <c r="H67" i="101"/>
  <c r="I67" i="101"/>
  <c r="J67" i="101"/>
  <c r="K67" i="101"/>
  <c r="L67" i="101"/>
  <c r="F68" i="101"/>
  <c r="G68" i="101"/>
  <c r="H68" i="101"/>
  <c r="I68" i="101"/>
  <c r="J68" i="101"/>
  <c r="K68" i="101"/>
  <c r="L68" i="101"/>
  <c r="F69" i="101"/>
  <c r="G69" i="101"/>
  <c r="H69" i="101"/>
  <c r="I69" i="101"/>
  <c r="J69" i="101"/>
  <c r="K69" i="101"/>
  <c r="L69" i="101"/>
  <c r="F70" i="101"/>
  <c r="G70" i="101"/>
  <c r="H70" i="101"/>
  <c r="I70" i="101"/>
  <c r="J70" i="101"/>
  <c r="K70" i="101"/>
  <c r="L70" i="101"/>
  <c r="F71" i="101"/>
  <c r="G71" i="101"/>
  <c r="H71" i="101"/>
  <c r="I71" i="101"/>
  <c r="J71" i="101"/>
  <c r="K71" i="101"/>
  <c r="L71" i="101"/>
  <c r="F72" i="101"/>
  <c r="G72" i="101"/>
  <c r="H72" i="101"/>
  <c r="I72" i="101"/>
  <c r="J72" i="101"/>
  <c r="K72" i="101"/>
  <c r="L72" i="101"/>
  <c r="F73" i="101"/>
  <c r="G73" i="101"/>
  <c r="H73" i="101"/>
  <c r="I73" i="101"/>
  <c r="J73" i="101"/>
  <c r="K73" i="101"/>
  <c r="L73" i="101"/>
  <c r="F74" i="101"/>
  <c r="G74" i="101"/>
  <c r="H74" i="101"/>
  <c r="I74" i="101"/>
  <c r="J74" i="101"/>
  <c r="K74" i="101"/>
  <c r="L74" i="101"/>
  <c r="F75" i="101"/>
  <c r="G75" i="101"/>
  <c r="H75" i="101"/>
  <c r="I75" i="101"/>
  <c r="J75" i="101"/>
  <c r="K75" i="101"/>
  <c r="L75" i="101"/>
  <c r="F76" i="101"/>
  <c r="G76" i="101"/>
  <c r="H76" i="101"/>
  <c r="I76" i="101"/>
  <c r="J76" i="101"/>
  <c r="K76" i="101"/>
  <c r="L76" i="101"/>
  <c r="F77" i="101"/>
  <c r="G77" i="101"/>
  <c r="H77" i="101"/>
  <c r="I77" i="101"/>
  <c r="J77" i="101"/>
  <c r="K77" i="101"/>
  <c r="L77" i="101"/>
  <c r="F78" i="101"/>
  <c r="G78" i="101"/>
  <c r="H78" i="101"/>
  <c r="I78" i="101"/>
  <c r="J78" i="101"/>
  <c r="K78" i="101"/>
  <c r="L78" i="101"/>
  <c r="F79" i="101"/>
  <c r="G79" i="101"/>
  <c r="H79" i="101"/>
  <c r="I79" i="101"/>
  <c r="J79" i="101"/>
  <c r="K79" i="101"/>
  <c r="L79" i="101"/>
  <c r="F80" i="101"/>
  <c r="G80" i="101"/>
  <c r="H80" i="101"/>
  <c r="I80" i="101"/>
  <c r="J80" i="101"/>
  <c r="K80" i="101"/>
  <c r="L80" i="101"/>
  <c r="F81" i="101"/>
  <c r="G81" i="101"/>
  <c r="H81" i="101"/>
  <c r="I81" i="101"/>
  <c r="J81" i="101"/>
  <c r="K81" i="101"/>
  <c r="L81" i="101"/>
  <c r="F82" i="101"/>
  <c r="G82" i="101"/>
  <c r="H82" i="101"/>
  <c r="I82" i="101"/>
  <c r="J82" i="101"/>
  <c r="K82" i="101"/>
  <c r="L82" i="101"/>
  <c r="F83" i="101"/>
  <c r="G83" i="101"/>
  <c r="H83" i="101"/>
  <c r="I83" i="101"/>
  <c r="J83" i="101"/>
  <c r="K83" i="101"/>
  <c r="L83" i="101"/>
  <c r="F84" i="101"/>
  <c r="G84" i="101"/>
  <c r="H84" i="101"/>
  <c r="I84" i="101"/>
  <c r="J84" i="101"/>
  <c r="K84" i="101"/>
  <c r="L84" i="101"/>
  <c r="D7" i="22"/>
  <c r="D8" i="22"/>
  <c r="D9" i="22"/>
  <c r="D10" i="22"/>
  <c r="D11" i="22"/>
  <c r="D12" i="22"/>
  <c r="D13" i="22"/>
  <c r="D14" i="22"/>
  <c r="D15" i="22"/>
  <c r="D16" i="22"/>
  <c r="D17" i="22"/>
  <c r="D18" i="22"/>
  <c r="D19" i="22"/>
  <c r="D20" i="22"/>
  <c r="D22" i="23"/>
  <c r="D23" i="23"/>
  <c r="D24" i="23"/>
  <c r="D25" i="23"/>
  <c r="D26" i="23"/>
  <c r="D27" i="23"/>
  <c r="D28" i="23"/>
  <c r="D29" i="23"/>
  <c r="D30" i="23"/>
  <c r="D31" i="23"/>
  <c r="D32" i="23"/>
  <c r="D33" i="23"/>
  <c r="D34" i="23"/>
  <c r="D35" i="23"/>
  <c r="D36" i="23"/>
  <c r="D37" i="23"/>
  <c r="D38" i="23"/>
  <c r="D39" i="23"/>
  <c r="D40" i="23"/>
  <c r="D41" i="23"/>
  <c r="D42" i="23"/>
  <c r="D43" i="23"/>
  <c r="D44" i="23"/>
  <c r="D45" i="23"/>
  <c r="D46" i="23"/>
  <c r="D47" i="23"/>
  <c r="D48" i="23"/>
  <c r="D49" i="23"/>
  <c r="D50" i="23"/>
  <c r="D51" i="23"/>
  <c r="D52" i="23"/>
  <c r="D53" i="23"/>
  <c r="D54" i="23"/>
  <c r="D55" i="23"/>
  <c r="D56" i="23"/>
  <c r="D57" i="23"/>
  <c r="D58" i="23"/>
  <c r="D59" i="23"/>
  <c r="D60" i="23"/>
  <c r="D61" i="23"/>
  <c r="D62" i="23"/>
  <c r="D63" i="23"/>
  <c r="C22" i="25"/>
  <c r="C23" i="25"/>
  <c r="C24" i="25"/>
  <c r="C25" i="25"/>
  <c r="C26" i="25"/>
  <c r="C27" i="25"/>
  <c r="C28" i="25"/>
  <c r="C29" i="25"/>
  <c r="C30" i="25"/>
  <c r="C31" i="25"/>
  <c r="C32" i="25"/>
  <c r="C33" i="25"/>
  <c r="C14" i="24"/>
  <c r="D14" i="24"/>
  <c r="E14" i="24"/>
  <c r="B30" i="24"/>
  <c r="E15" i="24"/>
  <c r="E16" i="24"/>
  <c r="E17" i="24"/>
  <c r="E18" i="24"/>
  <c r="E19" i="24"/>
  <c r="E20" i="24"/>
  <c r="E21" i="24"/>
  <c r="E22" i="24"/>
  <c r="E23" i="24"/>
  <c r="E24" i="24"/>
  <c r="E25" i="24"/>
  <c r="E26" i="24"/>
  <c r="E27" i="24"/>
  <c r="E28" i="24"/>
  <c r="E29" i="24"/>
  <c r="E30" i="24"/>
  <c r="A30" i="24"/>
  <c r="F39" i="24"/>
  <c r="D15" i="24"/>
  <c r="D16" i="24"/>
  <c r="D17" i="24"/>
  <c r="D18" i="24"/>
  <c r="D19" i="24"/>
  <c r="D20" i="24"/>
  <c r="D21" i="24"/>
  <c r="D22" i="24"/>
  <c r="D23" i="24"/>
  <c r="D24" i="24"/>
  <c r="D25" i="24"/>
  <c r="D26" i="24"/>
  <c r="D27" i="24"/>
  <c r="D28" i="24"/>
  <c r="D29" i="24"/>
  <c r="D30" i="24"/>
  <c r="A33" i="24"/>
  <c r="F40" i="24"/>
  <c r="F41" i="24"/>
  <c r="F42" i="24"/>
  <c r="F14" i="24"/>
  <c r="G14" i="24"/>
  <c r="C15" i="24"/>
  <c r="F15" i="24"/>
  <c r="G15" i="24"/>
  <c r="C16" i="24"/>
  <c r="F16" i="24"/>
  <c r="G16" i="24"/>
  <c r="C17" i="24"/>
  <c r="F17" i="24"/>
  <c r="G17" i="24"/>
  <c r="C18" i="24"/>
  <c r="F18" i="24"/>
  <c r="G18" i="24"/>
  <c r="C19" i="24"/>
  <c r="F19" i="24"/>
  <c r="G19" i="24"/>
  <c r="C20" i="24"/>
  <c r="F20" i="24"/>
  <c r="G20" i="24"/>
  <c r="C21" i="24"/>
  <c r="F21" i="24"/>
  <c r="G21" i="24"/>
  <c r="C22" i="24"/>
  <c r="F22" i="24"/>
  <c r="G22" i="24"/>
  <c r="C23" i="24"/>
  <c r="F23" i="24"/>
  <c r="G23" i="24"/>
  <c r="C24" i="24"/>
  <c r="F24" i="24"/>
  <c r="G24" i="24"/>
  <c r="C25" i="24"/>
  <c r="F25" i="24"/>
  <c r="G25" i="24"/>
  <c r="C26" i="24"/>
  <c r="F26" i="24"/>
  <c r="G26" i="24"/>
  <c r="C27" i="24"/>
  <c r="F27" i="24"/>
  <c r="G27" i="24"/>
  <c r="C28" i="24"/>
  <c r="F28" i="24"/>
  <c r="G28" i="24"/>
  <c r="C29" i="24"/>
  <c r="F29" i="24"/>
  <c r="G29" i="24"/>
  <c r="C30" i="24"/>
  <c r="B33" i="24"/>
  <c r="E57" i="24"/>
  <c r="E58" i="24"/>
  <c r="E59" i="24"/>
  <c r="D71" i="24"/>
  <c r="C12" i="26"/>
  <c r="D12" i="26"/>
  <c r="C13" i="26"/>
  <c r="D13" i="26"/>
  <c r="C14" i="26"/>
  <c r="D14" i="26"/>
  <c r="C15" i="26"/>
  <c r="D15" i="26"/>
  <c r="C16" i="26"/>
  <c r="D16" i="26"/>
  <c r="C17" i="26"/>
  <c r="D17" i="26"/>
  <c r="C18" i="26"/>
  <c r="D18" i="26"/>
  <c r="C19" i="26"/>
  <c r="D19" i="26"/>
  <c r="C20" i="26"/>
  <c r="D20" i="26"/>
  <c r="C21" i="26"/>
  <c r="D21" i="26"/>
  <c r="C22" i="26"/>
  <c r="D22" i="26"/>
  <c r="C23" i="26"/>
  <c r="D23" i="26"/>
  <c r="C24" i="26"/>
  <c r="D24" i="26"/>
  <c r="C25" i="26"/>
  <c r="D25" i="26"/>
  <c r="C26" i="26"/>
  <c r="D26" i="26"/>
  <c r="C27" i="26"/>
  <c r="D27" i="26"/>
  <c r="C28" i="26"/>
  <c r="D28" i="26"/>
  <c r="C29" i="26"/>
  <c r="D29" i="26"/>
  <c r="C30" i="26"/>
  <c r="D30" i="26"/>
  <c r="C31" i="26"/>
  <c r="D31" i="26"/>
  <c r="C32" i="26"/>
  <c r="D32" i="26"/>
  <c r="C33" i="26"/>
  <c r="D33" i="26"/>
  <c r="C34" i="26"/>
  <c r="D34" i="26"/>
  <c r="C35" i="26"/>
  <c r="D35" i="26"/>
  <c r="C36" i="26"/>
  <c r="D36" i="26"/>
  <c r="C37" i="26"/>
  <c r="D37" i="26"/>
  <c r="E37" i="26"/>
  <c r="F37" i="26"/>
  <c r="C38" i="26"/>
  <c r="D38" i="26"/>
  <c r="E38" i="26"/>
  <c r="F38" i="26"/>
  <c r="C39" i="26"/>
  <c r="D39" i="26"/>
  <c r="E39" i="26"/>
  <c r="F39" i="26"/>
  <c r="C40" i="26"/>
  <c r="D40" i="26"/>
  <c r="E40" i="26"/>
  <c r="F40" i="26"/>
  <c r="C41" i="26"/>
  <c r="D41" i="26"/>
  <c r="E41" i="26"/>
  <c r="F41" i="26"/>
  <c r="C42" i="26"/>
  <c r="D42" i="26"/>
  <c r="E42" i="26"/>
  <c r="F42" i="26"/>
  <c r="C43" i="26"/>
  <c r="D43" i="26"/>
  <c r="E43" i="26"/>
  <c r="F43" i="26"/>
  <c r="C44" i="26"/>
  <c r="D44" i="26"/>
  <c r="E44" i="26"/>
  <c r="F44" i="26"/>
  <c r="C45" i="26"/>
  <c r="D45" i="26"/>
  <c r="E45" i="26"/>
  <c r="F45" i="26"/>
  <c r="C46" i="26"/>
  <c r="D46" i="26"/>
  <c r="E46" i="26"/>
  <c r="F46" i="26"/>
  <c r="C47" i="26"/>
  <c r="D47" i="26"/>
  <c r="E47" i="26"/>
  <c r="F47" i="26"/>
  <c r="C48" i="26"/>
  <c r="D48" i="26"/>
  <c r="E48" i="26"/>
  <c r="F48" i="26"/>
  <c r="C49" i="26"/>
  <c r="D49" i="26"/>
  <c r="E49" i="26"/>
  <c r="F49" i="26"/>
  <c r="C50" i="26"/>
  <c r="D50" i="26"/>
  <c r="E50" i="26"/>
  <c r="F50" i="26"/>
  <c r="C51" i="26"/>
  <c r="D51" i="26"/>
  <c r="E51" i="26"/>
  <c r="F51" i="26"/>
  <c r="C52" i="26"/>
  <c r="D52" i="26"/>
  <c r="E52" i="26"/>
  <c r="F52" i="26"/>
  <c r="C53" i="26"/>
  <c r="D53" i="26"/>
  <c r="E53" i="26"/>
  <c r="F53" i="26"/>
  <c r="C54" i="26"/>
  <c r="D54" i="26"/>
  <c r="E54" i="26"/>
  <c r="F54" i="26"/>
  <c r="C55" i="26"/>
  <c r="D55" i="26"/>
  <c r="E55" i="26"/>
  <c r="F55" i="26"/>
  <c r="C56" i="26"/>
  <c r="D56" i="26"/>
  <c r="E56" i="26"/>
  <c r="F56" i="26"/>
  <c r="C57" i="26"/>
  <c r="D57" i="26"/>
  <c r="E57" i="26"/>
  <c r="F57" i="26"/>
  <c r="C58" i="26"/>
  <c r="D58" i="26"/>
  <c r="E58" i="26"/>
  <c r="F58" i="26"/>
  <c r="C59" i="26"/>
  <c r="D59" i="26"/>
  <c r="E59" i="26"/>
  <c r="F59" i="26"/>
  <c r="C60" i="26"/>
  <c r="D60" i="26"/>
  <c r="E60" i="26"/>
  <c r="F60" i="26"/>
  <c r="C61" i="26"/>
  <c r="D61" i="26"/>
  <c r="E61" i="26"/>
  <c r="F61" i="26"/>
  <c r="C62" i="26"/>
  <c r="D62" i="26"/>
  <c r="E62" i="26"/>
  <c r="F62" i="26"/>
  <c r="C63" i="26"/>
  <c r="D63" i="26"/>
  <c r="E63" i="26"/>
  <c r="F63" i="26"/>
  <c r="C64" i="26"/>
  <c r="D64" i="26"/>
  <c r="E64" i="26"/>
  <c r="F64" i="26"/>
  <c r="C65" i="26"/>
  <c r="D65" i="26"/>
  <c r="E65" i="26"/>
  <c r="F65" i="26"/>
  <c r="C66" i="26"/>
  <c r="D66" i="26"/>
  <c r="E66" i="26"/>
  <c r="F66" i="26"/>
  <c r="E8" i="27"/>
  <c r="F8" i="27"/>
  <c r="E9" i="27"/>
  <c r="F9" i="27"/>
  <c r="E10" i="27"/>
  <c r="F10" i="27"/>
  <c r="E11" i="27"/>
  <c r="F11" i="27"/>
  <c r="E12" i="27"/>
  <c r="F12" i="27"/>
  <c r="E13" i="27"/>
  <c r="F13" i="27"/>
  <c r="E14" i="27"/>
  <c r="F14" i="27"/>
  <c r="E15" i="27"/>
  <c r="F15" i="27"/>
  <c r="E16" i="27"/>
  <c r="F16" i="27"/>
  <c r="E17" i="27"/>
  <c r="F17" i="27"/>
  <c r="E18" i="27"/>
  <c r="F18" i="27"/>
  <c r="E19" i="27"/>
  <c r="F19" i="27"/>
  <c r="E20" i="27"/>
  <c r="F20" i="27"/>
  <c r="E21" i="27"/>
  <c r="F21" i="27"/>
  <c r="E22" i="27"/>
  <c r="F22" i="27"/>
  <c r="E23" i="27"/>
  <c r="F23" i="27"/>
  <c r="E24" i="27"/>
  <c r="F24" i="27"/>
  <c r="E25" i="27"/>
  <c r="F25" i="27"/>
  <c r="E26" i="27"/>
  <c r="F26" i="27"/>
  <c r="E27" i="27"/>
  <c r="F27" i="27"/>
  <c r="E28" i="27"/>
  <c r="F28" i="27"/>
  <c r="E29" i="27"/>
  <c r="F29" i="27"/>
  <c r="E30" i="27"/>
  <c r="F30" i="27"/>
  <c r="E31" i="27"/>
  <c r="F31" i="27"/>
  <c r="E32" i="27"/>
  <c r="F32" i="27"/>
  <c r="E33" i="27"/>
  <c r="F33" i="27"/>
  <c r="E34" i="27"/>
  <c r="F34" i="27"/>
  <c r="E35" i="27"/>
  <c r="F35" i="27"/>
  <c r="E36" i="27"/>
  <c r="F36" i="27"/>
  <c r="E37" i="27"/>
  <c r="F37" i="27"/>
  <c r="E38" i="27"/>
  <c r="F38" i="27"/>
  <c r="E39" i="27"/>
  <c r="F39" i="27"/>
  <c r="E40" i="27"/>
  <c r="F40" i="27"/>
  <c r="E41" i="27"/>
  <c r="F41" i="27"/>
  <c r="E42" i="27"/>
  <c r="F42" i="27"/>
  <c r="E43" i="27"/>
  <c r="F43" i="27"/>
  <c r="E44" i="27"/>
  <c r="F44" i="27"/>
  <c r="E45" i="27"/>
  <c r="F45" i="27"/>
  <c r="E46" i="27"/>
  <c r="F46" i="27"/>
  <c r="E47" i="27"/>
  <c r="F47" i="27"/>
  <c r="E48" i="27"/>
  <c r="F48" i="27"/>
  <c r="E49" i="27"/>
  <c r="F49" i="27"/>
  <c r="E50" i="27"/>
  <c r="F50" i="27"/>
  <c r="E51" i="27"/>
  <c r="F51" i="27"/>
  <c r="E52" i="27"/>
  <c r="F52" i="27"/>
  <c r="E53" i="27"/>
  <c r="F53" i="27"/>
  <c r="E54" i="27"/>
  <c r="F54" i="27"/>
  <c r="E55" i="27"/>
  <c r="F55" i="27"/>
  <c r="E56" i="27"/>
  <c r="F56" i="27"/>
  <c r="D11" i="28"/>
  <c r="E11" i="28"/>
  <c r="D12" i="28"/>
  <c r="E12" i="28"/>
  <c r="D13" i="28"/>
  <c r="E13" i="28"/>
  <c r="D14" i="28"/>
  <c r="E14" i="28"/>
  <c r="D15" i="28"/>
  <c r="E15" i="28"/>
  <c r="D16" i="28"/>
  <c r="E16" i="28"/>
  <c r="D17" i="28"/>
  <c r="E17" i="28"/>
  <c r="D18" i="28"/>
  <c r="E18" i="28"/>
  <c r="D19" i="28"/>
  <c r="E19" i="28"/>
  <c r="F19" i="28"/>
  <c r="D20" i="28"/>
  <c r="E20" i="28"/>
  <c r="F20" i="28"/>
  <c r="D21" i="28"/>
  <c r="E21" i="28"/>
  <c r="F21" i="28"/>
  <c r="D22" i="28"/>
  <c r="E22" i="28"/>
  <c r="F22" i="28"/>
  <c r="D23" i="28"/>
  <c r="E23" i="28"/>
  <c r="F23" i="28"/>
  <c r="D24" i="28"/>
  <c r="E24" i="28"/>
  <c r="F24" i="28"/>
  <c r="D25" i="28"/>
  <c r="E25" i="28"/>
  <c r="F25" i="28"/>
  <c r="D26" i="28"/>
  <c r="E26" i="28"/>
  <c r="F26" i="28"/>
  <c r="D27" i="28"/>
  <c r="E27" i="28"/>
  <c r="F27" i="28"/>
  <c r="G27" i="28"/>
  <c r="D28" i="28"/>
  <c r="E28" i="28"/>
  <c r="F28" i="28"/>
  <c r="G28" i="28"/>
  <c r="D29" i="28"/>
  <c r="E29" i="28"/>
  <c r="F29" i="28"/>
  <c r="G29" i="28"/>
  <c r="H29" i="28"/>
  <c r="D30" i="28"/>
  <c r="E30" i="28"/>
  <c r="F30" i="28"/>
  <c r="G30" i="28"/>
  <c r="H30" i="28"/>
  <c r="D31" i="28"/>
  <c r="E31" i="28"/>
  <c r="F31" i="28"/>
  <c r="G31" i="28"/>
  <c r="H31" i="28"/>
  <c r="D32" i="28"/>
  <c r="E32" i="28"/>
  <c r="F32" i="28"/>
  <c r="G32" i="28"/>
  <c r="H32" i="28"/>
  <c r="D33" i="28"/>
  <c r="E33" i="28"/>
  <c r="F33" i="28"/>
  <c r="G33" i="28"/>
  <c r="H33" i="28"/>
  <c r="D34" i="28"/>
  <c r="E34" i="28"/>
  <c r="F34" i="28"/>
  <c r="G34" i="28"/>
  <c r="H34" i="28"/>
  <c r="D35" i="28"/>
  <c r="E35" i="28"/>
  <c r="F35" i="28"/>
  <c r="G35" i="28"/>
  <c r="H35" i="28"/>
  <c r="D36" i="28"/>
  <c r="E36" i="28"/>
  <c r="F36" i="28"/>
  <c r="G36" i="28"/>
  <c r="H36" i="28"/>
  <c r="D37" i="28"/>
  <c r="E37" i="28"/>
  <c r="F37" i="28"/>
  <c r="G37" i="28"/>
  <c r="H37" i="28"/>
  <c r="D38" i="28"/>
  <c r="E38" i="28"/>
  <c r="F38" i="28"/>
  <c r="G38" i="28"/>
  <c r="H38" i="28"/>
  <c r="D39" i="28"/>
  <c r="E39" i="28"/>
  <c r="F39" i="28"/>
  <c r="G39" i="28"/>
  <c r="H39" i="28"/>
  <c r="D40" i="28"/>
  <c r="E40" i="28"/>
  <c r="F40" i="28"/>
  <c r="G40" i="28"/>
  <c r="H40" i="28"/>
  <c r="D41" i="28"/>
  <c r="E41" i="28"/>
  <c r="F41" i="28"/>
  <c r="G41" i="28"/>
  <c r="H41" i="28"/>
  <c r="D42" i="28"/>
  <c r="E42" i="28"/>
  <c r="F42" i="28"/>
  <c r="G42" i="28"/>
  <c r="H42" i="28"/>
  <c r="D43" i="28"/>
  <c r="E43" i="28"/>
  <c r="F43" i="28"/>
  <c r="G43" i="28"/>
  <c r="H43" i="28"/>
  <c r="D44" i="28"/>
  <c r="E44" i="28"/>
  <c r="F44" i="28"/>
  <c r="G44" i="28"/>
  <c r="H44" i="28"/>
  <c r="D45" i="28"/>
  <c r="E45" i="28"/>
  <c r="F45" i="28"/>
  <c r="G45" i="28"/>
  <c r="H45" i="28"/>
  <c r="D46" i="28"/>
  <c r="E46" i="28"/>
  <c r="F46" i="28"/>
  <c r="G46" i="28"/>
  <c r="H46" i="28"/>
  <c r="D47" i="28"/>
  <c r="E47" i="28"/>
  <c r="F47" i="28"/>
  <c r="G47" i="28"/>
  <c r="H47" i="28"/>
  <c r="D48" i="28"/>
  <c r="E48" i="28"/>
  <c r="F48" i="28"/>
  <c r="G48" i="28"/>
  <c r="H48" i="28"/>
  <c r="D49" i="28"/>
  <c r="E49" i="28"/>
  <c r="F49" i="28"/>
  <c r="G49" i="28"/>
  <c r="H49" i="28"/>
  <c r="D50" i="28"/>
  <c r="E50" i="28"/>
  <c r="F50" i="28"/>
  <c r="G50" i="28"/>
  <c r="H50" i="28"/>
  <c r="D51" i="28"/>
  <c r="E51" i="28"/>
  <c r="F51" i="28"/>
  <c r="G51" i="28"/>
  <c r="H51" i="28"/>
  <c r="D52" i="28"/>
  <c r="E52" i="28"/>
  <c r="F52" i="28"/>
  <c r="G52" i="28"/>
  <c r="H52" i="28"/>
  <c r="D53" i="28"/>
  <c r="E53" i="28"/>
  <c r="F53" i="28"/>
  <c r="G53" i="28"/>
  <c r="H53" i="28"/>
  <c r="D54" i="28"/>
  <c r="E54" i="28"/>
  <c r="F54" i="28"/>
  <c r="G54" i="28"/>
  <c r="H54" i="28"/>
  <c r="D55" i="28"/>
  <c r="E55" i="28"/>
  <c r="F55" i="28"/>
  <c r="G55" i="28"/>
  <c r="H55" i="28"/>
  <c r="D56" i="28"/>
  <c r="E56" i="28"/>
  <c r="F56" i="28"/>
  <c r="G56" i="28"/>
  <c r="H56" i="28"/>
  <c r="D57" i="28"/>
  <c r="E57" i="28"/>
  <c r="F57" i="28"/>
  <c r="G57" i="28"/>
  <c r="H57" i="28"/>
  <c r="D58" i="28"/>
  <c r="E58" i="28"/>
  <c r="F58" i="28"/>
  <c r="G58" i="28"/>
  <c r="H58" i="28"/>
  <c r="D59" i="28"/>
  <c r="E59" i="28"/>
  <c r="F59" i="28"/>
  <c r="G59" i="28"/>
  <c r="H59" i="28"/>
  <c r="D60" i="28"/>
  <c r="E60" i="28"/>
  <c r="F60" i="28"/>
  <c r="G60" i="28"/>
  <c r="H60" i="28"/>
  <c r="D61" i="28"/>
  <c r="E61" i="28"/>
  <c r="F61" i="28"/>
  <c r="G61" i="28"/>
  <c r="H61" i="28"/>
  <c r="D8" i="29"/>
  <c r="E8" i="29"/>
  <c r="F8" i="29"/>
  <c r="D9" i="29"/>
  <c r="E9" i="29"/>
  <c r="F9" i="29"/>
  <c r="D10" i="29"/>
  <c r="E10" i="29"/>
  <c r="F10" i="29"/>
  <c r="D11" i="29"/>
  <c r="E11" i="29"/>
  <c r="F11" i="29"/>
  <c r="D12" i="29"/>
  <c r="E12" i="29"/>
  <c r="F12" i="29"/>
  <c r="D13" i="29"/>
  <c r="E13" i="29"/>
  <c r="F13" i="29"/>
  <c r="D14" i="29"/>
  <c r="E14" i="29"/>
  <c r="F14" i="29"/>
  <c r="D15" i="29"/>
  <c r="E15" i="29"/>
  <c r="F15" i="29"/>
  <c r="D16" i="29"/>
  <c r="E16" i="29"/>
  <c r="F16" i="29"/>
  <c r="D17" i="29"/>
  <c r="E17" i="29"/>
  <c r="F17" i="29"/>
  <c r="D18" i="29"/>
  <c r="E18" i="29"/>
  <c r="F18" i="29"/>
  <c r="D19" i="29"/>
  <c r="E19" i="29"/>
  <c r="F19" i="29"/>
  <c r="D20" i="29"/>
  <c r="E20" i="29"/>
  <c r="F20" i="29"/>
  <c r="D21" i="29"/>
  <c r="E21" i="29"/>
  <c r="F21" i="29"/>
  <c r="D22" i="29"/>
  <c r="E22" i="29"/>
  <c r="F22" i="29"/>
  <c r="D23" i="29"/>
  <c r="E23" i="29"/>
  <c r="F23" i="29"/>
  <c r="D24" i="29"/>
  <c r="E24" i="29"/>
  <c r="F24" i="29"/>
  <c r="D25" i="29"/>
  <c r="E25" i="29"/>
  <c r="F25" i="29"/>
  <c r="D26" i="29"/>
  <c r="E26" i="29"/>
  <c r="F26" i="29"/>
  <c r="D27" i="29"/>
  <c r="E27" i="29"/>
  <c r="F27" i="29"/>
  <c r="D28" i="29"/>
  <c r="E28" i="29"/>
  <c r="F28" i="29"/>
  <c r="D29" i="29"/>
  <c r="E29" i="29"/>
  <c r="F29" i="29"/>
  <c r="D30" i="29"/>
  <c r="E30" i="29"/>
  <c r="F30" i="29"/>
  <c r="D31" i="29"/>
  <c r="E31" i="29"/>
  <c r="F31" i="29"/>
  <c r="D32" i="29"/>
  <c r="E32" i="29"/>
  <c r="F32" i="29"/>
  <c r="D33" i="29"/>
  <c r="E33" i="29"/>
  <c r="F33" i="29"/>
  <c r="D34" i="29"/>
  <c r="E34" i="29"/>
  <c r="F34" i="29"/>
  <c r="D35" i="29"/>
  <c r="E35" i="29"/>
  <c r="F35" i="29"/>
  <c r="D36" i="29"/>
  <c r="E36" i="29"/>
  <c r="F36" i="29"/>
  <c r="D37" i="29"/>
  <c r="E37" i="29"/>
  <c r="F37" i="29"/>
  <c r="D38" i="29"/>
  <c r="E38" i="29"/>
  <c r="F38" i="29"/>
  <c r="D39" i="29"/>
  <c r="E39" i="29"/>
  <c r="F39" i="29"/>
  <c r="D40" i="29"/>
  <c r="E40" i="29"/>
  <c r="F40" i="29"/>
  <c r="D41" i="29"/>
  <c r="E41" i="29"/>
  <c r="F41" i="29"/>
  <c r="D42" i="29"/>
  <c r="E42" i="29"/>
  <c r="F42" i="29"/>
  <c r="D43" i="29"/>
  <c r="E43" i="29"/>
  <c r="F43" i="29"/>
  <c r="D44" i="29"/>
  <c r="E44" i="29"/>
  <c r="F44" i="29"/>
  <c r="D45" i="29"/>
  <c r="E45" i="29"/>
  <c r="F45" i="29"/>
  <c r="D46" i="29"/>
  <c r="E46" i="29"/>
  <c r="F46" i="29"/>
  <c r="G46" i="29"/>
  <c r="D47" i="29"/>
  <c r="E47" i="29"/>
  <c r="F47" i="29"/>
  <c r="G47" i="29"/>
  <c r="D48" i="29"/>
  <c r="E48" i="29"/>
  <c r="F48" i="29"/>
  <c r="G48" i="29"/>
  <c r="D49" i="29"/>
  <c r="E49" i="29"/>
  <c r="F49" i="29"/>
  <c r="G49" i="29"/>
  <c r="D50" i="29"/>
  <c r="E50" i="29"/>
  <c r="F50" i="29"/>
  <c r="G50" i="29"/>
  <c r="D51" i="29"/>
  <c r="E51" i="29"/>
  <c r="F51" i="29"/>
  <c r="G51" i="29"/>
  <c r="D52" i="29"/>
  <c r="E52" i="29"/>
  <c r="F52" i="29"/>
  <c r="G52" i="29"/>
  <c r="D53" i="29"/>
  <c r="E53" i="29"/>
  <c r="F53" i="29"/>
  <c r="G53" i="29"/>
  <c r="D54" i="29"/>
  <c r="E54" i="29"/>
  <c r="F54" i="29"/>
  <c r="G54" i="29"/>
  <c r="D55" i="29"/>
  <c r="E55" i="29"/>
  <c r="F55" i="29"/>
  <c r="G55" i="29"/>
  <c r="D56" i="29"/>
  <c r="E56" i="29"/>
  <c r="F56" i="29"/>
  <c r="G56" i="29"/>
  <c r="D57" i="29"/>
  <c r="E57" i="29"/>
  <c r="F57" i="29"/>
  <c r="G57" i="29"/>
  <c r="D10" i="30"/>
  <c r="E10" i="30"/>
  <c r="F10" i="30"/>
  <c r="G10" i="30"/>
  <c r="H10" i="30"/>
  <c r="I10" i="30"/>
  <c r="J10" i="30"/>
  <c r="D11" i="30"/>
  <c r="E11" i="30"/>
  <c r="F11" i="30"/>
  <c r="G11" i="30"/>
  <c r="H11" i="30"/>
  <c r="I11" i="30"/>
  <c r="J11" i="30"/>
  <c r="D12" i="30"/>
  <c r="E12" i="30"/>
  <c r="F12" i="30"/>
  <c r="G12" i="30"/>
  <c r="H12" i="30"/>
  <c r="I12" i="30"/>
  <c r="J12" i="30"/>
  <c r="D13" i="30"/>
  <c r="E13" i="30"/>
  <c r="F13" i="30"/>
  <c r="G13" i="30"/>
  <c r="H13" i="30"/>
  <c r="I13" i="30"/>
  <c r="J13" i="30"/>
  <c r="D14" i="30"/>
  <c r="E14" i="30"/>
  <c r="F14" i="30"/>
  <c r="G14" i="30"/>
  <c r="H14" i="30"/>
  <c r="I14" i="30"/>
  <c r="J14" i="30"/>
  <c r="D15" i="30"/>
  <c r="E15" i="30"/>
  <c r="F15" i="30"/>
  <c r="G15" i="30"/>
  <c r="H15" i="30"/>
  <c r="I15" i="30"/>
  <c r="J15" i="30"/>
  <c r="D16" i="30"/>
  <c r="E16" i="30"/>
  <c r="F16" i="30"/>
  <c r="G16" i="30"/>
  <c r="H16" i="30"/>
  <c r="I16" i="30"/>
  <c r="J16" i="30"/>
  <c r="D17" i="30"/>
  <c r="E17" i="30"/>
  <c r="F17" i="30"/>
  <c r="G17" i="30"/>
  <c r="H17" i="30"/>
  <c r="I17" i="30"/>
  <c r="J17" i="30"/>
  <c r="D18" i="30"/>
  <c r="E18" i="30"/>
  <c r="F18" i="30"/>
  <c r="G18" i="30"/>
  <c r="H18" i="30"/>
  <c r="I18" i="30"/>
  <c r="J18" i="30"/>
  <c r="D19" i="30"/>
  <c r="E19" i="30"/>
  <c r="F19" i="30"/>
  <c r="G19" i="30"/>
  <c r="H19" i="30"/>
  <c r="I19" i="30"/>
  <c r="J19" i="30"/>
  <c r="D20" i="30"/>
  <c r="E20" i="30"/>
  <c r="F20" i="30"/>
  <c r="G20" i="30"/>
  <c r="H20" i="30"/>
  <c r="I20" i="30"/>
  <c r="J20" i="30"/>
  <c r="D21" i="30"/>
  <c r="E21" i="30"/>
  <c r="F21" i="30"/>
  <c r="G21" i="30"/>
  <c r="H21" i="30"/>
  <c r="I21" i="30"/>
  <c r="J21" i="30"/>
  <c r="D22" i="30"/>
  <c r="E22" i="30"/>
  <c r="F22" i="30"/>
  <c r="G22" i="30"/>
  <c r="H22" i="30"/>
  <c r="I22" i="30"/>
  <c r="J22" i="30"/>
  <c r="D23" i="30"/>
  <c r="E23" i="30"/>
  <c r="F23" i="30"/>
  <c r="G23" i="30"/>
  <c r="H23" i="30"/>
  <c r="I23" i="30"/>
  <c r="J23" i="30"/>
  <c r="D24" i="30"/>
  <c r="E24" i="30"/>
  <c r="F24" i="30"/>
  <c r="G24" i="30"/>
  <c r="H24" i="30"/>
  <c r="I24" i="30"/>
  <c r="J24" i="30"/>
  <c r="D25" i="30"/>
  <c r="E25" i="30"/>
  <c r="F25" i="30"/>
  <c r="G25" i="30"/>
  <c r="H25" i="30"/>
  <c r="I25" i="30"/>
  <c r="J25" i="30"/>
  <c r="D26" i="30"/>
  <c r="E26" i="30"/>
  <c r="F26" i="30"/>
  <c r="G26" i="30"/>
  <c r="H26" i="30"/>
  <c r="I26" i="30"/>
  <c r="J26" i="30"/>
  <c r="D27" i="30"/>
  <c r="E27" i="30"/>
  <c r="F27" i="30"/>
  <c r="G27" i="30"/>
  <c r="H27" i="30"/>
  <c r="I27" i="30"/>
  <c r="J27" i="30"/>
  <c r="D28" i="30"/>
  <c r="E28" i="30"/>
  <c r="F28" i="30"/>
  <c r="G28" i="30"/>
  <c r="H28" i="30"/>
  <c r="I28" i="30"/>
  <c r="J28" i="30"/>
  <c r="D29" i="30"/>
  <c r="E29" i="30"/>
  <c r="F29" i="30"/>
  <c r="G29" i="30"/>
  <c r="H29" i="30"/>
  <c r="I29" i="30"/>
  <c r="J29" i="30"/>
  <c r="D30" i="30"/>
  <c r="E30" i="30"/>
  <c r="F30" i="30"/>
  <c r="G30" i="30"/>
  <c r="H30" i="30"/>
  <c r="I30" i="30"/>
  <c r="J30" i="30"/>
  <c r="D31" i="30"/>
  <c r="E31" i="30"/>
  <c r="F31" i="30"/>
  <c r="G31" i="30"/>
  <c r="H31" i="30"/>
  <c r="I31" i="30"/>
  <c r="J31" i="30"/>
  <c r="D32" i="30"/>
  <c r="E32" i="30"/>
  <c r="F32" i="30"/>
  <c r="G32" i="30"/>
  <c r="H32" i="30"/>
  <c r="I32" i="30"/>
  <c r="J32" i="30"/>
  <c r="D33" i="30"/>
  <c r="E33" i="30"/>
  <c r="F33" i="30"/>
  <c r="G33" i="30"/>
  <c r="H33" i="30"/>
  <c r="I33" i="30"/>
  <c r="J33" i="30"/>
  <c r="D34" i="30"/>
  <c r="E34" i="30"/>
  <c r="F34" i="30"/>
  <c r="G34" i="30"/>
  <c r="H34" i="30"/>
  <c r="I34" i="30"/>
  <c r="J34" i="30"/>
  <c r="D35" i="30"/>
  <c r="E35" i="30"/>
  <c r="F35" i="30"/>
  <c r="G35" i="30"/>
  <c r="H35" i="30"/>
  <c r="I35" i="30"/>
  <c r="J35" i="30"/>
  <c r="D36" i="30"/>
  <c r="E36" i="30"/>
  <c r="F36" i="30"/>
  <c r="G36" i="30"/>
  <c r="H36" i="30"/>
  <c r="I36" i="30"/>
  <c r="J36" i="30"/>
  <c r="D37" i="30"/>
  <c r="E37" i="30"/>
  <c r="F37" i="30"/>
  <c r="G37" i="30"/>
  <c r="H37" i="30"/>
  <c r="I37" i="30"/>
  <c r="J37" i="30"/>
  <c r="D38" i="30"/>
  <c r="E38" i="30"/>
  <c r="F38" i="30"/>
  <c r="G38" i="30"/>
  <c r="H38" i="30"/>
  <c r="I38" i="30"/>
  <c r="J38" i="30"/>
  <c r="D39" i="30"/>
  <c r="E39" i="30"/>
  <c r="F39" i="30"/>
  <c r="G39" i="30"/>
  <c r="H39" i="30"/>
  <c r="I39" i="30"/>
  <c r="J39" i="30"/>
  <c r="D40" i="30"/>
  <c r="E40" i="30"/>
  <c r="F40" i="30"/>
  <c r="G40" i="30"/>
  <c r="H40" i="30"/>
  <c r="I40" i="30"/>
  <c r="J40" i="30"/>
  <c r="D41" i="30"/>
  <c r="E41" i="30"/>
  <c r="F41" i="30"/>
  <c r="G41" i="30"/>
  <c r="H41" i="30"/>
  <c r="I41" i="30"/>
  <c r="J41" i="30"/>
  <c r="D42" i="30"/>
  <c r="E42" i="30"/>
  <c r="F42" i="30"/>
  <c r="G42" i="30"/>
  <c r="H42" i="30"/>
  <c r="I42" i="30"/>
  <c r="J42" i="30"/>
  <c r="D43" i="30"/>
  <c r="E43" i="30"/>
  <c r="F43" i="30"/>
  <c r="G43" i="30"/>
  <c r="H43" i="30"/>
  <c r="I43" i="30"/>
  <c r="J43" i="30"/>
  <c r="D44" i="30"/>
  <c r="E44" i="30"/>
  <c r="F44" i="30"/>
  <c r="G44" i="30"/>
  <c r="H44" i="30"/>
  <c r="I44" i="30"/>
  <c r="J44" i="30"/>
  <c r="D45" i="30"/>
  <c r="E45" i="30"/>
  <c r="F45" i="30"/>
  <c r="G45" i="30"/>
  <c r="H45" i="30"/>
  <c r="I45" i="30"/>
  <c r="J45" i="30"/>
  <c r="D46" i="30"/>
  <c r="E46" i="30"/>
  <c r="F46" i="30"/>
  <c r="G46" i="30"/>
  <c r="H46" i="30"/>
  <c r="I46" i="30"/>
  <c r="J46" i="30"/>
  <c r="D47" i="30"/>
  <c r="E47" i="30"/>
  <c r="F47" i="30"/>
  <c r="G47" i="30"/>
  <c r="H47" i="30"/>
  <c r="I47" i="30"/>
  <c r="J47" i="30"/>
  <c r="D48" i="30"/>
  <c r="E48" i="30"/>
  <c r="F48" i="30"/>
  <c r="G48" i="30"/>
  <c r="H48" i="30"/>
  <c r="I48" i="30"/>
  <c r="J48" i="30"/>
  <c r="K48" i="30"/>
  <c r="D49" i="30"/>
  <c r="E49" i="30"/>
  <c r="F49" i="30"/>
  <c r="G49" i="30"/>
  <c r="H49" i="30"/>
  <c r="I49" i="30"/>
  <c r="J49" i="30"/>
  <c r="K49" i="30"/>
  <c r="D50" i="30"/>
  <c r="E50" i="30"/>
  <c r="F50" i="30"/>
  <c r="G50" i="30"/>
  <c r="H50" i="30"/>
  <c r="I50" i="30"/>
  <c r="J50" i="30"/>
  <c r="K50" i="30"/>
  <c r="D51" i="30"/>
  <c r="E51" i="30"/>
  <c r="F51" i="30"/>
  <c r="G51" i="30"/>
  <c r="H51" i="30"/>
  <c r="I51" i="30"/>
  <c r="J51" i="30"/>
  <c r="K51" i="30"/>
  <c r="D52" i="30"/>
  <c r="E52" i="30"/>
  <c r="F52" i="30"/>
  <c r="G52" i="30"/>
  <c r="H52" i="30"/>
  <c r="I52" i="30"/>
  <c r="J52" i="30"/>
  <c r="K52" i="30"/>
  <c r="D53" i="30"/>
  <c r="E53" i="30"/>
  <c r="F53" i="30"/>
  <c r="G53" i="30"/>
  <c r="H53" i="30"/>
  <c r="I53" i="30"/>
  <c r="J53" i="30"/>
  <c r="K53" i="30"/>
  <c r="D54" i="30"/>
  <c r="E54" i="30"/>
  <c r="F54" i="30"/>
  <c r="G54" i="30"/>
  <c r="H54" i="30"/>
  <c r="I54" i="30"/>
  <c r="J54" i="30"/>
  <c r="K54" i="30"/>
  <c r="D55" i="30"/>
  <c r="E55" i="30"/>
  <c r="F55" i="30"/>
  <c r="G55" i="30"/>
  <c r="H55" i="30"/>
  <c r="I55" i="30"/>
  <c r="J55" i="30"/>
  <c r="K55" i="30"/>
  <c r="D56" i="30"/>
  <c r="E56" i="30"/>
  <c r="F56" i="30"/>
  <c r="G56" i="30"/>
  <c r="H56" i="30"/>
  <c r="I56" i="30"/>
  <c r="J56" i="30"/>
  <c r="K56" i="30"/>
  <c r="D57" i="30"/>
  <c r="E57" i="30"/>
  <c r="F57" i="30"/>
  <c r="G57" i="30"/>
  <c r="H57" i="30"/>
  <c r="I57" i="30"/>
  <c r="J57" i="30"/>
  <c r="K57" i="30"/>
  <c r="D58" i="30"/>
  <c r="E58" i="30"/>
  <c r="F58" i="30"/>
  <c r="G58" i="30"/>
  <c r="H58" i="30"/>
  <c r="I58" i="30"/>
  <c r="J58" i="30"/>
  <c r="K58" i="30"/>
  <c r="D59" i="30"/>
  <c r="E59" i="30"/>
  <c r="F59" i="30"/>
  <c r="G59" i="30"/>
  <c r="H59" i="30"/>
  <c r="I59" i="30"/>
  <c r="J59" i="30"/>
  <c r="K59" i="30"/>
  <c r="D8" i="31"/>
  <c r="E8" i="31"/>
  <c r="D9" i="31"/>
  <c r="E9" i="31"/>
  <c r="D10" i="31"/>
  <c r="E10" i="31"/>
  <c r="D11" i="31"/>
  <c r="E11" i="31"/>
  <c r="D12" i="31"/>
  <c r="E12" i="31"/>
  <c r="D13" i="31"/>
  <c r="E13" i="31"/>
  <c r="D14" i="31"/>
  <c r="E14" i="31"/>
  <c r="D15" i="31"/>
  <c r="E15" i="31"/>
  <c r="D16" i="31"/>
  <c r="E16" i="31"/>
  <c r="D17" i="31"/>
  <c r="E17" i="31"/>
  <c r="D18" i="31"/>
  <c r="E18" i="31"/>
  <c r="D19" i="31"/>
  <c r="E19" i="31"/>
  <c r="D20" i="31"/>
  <c r="E20" i="31"/>
  <c r="D21" i="31"/>
  <c r="E21" i="31"/>
  <c r="D22" i="31"/>
  <c r="E22" i="31"/>
  <c r="D23" i="31"/>
  <c r="E23" i="31"/>
  <c r="D24" i="31"/>
  <c r="E24" i="31"/>
  <c r="D25" i="31"/>
  <c r="E25" i="31"/>
  <c r="D26" i="31"/>
  <c r="E26" i="31"/>
  <c r="D27" i="31"/>
  <c r="E27" i="31"/>
  <c r="D28" i="31"/>
  <c r="E28" i="31"/>
  <c r="D29" i="31"/>
  <c r="E29" i="31"/>
  <c r="D30" i="31"/>
  <c r="E30" i="31"/>
  <c r="D31" i="31"/>
  <c r="E31" i="31"/>
  <c r="D32" i="31"/>
  <c r="E32" i="31"/>
  <c r="D33" i="31"/>
  <c r="E33" i="31"/>
  <c r="D34" i="31"/>
  <c r="E34" i="31"/>
  <c r="D35" i="31"/>
  <c r="E35" i="31"/>
  <c r="D36" i="31"/>
  <c r="E36" i="31"/>
  <c r="D37" i="31"/>
  <c r="E37" i="31"/>
  <c r="D38" i="31"/>
  <c r="E38" i="31"/>
  <c r="D39" i="31"/>
  <c r="E39" i="31"/>
  <c r="D40" i="31"/>
  <c r="E40" i="31"/>
  <c r="D41" i="31"/>
  <c r="E41" i="31"/>
  <c r="D42" i="31"/>
  <c r="E42" i="31"/>
  <c r="D43" i="31"/>
  <c r="E43" i="31"/>
  <c r="D44" i="31"/>
  <c r="E44" i="31"/>
  <c r="D45" i="31"/>
  <c r="E45" i="31"/>
  <c r="D46" i="31"/>
  <c r="E46" i="31"/>
  <c r="D47" i="31"/>
  <c r="E47" i="31"/>
  <c r="D48" i="31"/>
  <c r="E48" i="31"/>
  <c r="D49" i="31"/>
  <c r="E49" i="31"/>
  <c r="D7" i="32"/>
  <c r="E7" i="32"/>
  <c r="D8" i="32"/>
  <c r="E8" i="32"/>
  <c r="D9" i="32"/>
  <c r="E9" i="32"/>
  <c r="D10" i="32"/>
  <c r="E10" i="32"/>
  <c r="D11" i="32"/>
  <c r="E11" i="32"/>
  <c r="D12" i="32"/>
  <c r="E12" i="32"/>
  <c r="D13" i="32"/>
  <c r="E13" i="32"/>
  <c r="D14" i="32"/>
  <c r="E14" i="32"/>
  <c r="D15" i="32"/>
  <c r="E15" i="32"/>
  <c r="D16" i="32"/>
  <c r="E16" i="32"/>
  <c r="D17" i="32"/>
  <c r="E17" i="32"/>
  <c r="D18" i="32"/>
  <c r="E18" i="32"/>
  <c r="D19" i="32"/>
  <c r="E19" i="32"/>
  <c r="D20" i="32"/>
  <c r="E20" i="32"/>
  <c r="D21" i="32"/>
  <c r="E21" i="32"/>
  <c r="D22" i="32"/>
  <c r="E22" i="32"/>
  <c r="D23" i="32"/>
  <c r="E23" i="32"/>
  <c r="D24" i="32"/>
  <c r="E24" i="32"/>
  <c r="D25" i="32"/>
  <c r="E25" i="32"/>
  <c r="D26" i="32"/>
  <c r="E26" i="32"/>
  <c r="D27" i="32"/>
  <c r="E27" i="32"/>
  <c r="D28" i="32"/>
  <c r="E28" i="32"/>
  <c r="D29" i="32"/>
  <c r="E29" i="32"/>
  <c r="D30" i="32"/>
  <c r="E30" i="32"/>
  <c r="D31" i="32"/>
  <c r="E31" i="32"/>
  <c r="D32" i="32"/>
  <c r="E32" i="32"/>
  <c r="D33" i="32"/>
  <c r="E33" i="32"/>
  <c r="D34" i="32"/>
  <c r="E34" i="32"/>
  <c r="D35" i="32"/>
  <c r="E35" i="32"/>
  <c r="D36" i="32"/>
  <c r="E36" i="32"/>
  <c r="D37" i="32"/>
  <c r="E37" i="32"/>
  <c r="D38" i="32"/>
  <c r="E38" i="32"/>
  <c r="D39" i="32"/>
  <c r="E39" i="32"/>
  <c r="D40" i="32"/>
  <c r="E40" i="32"/>
  <c r="D41" i="32"/>
  <c r="E41" i="32"/>
  <c r="D42" i="32"/>
  <c r="E42" i="32"/>
  <c r="D43" i="32"/>
  <c r="E43" i="32"/>
  <c r="D44" i="32"/>
  <c r="E44" i="32"/>
  <c r="D45" i="32"/>
  <c r="E45" i="32"/>
  <c r="D46" i="32"/>
  <c r="E46" i="32"/>
  <c r="D47" i="32"/>
  <c r="E47" i="32"/>
  <c r="D48" i="32"/>
  <c r="E48" i="32"/>
  <c r="D49" i="32"/>
  <c r="E49" i="32"/>
  <c r="D50" i="32"/>
  <c r="E50" i="32"/>
  <c r="D51" i="32"/>
  <c r="E51" i="32"/>
  <c r="D52" i="32"/>
  <c r="E52" i="32"/>
  <c r="D53" i="32"/>
  <c r="E53" i="32"/>
  <c r="D54" i="32"/>
  <c r="E54" i="32"/>
  <c r="D55" i="32"/>
  <c r="E55" i="32"/>
  <c r="D56" i="32"/>
  <c r="E56" i="32"/>
  <c r="D57" i="32"/>
  <c r="E57" i="32"/>
  <c r="D58" i="32"/>
  <c r="E58" i="32"/>
  <c r="D59" i="32"/>
  <c r="E59" i="32"/>
  <c r="C21" i="33"/>
  <c r="D21" i="33"/>
  <c r="C22" i="33"/>
  <c r="D22" i="33"/>
  <c r="C23" i="33"/>
  <c r="D23" i="33"/>
  <c r="C24" i="33"/>
  <c r="D24" i="33"/>
  <c r="C25" i="33"/>
  <c r="D25" i="33"/>
  <c r="C26" i="33"/>
  <c r="D26" i="33"/>
  <c r="C27" i="33"/>
  <c r="D27" i="33"/>
  <c r="C28" i="33"/>
  <c r="D28" i="33"/>
  <c r="C29" i="33"/>
  <c r="D29" i="33"/>
  <c r="C30" i="33"/>
  <c r="D30" i="33"/>
  <c r="C31" i="33"/>
  <c r="D31" i="33"/>
  <c r="C32" i="33"/>
  <c r="D32" i="33"/>
  <c r="C33" i="33"/>
  <c r="D33" i="33"/>
  <c r="C34" i="33"/>
  <c r="D34" i="33"/>
  <c r="C35" i="33"/>
  <c r="D35" i="33"/>
  <c r="C36" i="33"/>
  <c r="D36" i="33"/>
  <c r="C37" i="33"/>
  <c r="D37" i="33"/>
  <c r="C38" i="33"/>
  <c r="D38" i="33"/>
  <c r="C39" i="33"/>
  <c r="D39" i="33"/>
  <c r="C40" i="33"/>
  <c r="D40" i="33"/>
  <c r="C41" i="33"/>
  <c r="D41" i="33"/>
  <c r="C42" i="33"/>
  <c r="D42" i="33"/>
  <c r="C43" i="33"/>
  <c r="D43" i="33"/>
  <c r="C44" i="33"/>
  <c r="D44" i="33"/>
  <c r="C45" i="33"/>
  <c r="D45" i="33"/>
  <c r="C46" i="33"/>
  <c r="D46" i="33"/>
  <c r="C47" i="33"/>
  <c r="D47" i="33"/>
  <c r="C48" i="33"/>
  <c r="D48" i="33"/>
  <c r="C49" i="33"/>
  <c r="D49" i="33"/>
  <c r="C50" i="33"/>
  <c r="D50" i="33"/>
  <c r="C51" i="33"/>
  <c r="D51" i="33"/>
  <c r="C52" i="33"/>
  <c r="D52" i="33"/>
  <c r="C53" i="33"/>
  <c r="D53" i="33"/>
  <c r="C54" i="33"/>
  <c r="D54" i="33"/>
  <c r="C55" i="33"/>
  <c r="D55" i="33"/>
  <c r="C56" i="33"/>
  <c r="D56" i="33"/>
  <c r="C57" i="33"/>
  <c r="D57" i="33"/>
  <c r="C58" i="33"/>
  <c r="D58" i="33"/>
  <c r="C59" i="33"/>
  <c r="D59" i="33"/>
  <c r="C60" i="33"/>
  <c r="D60" i="33"/>
  <c r="C61" i="33"/>
  <c r="D61" i="33"/>
  <c r="C62" i="33"/>
  <c r="D62" i="33"/>
  <c r="C63" i="33"/>
  <c r="D63" i="33"/>
  <c r="C64" i="33"/>
  <c r="D64" i="33"/>
  <c r="F23" i="34"/>
  <c r="G23" i="34"/>
  <c r="F24" i="34"/>
  <c r="G24" i="34"/>
  <c r="H24" i="34"/>
  <c r="I24" i="34"/>
  <c r="F25" i="34"/>
  <c r="G25" i="34"/>
  <c r="H25" i="34"/>
  <c r="I25" i="34"/>
  <c r="F26" i="34"/>
  <c r="G26" i="34"/>
  <c r="H26" i="34"/>
  <c r="I26" i="34"/>
  <c r="F27" i="34"/>
  <c r="G27" i="34"/>
  <c r="H27" i="34"/>
  <c r="I27" i="34"/>
  <c r="F28" i="34"/>
  <c r="G28" i="34"/>
  <c r="H28" i="34"/>
  <c r="I28" i="34"/>
  <c r="F29" i="34"/>
  <c r="G29" i="34"/>
  <c r="H29" i="34"/>
  <c r="I29" i="34"/>
  <c r="F30" i="34"/>
  <c r="G30" i="34"/>
  <c r="H30" i="34"/>
  <c r="I30" i="34"/>
  <c r="F31" i="34"/>
  <c r="G31" i="34"/>
  <c r="H31" i="34"/>
  <c r="I31" i="34"/>
  <c r="F32" i="34"/>
  <c r="G32" i="34"/>
  <c r="H32" i="34"/>
  <c r="I32" i="34"/>
  <c r="F33" i="34"/>
  <c r="G33" i="34"/>
  <c r="H33" i="34"/>
  <c r="I33" i="34"/>
  <c r="F34" i="34"/>
  <c r="G34" i="34"/>
  <c r="H34" i="34"/>
  <c r="I34" i="34"/>
  <c r="F35" i="34"/>
  <c r="G35" i="34"/>
  <c r="H35" i="34"/>
  <c r="I35" i="34"/>
  <c r="F36" i="34"/>
  <c r="G36" i="34"/>
  <c r="H36" i="34"/>
  <c r="I36" i="34"/>
  <c r="F37" i="34"/>
  <c r="G37" i="34"/>
  <c r="H37" i="34"/>
  <c r="I37" i="34"/>
  <c r="J37" i="34"/>
  <c r="K37" i="34"/>
  <c r="L37" i="34"/>
  <c r="M37" i="34"/>
  <c r="N37" i="34"/>
  <c r="F38" i="34"/>
  <c r="G38" i="34"/>
  <c r="H38" i="34"/>
  <c r="I38" i="34"/>
  <c r="J38" i="34"/>
  <c r="K38" i="34"/>
  <c r="L38" i="34"/>
  <c r="M38" i="34"/>
  <c r="N38" i="34"/>
  <c r="F39" i="34"/>
  <c r="G39" i="34"/>
  <c r="H39" i="34"/>
  <c r="I39" i="34"/>
  <c r="J39" i="34"/>
  <c r="K39" i="34"/>
  <c r="L39" i="34"/>
  <c r="M39" i="34"/>
  <c r="N39" i="34"/>
  <c r="F40" i="34"/>
  <c r="G40" i="34"/>
  <c r="H40" i="34"/>
  <c r="I40" i="34"/>
  <c r="J40" i="34"/>
  <c r="K40" i="34"/>
  <c r="L40" i="34"/>
  <c r="M40" i="34"/>
  <c r="N40" i="34"/>
  <c r="F41" i="34"/>
  <c r="G41" i="34"/>
  <c r="H41" i="34"/>
  <c r="I41" i="34"/>
  <c r="J41" i="34"/>
  <c r="K41" i="34"/>
  <c r="L41" i="34"/>
  <c r="M41" i="34"/>
  <c r="N41" i="34"/>
  <c r="F42" i="34"/>
  <c r="G42" i="34"/>
  <c r="H42" i="34"/>
  <c r="I42" i="34"/>
  <c r="J42" i="34"/>
  <c r="K42" i="34"/>
  <c r="L42" i="34"/>
  <c r="M42" i="34"/>
  <c r="N42" i="34"/>
  <c r="F43" i="34"/>
  <c r="G43" i="34"/>
  <c r="H43" i="34"/>
  <c r="I43" i="34"/>
  <c r="J43" i="34"/>
  <c r="K43" i="34"/>
  <c r="L43" i="34"/>
  <c r="M43" i="34"/>
  <c r="N43" i="34"/>
  <c r="F44" i="34"/>
  <c r="G44" i="34"/>
  <c r="H44" i="34"/>
  <c r="I44" i="34"/>
  <c r="J44" i="34"/>
  <c r="K44" i="34"/>
  <c r="L44" i="34"/>
  <c r="M44" i="34"/>
  <c r="N44" i="34"/>
  <c r="F45" i="34"/>
  <c r="G45" i="34"/>
  <c r="H45" i="34"/>
  <c r="I45" i="34"/>
  <c r="J45" i="34"/>
  <c r="K45" i="34"/>
  <c r="L45" i="34"/>
  <c r="M45" i="34"/>
  <c r="N45" i="34"/>
  <c r="F46" i="34"/>
  <c r="G46" i="34"/>
  <c r="H46" i="34"/>
  <c r="I46" i="34"/>
  <c r="J46" i="34"/>
  <c r="K46" i="34"/>
  <c r="L46" i="34"/>
  <c r="M46" i="34"/>
  <c r="N46" i="34"/>
  <c r="F47" i="34"/>
  <c r="G47" i="34"/>
  <c r="H47" i="34"/>
  <c r="I47" i="34"/>
  <c r="J47" i="34"/>
  <c r="K47" i="34"/>
  <c r="L47" i="34"/>
  <c r="M47" i="34"/>
  <c r="N47" i="34"/>
  <c r="F48" i="34"/>
  <c r="G48" i="34"/>
  <c r="H48" i="34"/>
  <c r="I48" i="34"/>
  <c r="J48" i="34"/>
  <c r="K48" i="34"/>
  <c r="L48" i="34"/>
  <c r="M48" i="34"/>
  <c r="N48" i="34"/>
  <c r="F49" i="34"/>
  <c r="G49" i="34"/>
  <c r="H49" i="34"/>
  <c r="I49" i="34"/>
  <c r="J49" i="34"/>
  <c r="K49" i="34"/>
  <c r="L49" i="34"/>
  <c r="M49" i="34"/>
  <c r="N49" i="34"/>
  <c r="F50" i="34"/>
  <c r="G50" i="34"/>
  <c r="H50" i="34"/>
  <c r="I50" i="34"/>
  <c r="J50" i="34"/>
  <c r="K50" i="34"/>
  <c r="L50" i="34"/>
  <c r="M50" i="34"/>
  <c r="N50" i="34"/>
  <c r="F51" i="34"/>
  <c r="G51" i="34"/>
  <c r="H51" i="34"/>
  <c r="I51" i="34"/>
  <c r="J51" i="34"/>
  <c r="K51" i="34"/>
  <c r="L51" i="34"/>
  <c r="M51" i="34"/>
  <c r="N51" i="34"/>
  <c r="F52" i="34"/>
  <c r="G52" i="34"/>
  <c r="H52" i="34"/>
  <c r="I52" i="34"/>
  <c r="J52" i="34"/>
  <c r="K52" i="34"/>
  <c r="L52" i="34"/>
  <c r="M52" i="34"/>
  <c r="N52" i="34"/>
  <c r="F53" i="34"/>
  <c r="G53" i="34"/>
  <c r="H53" i="34"/>
  <c r="I53" i="34"/>
  <c r="J53" i="34"/>
  <c r="K53" i="34"/>
  <c r="L53" i="34"/>
  <c r="M53" i="34"/>
  <c r="N53" i="34"/>
  <c r="F54" i="34"/>
  <c r="G54" i="34"/>
  <c r="H54" i="34"/>
  <c r="I54" i="34"/>
  <c r="J54" i="34"/>
  <c r="K54" i="34"/>
  <c r="L54" i="34"/>
  <c r="M54" i="34"/>
  <c r="N54" i="34"/>
  <c r="F55" i="34"/>
  <c r="G55" i="34"/>
  <c r="H55" i="34"/>
  <c r="I55" i="34"/>
  <c r="J55" i="34"/>
  <c r="K55" i="34"/>
  <c r="L55" i="34"/>
  <c r="M55" i="34"/>
  <c r="N55" i="34"/>
  <c r="F56" i="34"/>
  <c r="G56" i="34"/>
  <c r="H56" i="34"/>
  <c r="I56" i="34"/>
  <c r="J56" i="34"/>
  <c r="K56" i="34"/>
  <c r="L56" i="34"/>
  <c r="M56" i="34"/>
  <c r="N56" i="34"/>
  <c r="F57" i="34"/>
  <c r="G57" i="34"/>
  <c r="H57" i="34"/>
  <c r="I57" i="34"/>
  <c r="J57" i="34"/>
  <c r="K57" i="34"/>
  <c r="L57" i="34"/>
  <c r="M57" i="34"/>
  <c r="N57" i="34"/>
  <c r="F58" i="34"/>
  <c r="G58" i="34"/>
  <c r="H58" i="34"/>
  <c r="I58" i="34"/>
  <c r="J58" i="34"/>
  <c r="K58" i="34"/>
  <c r="L58" i="34"/>
  <c r="M58" i="34"/>
  <c r="N58" i="34"/>
  <c r="F59" i="34"/>
  <c r="G59" i="34"/>
  <c r="H59" i="34"/>
  <c r="I59" i="34"/>
  <c r="J59" i="34"/>
  <c r="K59" i="34"/>
  <c r="L59" i="34"/>
  <c r="M59" i="34"/>
  <c r="N59" i="34"/>
  <c r="F60" i="34"/>
  <c r="G60" i="34"/>
  <c r="H60" i="34"/>
  <c r="I60" i="34"/>
  <c r="J60" i="34"/>
  <c r="K60" i="34"/>
  <c r="L60" i="34"/>
  <c r="M60" i="34"/>
  <c r="N60" i="34"/>
  <c r="F61" i="34"/>
  <c r="G61" i="34"/>
  <c r="H61" i="34"/>
  <c r="I61" i="34"/>
  <c r="J61" i="34"/>
  <c r="K61" i="34"/>
  <c r="L61" i="34"/>
  <c r="M61" i="34"/>
  <c r="N61" i="34"/>
  <c r="F62" i="34"/>
  <c r="G62" i="34"/>
  <c r="H62" i="34"/>
  <c r="I62" i="34"/>
  <c r="J62" i="34"/>
  <c r="K62" i="34"/>
  <c r="L62" i="34"/>
  <c r="M62" i="34"/>
  <c r="N62" i="34"/>
  <c r="F63" i="34"/>
  <c r="G63" i="34"/>
  <c r="H63" i="34"/>
  <c r="I63" i="34"/>
  <c r="J63" i="34"/>
  <c r="K63" i="34"/>
  <c r="L63" i="34"/>
  <c r="M63" i="34"/>
  <c r="N63" i="34"/>
  <c r="F64" i="34"/>
  <c r="G64" i="34"/>
  <c r="H64" i="34"/>
  <c r="I64" i="34"/>
  <c r="J64" i="34"/>
  <c r="K64" i="34"/>
  <c r="L64" i="34"/>
  <c r="M64" i="34"/>
  <c r="N64" i="34"/>
  <c r="F65" i="34"/>
  <c r="G65" i="34"/>
  <c r="H65" i="34"/>
  <c r="I65" i="34"/>
  <c r="J65" i="34"/>
  <c r="K65" i="34"/>
  <c r="L65" i="34"/>
  <c r="M65" i="34"/>
  <c r="N65" i="34"/>
  <c r="F66" i="34"/>
  <c r="G66" i="34"/>
  <c r="H66" i="34"/>
  <c r="I66" i="34"/>
  <c r="J66" i="34"/>
  <c r="K66" i="34"/>
  <c r="L66" i="34"/>
  <c r="M66" i="34"/>
  <c r="N66" i="34"/>
  <c r="F67" i="34"/>
  <c r="G67" i="34"/>
  <c r="H67" i="34"/>
  <c r="I67" i="34"/>
  <c r="J67" i="34"/>
  <c r="K67" i="34"/>
  <c r="L67" i="34"/>
  <c r="M67" i="34"/>
  <c r="N67" i="34"/>
  <c r="F68" i="34"/>
  <c r="G68" i="34"/>
  <c r="H68" i="34"/>
  <c r="I68" i="34"/>
  <c r="J68" i="34"/>
  <c r="K68" i="34"/>
  <c r="L68" i="34"/>
  <c r="M68" i="34"/>
  <c r="N68" i="34"/>
  <c r="F69" i="34"/>
  <c r="G69" i="34"/>
  <c r="H69" i="34"/>
  <c r="I69" i="34"/>
  <c r="J69" i="34"/>
  <c r="K69" i="34"/>
  <c r="L69" i="34"/>
  <c r="M69" i="34"/>
  <c r="N69" i="34"/>
  <c r="F70" i="34"/>
  <c r="G70" i="34"/>
  <c r="H70" i="34"/>
  <c r="I70" i="34"/>
  <c r="J70" i="34"/>
  <c r="K70" i="34"/>
  <c r="L70" i="34"/>
  <c r="M70" i="34"/>
  <c r="N70" i="34"/>
  <c r="F71" i="34"/>
  <c r="G71" i="34"/>
  <c r="H71" i="34"/>
  <c r="I71" i="34"/>
  <c r="J71" i="34"/>
  <c r="K71" i="34"/>
  <c r="L71" i="34"/>
  <c r="M71" i="34"/>
  <c r="N71" i="34"/>
  <c r="F72" i="34"/>
  <c r="G72" i="34"/>
  <c r="H72" i="34"/>
  <c r="I72" i="34"/>
  <c r="J72" i="34"/>
  <c r="K72" i="34"/>
  <c r="L72" i="34"/>
  <c r="M72" i="34"/>
  <c r="N72" i="34"/>
  <c r="F73" i="34"/>
  <c r="G73" i="34"/>
  <c r="H73" i="34"/>
  <c r="I73" i="34"/>
  <c r="J73" i="34"/>
  <c r="K73" i="34"/>
  <c r="L73" i="34"/>
  <c r="M73" i="34"/>
  <c r="N73" i="34"/>
  <c r="F74" i="34"/>
  <c r="G74" i="34"/>
  <c r="H74" i="34"/>
  <c r="I74" i="34"/>
  <c r="J74" i="34"/>
  <c r="K74" i="34"/>
  <c r="L74" i="34"/>
  <c r="M74" i="34"/>
  <c r="N74" i="34"/>
  <c r="F75" i="34"/>
  <c r="G75" i="34"/>
  <c r="H75" i="34"/>
  <c r="I75" i="34"/>
  <c r="J75" i="34"/>
  <c r="K75" i="34"/>
  <c r="L75" i="34"/>
  <c r="M75" i="34"/>
  <c r="N75" i="34"/>
  <c r="E13" i="109"/>
  <c r="C14" i="109"/>
  <c r="D14" i="109"/>
  <c r="E14" i="109"/>
  <c r="C15" i="109"/>
  <c r="D15" i="109"/>
  <c r="E15" i="109"/>
  <c r="C16" i="109"/>
  <c r="D16" i="109"/>
  <c r="E16" i="109"/>
  <c r="C17" i="109"/>
  <c r="D17" i="109"/>
  <c r="E17" i="109"/>
  <c r="C18" i="109"/>
  <c r="D18" i="109"/>
  <c r="E18" i="109"/>
  <c r="C19" i="109"/>
  <c r="D19" i="109"/>
  <c r="E19" i="109"/>
  <c r="C20" i="109"/>
  <c r="D20" i="109"/>
  <c r="E20" i="109"/>
  <c r="C21" i="109"/>
  <c r="D21" i="109"/>
  <c r="E21" i="109"/>
  <c r="C22" i="109"/>
  <c r="D22" i="109"/>
  <c r="E22" i="109"/>
  <c r="C23" i="109"/>
  <c r="D23" i="109"/>
  <c r="E23" i="109"/>
  <c r="C24" i="109"/>
  <c r="D24" i="109"/>
  <c r="E24" i="109"/>
  <c r="C25" i="109"/>
  <c r="D25" i="109"/>
  <c r="E25" i="109"/>
  <c r="C26" i="109"/>
  <c r="D26" i="109"/>
  <c r="E26" i="109"/>
  <c r="C27" i="109"/>
  <c r="D27" i="109"/>
  <c r="E27" i="109"/>
  <c r="C28" i="109"/>
  <c r="D28" i="109"/>
  <c r="E28" i="109"/>
  <c r="C29" i="109"/>
  <c r="D29" i="109"/>
  <c r="E29" i="109"/>
  <c r="C30" i="109"/>
  <c r="D30" i="109"/>
  <c r="E30" i="109"/>
  <c r="C31" i="109"/>
  <c r="D31" i="109"/>
  <c r="E31" i="109"/>
  <c r="C32" i="109"/>
  <c r="D32" i="109"/>
  <c r="E32" i="109"/>
  <c r="C33" i="109"/>
  <c r="D33" i="109"/>
  <c r="E33" i="109"/>
  <c r="C34" i="109"/>
  <c r="D34" i="109"/>
  <c r="E34" i="109"/>
  <c r="C35" i="109"/>
  <c r="D35" i="109"/>
  <c r="E35" i="109"/>
  <c r="C36" i="109"/>
  <c r="D36" i="109"/>
  <c r="E36" i="109"/>
  <c r="C37" i="109"/>
  <c r="D37" i="109"/>
  <c r="E37" i="109"/>
  <c r="C38" i="109"/>
  <c r="D38" i="109"/>
  <c r="E38" i="109"/>
  <c r="C39" i="109"/>
  <c r="D39" i="109"/>
  <c r="E39" i="109"/>
  <c r="C40" i="109"/>
  <c r="D40" i="109"/>
  <c r="E40" i="109"/>
  <c r="C41" i="109"/>
  <c r="D41" i="109"/>
  <c r="E41" i="109"/>
  <c r="C42" i="109"/>
  <c r="D42" i="109"/>
  <c r="E42" i="109"/>
  <c r="C43" i="109"/>
  <c r="D43" i="109"/>
  <c r="E43" i="109"/>
  <c r="C44" i="109"/>
  <c r="D44" i="109"/>
  <c r="E44" i="109"/>
  <c r="C45" i="109"/>
  <c r="D45" i="109"/>
  <c r="E45" i="109"/>
  <c r="C46" i="109"/>
  <c r="D46" i="109"/>
  <c r="E46" i="109"/>
  <c r="C47" i="109"/>
  <c r="D47" i="109"/>
  <c r="E47" i="109"/>
  <c r="C48" i="109"/>
  <c r="D48" i="109"/>
  <c r="E48" i="109"/>
  <c r="C49" i="109"/>
  <c r="D49" i="109"/>
  <c r="E49" i="109"/>
  <c r="C50" i="109"/>
  <c r="D50" i="109"/>
  <c r="E50" i="109"/>
  <c r="C51" i="109"/>
  <c r="D51" i="109"/>
  <c r="E51" i="109"/>
  <c r="C52" i="109"/>
  <c r="D52" i="109"/>
  <c r="E52" i="109"/>
  <c r="C53" i="109"/>
  <c r="D53" i="109"/>
  <c r="E53" i="109"/>
  <c r="C54" i="109"/>
  <c r="D54" i="109"/>
  <c r="E54" i="109"/>
  <c r="C55" i="109"/>
  <c r="D55" i="109"/>
  <c r="E55" i="109"/>
  <c r="C56" i="109"/>
  <c r="D56" i="109"/>
  <c r="E56" i="109"/>
  <c r="C57" i="109"/>
  <c r="D57" i="109"/>
  <c r="E57" i="109"/>
  <c r="C58" i="109"/>
  <c r="D58" i="109"/>
  <c r="E58" i="109"/>
  <c r="C59" i="109"/>
  <c r="D59" i="109"/>
  <c r="E59" i="109"/>
  <c r="C60" i="109"/>
  <c r="D60" i="109"/>
  <c r="E60" i="109"/>
  <c r="C61" i="109"/>
  <c r="D61" i="109"/>
  <c r="E61" i="109"/>
  <c r="C62" i="109"/>
  <c r="D62" i="109"/>
  <c r="E62" i="109"/>
  <c r="C63" i="109"/>
  <c r="D63" i="109"/>
  <c r="E63" i="109"/>
  <c r="C64" i="109"/>
  <c r="D64" i="109"/>
  <c r="E64" i="109"/>
  <c r="C65" i="109"/>
  <c r="D65" i="109"/>
  <c r="E65" i="109"/>
  <c r="C66" i="109"/>
  <c r="D66" i="109"/>
  <c r="E66" i="109"/>
  <c r="C67" i="109"/>
  <c r="D67" i="109"/>
  <c r="E67" i="109"/>
  <c r="C68" i="109"/>
  <c r="D68" i="109"/>
  <c r="E68" i="109"/>
  <c r="C13" i="35"/>
  <c r="D13" i="35"/>
  <c r="C14" i="35"/>
  <c r="D14" i="35"/>
  <c r="C15" i="35"/>
  <c r="D15" i="35"/>
  <c r="C16" i="35"/>
  <c r="D16" i="35"/>
  <c r="C17" i="35"/>
  <c r="D17" i="35"/>
  <c r="C18" i="35"/>
  <c r="D18" i="35"/>
  <c r="C19" i="35"/>
  <c r="D19" i="35"/>
  <c r="C20" i="35"/>
  <c r="D20" i="35"/>
  <c r="C21" i="35"/>
  <c r="D21" i="35"/>
  <c r="C22" i="35"/>
  <c r="D22" i="35"/>
  <c r="C23" i="35"/>
  <c r="D23" i="35"/>
  <c r="C24" i="35"/>
  <c r="D24" i="35"/>
  <c r="C25" i="35"/>
  <c r="D25" i="35"/>
  <c r="C26" i="35"/>
  <c r="D26" i="35"/>
  <c r="C27" i="35"/>
  <c r="D27" i="35"/>
  <c r="C28" i="35"/>
  <c r="D28" i="35"/>
  <c r="C29" i="35"/>
  <c r="D29" i="35"/>
  <c r="C30" i="35"/>
  <c r="D30" i="35"/>
  <c r="C31" i="35"/>
  <c r="D31" i="35"/>
  <c r="C32" i="35"/>
  <c r="D32" i="35"/>
  <c r="C33" i="35"/>
  <c r="D33" i="35"/>
  <c r="C34" i="35"/>
  <c r="D34" i="35"/>
  <c r="C35" i="35"/>
  <c r="D35" i="35"/>
  <c r="C36" i="35"/>
  <c r="D36" i="35"/>
  <c r="C37" i="35"/>
  <c r="D37" i="35"/>
  <c r="C38" i="35"/>
  <c r="D38" i="35"/>
  <c r="C39" i="35"/>
  <c r="D39" i="35"/>
  <c r="C40" i="35"/>
  <c r="D40" i="35"/>
  <c r="C41" i="35"/>
  <c r="D41" i="35"/>
  <c r="C42" i="35"/>
  <c r="D42" i="35"/>
  <c r="C43" i="35"/>
  <c r="D43" i="35"/>
  <c r="C44" i="35"/>
  <c r="D44" i="35"/>
  <c r="C45" i="35"/>
  <c r="D45" i="35"/>
  <c r="C46" i="35"/>
  <c r="D46" i="35"/>
  <c r="C47" i="35"/>
  <c r="D47" i="35"/>
  <c r="C48" i="35"/>
  <c r="D48" i="35"/>
  <c r="C49" i="35"/>
  <c r="D49" i="35"/>
  <c r="C50" i="35"/>
  <c r="D50" i="35"/>
  <c r="C51" i="35"/>
  <c r="D51" i="35"/>
  <c r="C52" i="35"/>
  <c r="D52" i="35"/>
  <c r="C53" i="35"/>
  <c r="D53" i="35"/>
  <c r="C54" i="35"/>
  <c r="D54" i="35"/>
  <c r="C55" i="35"/>
  <c r="D55" i="35"/>
  <c r="C56" i="35"/>
  <c r="D56" i="35"/>
  <c r="C57" i="35"/>
  <c r="D57" i="35"/>
  <c r="C58" i="35"/>
  <c r="D58" i="35"/>
  <c r="C59" i="35"/>
  <c r="D59" i="35"/>
  <c r="C60" i="35"/>
  <c r="D60" i="35"/>
  <c r="C61" i="35"/>
  <c r="D61" i="35"/>
  <c r="C62" i="35"/>
  <c r="D62" i="35"/>
  <c r="C63" i="35"/>
  <c r="D63" i="35"/>
  <c r="C64" i="35"/>
  <c r="D64" i="35"/>
  <c r="D12" i="106"/>
  <c r="D13" i="106"/>
  <c r="D14" i="106"/>
  <c r="D15" i="106"/>
  <c r="D16" i="106"/>
  <c r="D17" i="106"/>
  <c r="D18" i="106"/>
  <c r="D19" i="106"/>
  <c r="D20" i="106"/>
  <c r="D21" i="106"/>
  <c r="D22" i="106"/>
  <c r="D23" i="106"/>
  <c r="D24" i="106"/>
  <c r="D25" i="106"/>
  <c r="D26" i="106"/>
  <c r="D27" i="106"/>
  <c r="D28" i="106"/>
  <c r="D29" i="106"/>
  <c r="D30" i="106"/>
  <c r="D31" i="106"/>
  <c r="D32" i="106"/>
  <c r="D33" i="106"/>
  <c r="D34" i="106"/>
  <c r="D35" i="106"/>
  <c r="D36" i="106"/>
  <c r="D37" i="106"/>
  <c r="D38" i="106"/>
  <c r="D39" i="106"/>
  <c r="D40" i="106"/>
  <c r="D41" i="106"/>
  <c r="D42" i="106"/>
  <c r="D43" i="106"/>
  <c r="D44" i="106"/>
  <c r="D45" i="106"/>
  <c r="D46" i="106"/>
  <c r="D47" i="106"/>
  <c r="D48" i="106"/>
  <c r="D49" i="106"/>
  <c r="D50" i="106"/>
  <c r="D51" i="106"/>
  <c r="D52" i="106"/>
  <c r="D53" i="106"/>
  <c r="D54" i="106"/>
  <c r="D55" i="106"/>
  <c r="D56" i="106"/>
  <c r="D57" i="106"/>
  <c r="D58" i="106"/>
  <c r="D59" i="106"/>
  <c r="D60" i="106"/>
  <c r="D61" i="106"/>
  <c r="D62" i="106"/>
  <c r="D63" i="106"/>
  <c r="D13" i="107"/>
  <c r="D14" i="107"/>
  <c r="D15" i="107"/>
  <c r="E15" i="107"/>
  <c r="D16" i="107"/>
  <c r="E16" i="107"/>
  <c r="D17" i="107"/>
  <c r="E17" i="107"/>
  <c r="D18" i="107"/>
  <c r="E18" i="107"/>
  <c r="D19" i="107"/>
  <c r="E19" i="107"/>
  <c r="D20" i="107"/>
  <c r="E20" i="107"/>
  <c r="D21" i="107"/>
  <c r="E21" i="107"/>
  <c r="D22" i="107"/>
  <c r="E22" i="107"/>
  <c r="D23" i="107"/>
  <c r="E23" i="107"/>
  <c r="D24" i="107"/>
  <c r="E24" i="107"/>
  <c r="D25" i="107"/>
  <c r="E25" i="107"/>
  <c r="D26" i="107"/>
  <c r="E26" i="107"/>
  <c r="D27" i="107"/>
  <c r="E27" i="107"/>
  <c r="D28" i="107"/>
  <c r="E28" i="107"/>
  <c r="D29" i="107"/>
  <c r="E29" i="107"/>
  <c r="D30" i="107"/>
  <c r="E30" i="107"/>
  <c r="D31" i="107"/>
  <c r="E31" i="107"/>
  <c r="D32" i="107"/>
  <c r="E32" i="107"/>
  <c r="D33" i="107"/>
  <c r="E33" i="107"/>
  <c r="D34" i="107"/>
  <c r="E34" i="107"/>
  <c r="D35" i="107"/>
  <c r="E35" i="107"/>
  <c r="D36" i="107"/>
  <c r="E36" i="107"/>
  <c r="D37" i="107"/>
  <c r="E37" i="107"/>
  <c r="D38" i="107"/>
  <c r="E38" i="107"/>
  <c r="D39" i="107"/>
  <c r="E39" i="107"/>
  <c r="D40" i="107"/>
  <c r="E40" i="107"/>
  <c r="D41" i="107"/>
  <c r="E41" i="107"/>
  <c r="D42" i="107"/>
  <c r="E42" i="107"/>
  <c r="D43" i="107"/>
  <c r="E43" i="107"/>
  <c r="D44" i="107"/>
  <c r="E44" i="107"/>
  <c r="D45" i="107"/>
  <c r="E45" i="107"/>
  <c r="D46" i="107"/>
  <c r="E46" i="107"/>
  <c r="D47" i="107"/>
  <c r="E47" i="107"/>
  <c r="D48" i="107"/>
  <c r="E48" i="107"/>
  <c r="D49" i="107"/>
  <c r="E49" i="107"/>
  <c r="D50" i="107"/>
  <c r="E50" i="107"/>
  <c r="D51" i="107"/>
  <c r="E51" i="107"/>
  <c r="D52" i="107"/>
  <c r="E52" i="107"/>
  <c r="D53" i="107"/>
  <c r="E53" i="107"/>
  <c r="D54" i="107"/>
  <c r="E54" i="107"/>
  <c r="D55" i="107"/>
  <c r="E55" i="107"/>
  <c r="D56" i="107"/>
  <c r="E56" i="107"/>
  <c r="D57" i="107"/>
  <c r="E57" i="107"/>
  <c r="D58" i="107"/>
  <c r="E58" i="107"/>
  <c r="D59" i="107"/>
  <c r="E59" i="107"/>
  <c r="D60" i="107"/>
  <c r="E60" i="107"/>
  <c r="D61" i="107"/>
  <c r="E61" i="107"/>
  <c r="D62" i="107"/>
  <c r="E62" i="107"/>
  <c r="D63" i="107"/>
  <c r="E63" i="107"/>
  <c r="D64" i="107"/>
  <c r="E64" i="107"/>
  <c r="D65" i="107"/>
  <c r="E65" i="107"/>
  <c r="D66" i="107"/>
  <c r="E66" i="107"/>
  <c r="C10" i="110"/>
  <c r="G36" i="110"/>
  <c r="D37" i="110"/>
  <c r="E37" i="110"/>
  <c r="F37" i="110"/>
  <c r="G37" i="110"/>
  <c r="D38" i="110"/>
  <c r="E38" i="110"/>
  <c r="F38" i="110"/>
  <c r="G38" i="110"/>
  <c r="D39" i="110"/>
  <c r="E39" i="110"/>
  <c r="F39" i="110"/>
  <c r="G39" i="110"/>
  <c r="D40" i="110"/>
  <c r="E40" i="110"/>
  <c r="F40" i="110"/>
  <c r="G40" i="110"/>
  <c r="D41" i="110"/>
  <c r="E41" i="110"/>
  <c r="F41" i="110"/>
  <c r="G41" i="110"/>
  <c r="D42" i="110"/>
  <c r="E42" i="110"/>
  <c r="F42" i="110"/>
  <c r="G42" i="110"/>
  <c r="D43" i="110"/>
  <c r="E43" i="110"/>
  <c r="F43" i="110"/>
  <c r="G43" i="110"/>
  <c r="D44" i="110"/>
  <c r="E44" i="110"/>
  <c r="F44" i="110"/>
  <c r="G44" i="110"/>
  <c r="D45" i="110"/>
  <c r="E45" i="110"/>
  <c r="F45" i="110"/>
  <c r="G45" i="110"/>
  <c r="D46" i="110"/>
  <c r="E46" i="110"/>
  <c r="F46" i="110"/>
  <c r="G46" i="110"/>
  <c r="D47" i="110"/>
  <c r="E47" i="110"/>
  <c r="F47" i="110"/>
  <c r="G47" i="110"/>
  <c r="D48" i="110"/>
  <c r="E48" i="110"/>
  <c r="F48" i="110"/>
  <c r="G48" i="110"/>
  <c r="D49" i="110"/>
  <c r="E49" i="110"/>
  <c r="F49" i="110"/>
  <c r="G49" i="110"/>
  <c r="D50" i="110"/>
  <c r="E50" i="110"/>
  <c r="F50" i="110"/>
  <c r="G50" i="110"/>
  <c r="D51" i="110"/>
  <c r="E51" i="110"/>
  <c r="F51" i="110"/>
  <c r="G51" i="110"/>
  <c r="D52" i="110"/>
  <c r="E52" i="110"/>
  <c r="F52" i="110"/>
  <c r="G52" i="110"/>
  <c r="D53" i="110"/>
  <c r="E53" i="110"/>
  <c r="F53" i="110"/>
  <c r="G53" i="110"/>
  <c r="D54" i="110"/>
  <c r="E54" i="110"/>
  <c r="F54" i="110"/>
  <c r="G54" i="110"/>
  <c r="D55" i="110"/>
  <c r="E55" i="110"/>
  <c r="F55" i="110"/>
  <c r="G55" i="110"/>
  <c r="D56" i="110"/>
  <c r="E56" i="110"/>
  <c r="F56" i="110"/>
  <c r="G56" i="110"/>
  <c r="D57" i="110"/>
  <c r="E57" i="110"/>
  <c r="F57" i="110"/>
  <c r="G57" i="110"/>
  <c r="D58" i="110"/>
  <c r="E58" i="110"/>
  <c r="F58" i="110"/>
  <c r="G58" i="110"/>
  <c r="D59" i="110"/>
  <c r="E59" i="110"/>
  <c r="F59" i="110"/>
  <c r="G59" i="110"/>
  <c r="D60" i="110"/>
  <c r="E60" i="110"/>
  <c r="F60" i="110"/>
  <c r="G60" i="110"/>
  <c r="D61" i="110"/>
  <c r="E61" i="110"/>
  <c r="F61" i="110"/>
  <c r="G61" i="110"/>
  <c r="D62" i="110"/>
  <c r="E62" i="110"/>
  <c r="F62" i="110"/>
  <c r="G62" i="110"/>
  <c r="D63" i="110"/>
  <c r="E63" i="110"/>
  <c r="F63" i="110"/>
  <c r="G63" i="110"/>
  <c r="D64" i="110"/>
  <c r="E64" i="110"/>
  <c r="F64" i="110"/>
  <c r="G64" i="110"/>
  <c r="D65" i="110"/>
  <c r="E65" i="110"/>
  <c r="F65" i="110"/>
  <c r="G65" i="110"/>
  <c r="D66" i="110"/>
  <c r="E66" i="110"/>
  <c r="F66" i="110"/>
  <c r="G66" i="110"/>
  <c r="D67" i="110"/>
  <c r="E67" i="110"/>
  <c r="F67" i="110"/>
  <c r="G67" i="110"/>
  <c r="D68" i="110"/>
  <c r="E68" i="110"/>
  <c r="F68" i="110"/>
  <c r="G68" i="110"/>
  <c r="D69" i="110"/>
  <c r="E69" i="110"/>
  <c r="F69" i="110"/>
  <c r="G69" i="110"/>
  <c r="D70" i="110"/>
  <c r="E70" i="110"/>
  <c r="F70" i="110"/>
  <c r="G70" i="110"/>
  <c r="C23" i="105"/>
  <c r="C24" i="105"/>
  <c r="C25" i="105"/>
  <c r="E11" i="105"/>
  <c r="F11" i="105"/>
  <c r="E12" i="105"/>
  <c r="F12" i="105"/>
  <c r="E13" i="105"/>
  <c r="F13" i="105"/>
  <c r="E14" i="105"/>
  <c r="F14" i="105"/>
  <c r="E15" i="105"/>
  <c r="F15" i="105"/>
  <c r="G15" i="105"/>
  <c r="E16" i="105"/>
  <c r="F16" i="105"/>
  <c r="G16" i="105"/>
  <c r="E17" i="105"/>
  <c r="F17" i="105"/>
  <c r="G17" i="105"/>
  <c r="E18" i="105"/>
  <c r="F18" i="105"/>
  <c r="G18" i="105"/>
  <c r="E19" i="105"/>
  <c r="F19" i="105"/>
  <c r="G19" i="105"/>
  <c r="E20" i="105"/>
  <c r="F20" i="105"/>
  <c r="G20" i="105"/>
  <c r="G21" i="105"/>
  <c r="H20" i="105"/>
  <c r="D12" i="108"/>
  <c r="D13" i="108"/>
  <c r="D14" i="108"/>
  <c r="D15" i="108"/>
  <c r="D16" i="108"/>
  <c r="D17" i="108"/>
  <c r="D18" i="108"/>
  <c r="D19" i="108"/>
  <c r="D20" i="108"/>
  <c r="D21" i="108"/>
  <c r="D22" i="108"/>
  <c r="D23" i="108"/>
  <c r="D24" i="108"/>
  <c r="D25" i="108"/>
  <c r="D26" i="108"/>
  <c r="D27" i="108"/>
  <c r="D28" i="108"/>
  <c r="D29" i="108"/>
  <c r="D30" i="108"/>
  <c r="D31" i="108"/>
  <c r="D32" i="108"/>
  <c r="D33" i="108"/>
  <c r="D34" i="108"/>
  <c r="D35" i="108"/>
  <c r="D36" i="108"/>
  <c r="D37" i="108"/>
  <c r="D38" i="108"/>
  <c r="D39" i="108"/>
  <c r="D40" i="108"/>
  <c r="D41" i="108"/>
  <c r="D42" i="108"/>
  <c r="D43" i="108"/>
  <c r="D44" i="108"/>
  <c r="D45" i="108"/>
  <c r="D46" i="108"/>
  <c r="D47" i="108"/>
  <c r="D48" i="108"/>
  <c r="D49" i="108"/>
  <c r="D50" i="108"/>
  <c r="D51" i="108"/>
  <c r="D52" i="108"/>
  <c r="D53" i="108"/>
  <c r="D54" i="108"/>
  <c r="D55" i="108"/>
  <c r="D56" i="108"/>
  <c r="D57" i="108"/>
  <c r="D58" i="108"/>
  <c r="D59" i="108"/>
  <c r="D60" i="108"/>
  <c r="D61" i="108"/>
  <c r="D62" i="108"/>
  <c r="D63" i="108"/>
  <c r="D12" i="36"/>
  <c r="E12" i="36"/>
  <c r="F12" i="36"/>
  <c r="G12" i="36"/>
  <c r="D13" i="36"/>
  <c r="E13" i="36"/>
  <c r="F13" i="36"/>
  <c r="G13" i="36"/>
  <c r="D14" i="36"/>
  <c r="E14" i="36"/>
  <c r="F14" i="36"/>
  <c r="G14" i="36"/>
  <c r="D15" i="36"/>
  <c r="E15" i="36"/>
  <c r="F15" i="36"/>
  <c r="G15" i="36"/>
  <c r="D16" i="36"/>
  <c r="E16" i="36"/>
  <c r="F16" i="36"/>
  <c r="G16" i="36"/>
  <c r="D17" i="36"/>
  <c r="E17" i="36"/>
  <c r="F17" i="36"/>
  <c r="G17" i="36"/>
  <c r="D18" i="36"/>
  <c r="E18" i="36"/>
  <c r="F18" i="36"/>
  <c r="G18" i="36"/>
  <c r="D19" i="36"/>
  <c r="E19" i="36"/>
  <c r="F19" i="36"/>
  <c r="G19" i="36"/>
  <c r="D20" i="36"/>
  <c r="E20" i="36"/>
  <c r="F20" i="36"/>
  <c r="G20" i="36"/>
  <c r="D21" i="36"/>
  <c r="E21" i="36"/>
  <c r="F21" i="36"/>
  <c r="G21" i="36"/>
  <c r="D22" i="36"/>
  <c r="E22" i="36"/>
  <c r="F22" i="36"/>
  <c r="G22" i="36"/>
  <c r="D23" i="36"/>
  <c r="E23" i="36"/>
  <c r="F23" i="36"/>
  <c r="G23" i="36"/>
  <c r="D24" i="36"/>
  <c r="E24" i="36"/>
  <c r="F24" i="36"/>
  <c r="G24" i="36"/>
  <c r="D25" i="36"/>
  <c r="E25" i="36"/>
  <c r="F25" i="36"/>
  <c r="G25" i="36"/>
  <c r="D26" i="36"/>
  <c r="E26" i="36"/>
  <c r="F26" i="36"/>
  <c r="G26" i="36"/>
  <c r="D27" i="36"/>
  <c r="E27" i="36"/>
  <c r="F27" i="36"/>
  <c r="G27" i="36"/>
  <c r="D28" i="36"/>
  <c r="E28" i="36"/>
  <c r="F28" i="36"/>
  <c r="G28" i="36"/>
  <c r="D29" i="36"/>
  <c r="E29" i="36"/>
  <c r="F29" i="36"/>
  <c r="G29" i="36"/>
  <c r="D30" i="36"/>
  <c r="E30" i="36"/>
  <c r="F30" i="36"/>
  <c r="G30" i="36"/>
  <c r="D31" i="36"/>
  <c r="E31" i="36"/>
  <c r="F31" i="36"/>
  <c r="G31" i="36"/>
  <c r="D32" i="36"/>
  <c r="E32" i="36"/>
  <c r="F32" i="36"/>
  <c r="G32" i="36"/>
  <c r="D33" i="36"/>
  <c r="E33" i="36"/>
  <c r="F33" i="36"/>
  <c r="G33" i="36"/>
  <c r="D34" i="36"/>
  <c r="E34" i="36"/>
  <c r="F34" i="36"/>
  <c r="G34" i="36"/>
  <c r="D35" i="36"/>
  <c r="E35" i="36"/>
  <c r="F35" i="36"/>
  <c r="G35" i="36"/>
  <c r="D36" i="36"/>
  <c r="E36" i="36"/>
  <c r="F36" i="36"/>
  <c r="G36" i="36"/>
  <c r="D37" i="36"/>
  <c r="E37" i="36"/>
  <c r="F37" i="36"/>
  <c r="G37" i="36"/>
  <c r="D38" i="36"/>
  <c r="E38" i="36"/>
  <c r="F38" i="36"/>
  <c r="G38" i="36"/>
  <c r="D39" i="36"/>
  <c r="E39" i="36"/>
  <c r="F39" i="36"/>
  <c r="G39" i="36"/>
  <c r="D40" i="36"/>
  <c r="E40" i="36"/>
  <c r="F40" i="36"/>
  <c r="G40" i="36"/>
  <c r="D41" i="36"/>
  <c r="E41" i="36"/>
  <c r="F41" i="36"/>
  <c r="G41" i="36"/>
  <c r="D42" i="36"/>
  <c r="E42" i="36"/>
  <c r="F42" i="36"/>
  <c r="G42" i="36"/>
  <c r="D43" i="36"/>
  <c r="E43" i="36"/>
  <c r="F43" i="36"/>
  <c r="G43" i="36"/>
  <c r="D44" i="36"/>
  <c r="E44" i="36"/>
  <c r="F44" i="36"/>
  <c r="G44" i="36"/>
  <c r="D45" i="36"/>
  <c r="E45" i="36"/>
  <c r="F45" i="36"/>
  <c r="G45" i="36"/>
  <c r="D46" i="36"/>
  <c r="E46" i="36"/>
  <c r="F46" i="36"/>
  <c r="G46" i="36"/>
  <c r="D47" i="36"/>
  <c r="E47" i="36"/>
  <c r="F47" i="36"/>
  <c r="G47" i="36"/>
  <c r="D48" i="36"/>
  <c r="E48" i="36"/>
  <c r="F48" i="36"/>
  <c r="G48" i="36"/>
  <c r="D49" i="36"/>
  <c r="E49" i="36"/>
  <c r="F49" i="36"/>
  <c r="G49" i="36"/>
  <c r="D50" i="36"/>
  <c r="E50" i="36"/>
  <c r="F50" i="36"/>
  <c r="G50" i="36"/>
  <c r="D51" i="36"/>
  <c r="E51" i="36"/>
  <c r="F51" i="36"/>
  <c r="G51" i="36"/>
  <c r="D52" i="36"/>
  <c r="E52" i="36"/>
  <c r="F52" i="36"/>
  <c r="G52" i="36"/>
  <c r="D53" i="36"/>
  <c r="E53" i="36"/>
  <c r="F53" i="36"/>
  <c r="G53" i="36"/>
  <c r="D54" i="36"/>
  <c r="E54" i="36"/>
  <c r="F54" i="36"/>
  <c r="G54" i="36"/>
  <c r="D55" i="36"/>
  <c r="E55" i="36"/>
  <c r="F55" i="36"/>
  <c r="G55" i="36"/>
  <c r="D56" i="36"/>
  <c r="E56" i="36"/>
  <c r="F56" i="36"/>
  <c r="G56" i="36"/>
  <c r="D57" i="36"/>
  <c r="E57" i="36"/>
  <c r="F57" i="36"/>
  <c r="G57" i="36"/>
  <c r="D58" i="36"/>
  <c r="E58" i="36"/>
  <c r="F58" i="36"/>
  <c r="G58" i="36"/>
  <c r="D59" i="36"/>
  <c r="E59" i="36"/>
  <c r="F59" i="36"/>
  <c r="G59" i="36"/>
  <c r="D60" i="36"/>
  <c r="E60" i="36"/>
  <c r="F60" i="36"/>
  <c r="G60" i="36"/>
  <c r="D61" i="36"/>
  <c r="E61" i="36"/>
  <c r="F61" i="36"/>
  <c r="G61" i="36"/>
  <c r="D62" i="36"/>
  <c r="E62" i="36"/>
  <c r="F62" i="36"/>
  <c r="G62" i="36"/>
  <c r="D63" i="36"/>
  <c r="E63" i="36"/>
  <c r="F63" i="36"/>
  <c r="G63" i="36"/>
  <c r="D64" i="36"/>
  <c r="E64" i="36"/>
  <c r="F64" i="36"/>
  <c r="G64" i="36"/>
  <c r="D7" i="38"/>
  <c r="D8" i="38"/>
  <c r="D9" i="38"/>
  <c r="D10" i="38"/>
  <c r="D11" i="38"/>
  <c r="D12" i="38"/>
  <c r="D13" i="38"/>
  <c r="D14" i="38"/>
  <c r="D15" i="38"/>
  <c r="D16" i="38"/>
  <c r="D17" i="38"/>
  <c r="D18" i="38"/>
  <c r="D19" i="38"/>
  <c r="D20" i="38"/>
  <c r="D21" i="38"/>
  <c r="D22" i="38"/>
  <c r="D23" i="38"/>
  <c r="D24" i="38"/>
  <c r="D25" i="38"/>
  <c r="D26" i="38"/>
  <c r="D27" i="38"/>
  <c r="D28" i="38"/>
  <c r="D29" i="38"/>
  <c r="D30" i="38"/>
  <c r="D31" i="38"/>
  <c r="D32" i="38"/>
  <c r="D33" i="38"/>
  <c r="D34" i="38"/>
  <c r="D35" i="38"/>
  <c r="D36" i="38"/>
  <c r="D37" i="38"/>
  <c r="D38" i="38"/>
  <c r="D39" i="38"/>
  <c r="D40" i="38"/>
  <c r="D41" i="38"/>
  <c r="D42" i="38"/>
  <c r="D43" i="38"/>
  <c r="D44" i="38"/>
  <c r="D45" i="38"/>
  <c r="D46" i="38"/>
  <c r="D47" i="38"/>
  <c r="D48" i="38"/>
  <c r="D49" i="38"/>
  <c r="D50" i="38"/>
  <c r="D51" i="38"/>
  <c r="D52" i="38"/>
  <c r="D53" i="38"/>
  <c r="D54" i="38"/>
  <c r="D55" i="38"/>
  <c r="D7" i="39"/>
  <c r="D8" i="39"/>
  <c r="D9" i="39"/>
  <c r="D10" i="39"/>
  <c r="D11" i="39"/>
  <c r="D12" i="39"/>
  <c r="D13" i="39"/>
  <c r="D14" i="39"/>
  <c r="D15" i="39"/>
  <c r="D16" i="39"/>
  <c r="D17" i="39"/>
  <c r="D18" i="39"/>
  <c r="D19" i="39"/>
  <c r="D20" i="39"/>
  <c r="D21" i="39"/>
  <c r="D22" i="39"/>
  <c r="D23" i="39"/>
  <c r="D24" i="39"/>
  <c r="D25" i="39"/>
  <c r="D26" i="39"/>
  <c r="D27" i="39"/>
  <c r="D28" i="39"/>
  <c r="D29" i="39"/>
  <c r="D30" i="39"/>
  <c r="D31" i="39"/>
  <c r="D32" i="39"/>
  <c r="D33" i="39"/>
  <c r="D34" i="39"/>
  <c r="D35" i="39"/>
  <c r="D36" i="39"/>
  <c r="D37" i="39"/>
  <c r="D38" i="39"/>
  <c r="D39" i="39"/>
  <c r="D40" i="39"/>
  <c r="D41" i="39"/>
  <c r="D42" i="39"/>
  <c r="D43" i="39"/>
  <c r="D44" i="39"/>
  <c r="D45" i="39"/>
  <c r="D46" i="39"/>
  <c r="D47" i="39"/>
  <c r="D48" i="39"/>
  <c r="D49" i="39"/>
  <c r="D50" i="39"/>
  <c r="D51" i="39"/>
  <c r="D52" i="39"/>
  <c r="D53" i="39"/>
  <c r="D54" i="39"/>
  <c r="D55" i="39"/>
  <c r="D7" i="40"/>
  <c r="D8" i="40"/>
  <c r="D9" i="40"/>
  <c r="D10" i="40"/>
  <c r="D11" i="40"/>
  <c r="D12" i="40"/>
  <c r="D13" i="40"/>
  <c r="D14" i="40"/>
  <c r="D15" i="40"/>
  <c r="D16" i="40"/>
  <c r="D17" i="40"/>
  <c r="D18" i="40"/>
  <c r="D19" i="40"/>
  <c r="D20" i="40"/>
  <c r="D21" i="40"/>
  <c r="D22" i="40"/>
  <c r="D23" i="40"/>
  <c r="D24" i="40"/>
  <c r="D25" i="40"/>
  <c r="D26" i="40"/>
  <c r="D27" i="40"/>
  <c r="D28" i="40"/>
  <c r="D29" i="40"/>
  <c r="D30" i="40"/>
  <c r="D31" i="40"/>
  <c r="D32" i="40"/>
  <c r="D33" i="40"/>
  <c r="D34" i="40"/>
  <c r="D35" i="40"/>
  <c r="D36" i="40"/>
  <c r="D37" i="40"/>
  <c r="D38" i="40"/>
  <c r="D39" i="40"/>
  <c r="D40" i="40"/>
  <c r="D41" i="40"/>
  <c r="D42" i="40"/>
  <c r="D43" i="40"/>
  <c r="D44" i="40"/>
  <c r="D45" i="40"/>
  <c r="D46" i="40"/>
  <c r="D47" i="40"/>
  <c r="D48" i="40"/>
  <c r="D49" i="40"/>
  <c r="D50" i="40"/>
  <c r="D51" i="40"/>
  <c r="D52" i="40"/>
  <c r="D53" i="40"/>
  <c r="D54" i="40"/>
  <c r="D55" i="40"/>
  <c r="D56" i="40"/>
  <c r="E8" i="41"/>
  <c r="F8" i="41"/>
  <c r="G8" i="41"/>
  <c r="E9" i="41"/>
  <c r="F9" i="41"/>
  <c r="G9" i="41"/>
  <c r="E10" i="41"/>
  <c r="F10" i="41"/>
  <c r="G10" i="41"/>
  <c r="E11" i="41"/>
  <c r="F11" i="41"/>
  <c r="G11" i="41"/>
  <c r="E12" i="41"/>
  <c r="F12" i="41"/>
  <c r="G12" i="41"/>
  <c r="E13" i="41"/>
  <c r="F13" i="41"/>
  <c r="G13" i="41"/>
  <c r="E14" i="41"/>
  <c r="F14" i="41"/>
  <c r="G14" i="41"/>
  <c r="E15" i="41"/>
  <c r="F15" i="41"/>
  <c r="G15" i="41"/>
  <c r="E16" i="41"/>
  <c r="F16" i="41"/>
  <c r="G16" i="41"/>
  <c r="E17" i="41"/>
  <c r="F17" i="41"/>
  <c r="G17" i="41"/>
  <c r="E18" i="41"/>
  <c r="F18" i="41"/>
  <c r="G18" i="41"/>
  <c r="E19" i="41"/>
  <c r="F19" i="41"/>
  <c r="G19" i="41"/>
  <c r="E20" i="41"/>
  <c r="F20" i="41"/>
  <c r="G20" i="41"/>
  <c r="E21" i="41"/>
  <c r="F21" i="41"/>
  <c r="G21" i="41"/>
  <c r="E22" i="41"/>
  <c r="F22" i="41"/>
  <c r="G22" i="41"/>
  <c r="E23" i="41"/>
  <c r="F23" i="41"/>
  <c r="G23" i="41"/>
  <c r="E24" i="41"/>
  <c r="F24" i="41"/>
  <c r="G24" i="41"/>
  <c r="E25" i="41"/>
  <c r="F25" i="41"/>
  <c r="G25" i="41"/>
  <c r="E26" i="41"/>
  <c r="F26" i="41"/>
  <c r="G26" i="41"/>
  <c r="E27" i="41"/>
  <c r="F27" i="41"/>
  <c r="G27" i="41"/>
  <c r="E28" i="41"/>
  <c r="F28" i="41"/>
  <c r="G28" i="41"/>
  <c r="E29" i="41"/>
  <c r="F29" i="41"/>
  <c r="G29" i="41"/>
  <c r="E30" i="41"/>
  <c r="F30" i="41"/>
  <c r="G30" i="41"/>
  <c r="E31" i="41"/>
  <c r="F31" i="41"/>
  <c r="G31" i="41"/>
  <c r="E32" i="41"/>
  <c r="F32" i="41"/>
  <c r="G32" i="41"/>
  <c r="E33" i="41"/>
  <c r="F33" i="41"/>
  <c r="G33" i="41"/>
  <c r="E34" i="41"/>
  <c r="F34" i="41"/>
  <c r="G34" i="41"/>
  <c r="E35" i="41"/>
  <c r="F35" i="41"/>
  <c r="G35" i="41"/>
  <c r="E36" i="41"/>
  <c r="F36" i="41"/>
  <c r="G36" i="41"/>
  <c r="E37" i="41"/>
  <c r="F37" i="41"/>
  <c r="G37" i="41"/>
  <c r="E38" i="41"/>
  <c r="F38" i="41"/>
  <c r="G38" i="41"/>
  <c r="E39" i="41"/>
  <c r="F39" i="41"/>
  <c r="G39" i="41"/>
  <c r="E40" i="41"/>
  <c r="F40" i="41"/>
  <c r="G40" i="41"/>
  <c r="E41" i="41"/>
  <c r="F41" i="41"/>
  <c r="G41" i="41"/>
  <c r="E42" i="41"/>
  <c r="F42" i="41"/>
  <c r="G42" i="41"/>
  <c r="E43" i="41"/>
  <c r="F43" i="41"/>
  <c r="G43" i="41"/>
  <c r="E44" i="41"/>
  <c r="F44" i="41"/>
  <c r="G44" i="41"/>
  <c r="E45" i="41"/>
  <c r="F45" i="41"/>
  <c r="G45" i="41"/>
  <c r="E46" i="41"/>
  <c r="F46" i="41"/>
  <c r="G46" i="41"/>
  <c r="E47" i="41"/>
  <c r="F47" i="41"/>
  <c r="G47" i="41"/>
  <c r="E48" i="41"/>
  <c r="F48" i="41"/>
  <c r="G48" i="41"/>
  <c r="E49" i="41"/>
  <c r="F49" i="41"/>
  <c r="G49" i="41"/>
  <c r="E50" i="41"/>
  <c r="F50" i="41"/>
  <c r="G50" i="41"/>
  <c r="E51" i="41"/>
  <c r="F51" i="41"/>
  <c r="G51" i="41"/>
  <c r="E52" i="41"/>
  <c r="F52" i="41"/>
  <c r="G52" i="41"/>
  <c r="E53" i="41"/>
  <c r="F53" i="41"/>
  <c r="G53" i="41"/>
  <c r="E54" i="41"/>
  <c r="F54" i="41"/>
  <c r="G54" i="41"/>
  <c r="E55" i="41"/>
  <c r="F55" i="41"/>
  <c r="G55" i="41"/>
  <c r="E56" i="41"/>
  <c r="F56" i="41"/>
  <c r="G56" i="41"/>
  <c r="E57" i="41"/>
  <c r="F57" i="41"/>
  <c r="G57" i="41"/>
  <c r="D14" i="42"/>
  <c r="D15" i="42"/>
  <c r="D16" i="42"/>
  <c r="D17" i="42"/>
  <c r="D18" i="42"/>
  <c r="D19" i="42"/>
  <c r="D20" i="42"/>
  <c r="D21" i="42"/>
  <c r="D22" i="42"/>
  <c r="D23" i="42"/>
  <c r="D24" i="42"/>
  <c r="D25" i="42"/>
  <c r="D26" i="42"/>
  <c r="D27" i="42"/>
  <c r="D28" i="42"/>
  <c r="D29" i="42"/>
  <c r="D30" i="42"/>
  <c r="D31" i="42"/>
  <c r="D32" i="42"/>
  <c r="D33" i="42"/>
  <c r="D34" i="42"/>
  <c r="D35" i="42"/>
  <c r="D36" i="42"/>
  <c r="D37" i="42"/>
  <c r="D38" i="42"/>
  <c r="D39" i="42"/>
  <c r="D40" i="42"/>
  <c r="D41" i="42"/>
  <c r="D42" i="42"/>
  <c r="D43" i="42"/>
  <c r="D44" i="42"/>
  <c r="D45" i="42"/>
  <c r="D46" i="42"/>
  <c r="D47" i="42"/>
  <c r="D48" i="42"/>
  <c r="D49" i="42"/>
  <c r="D50" i="42"/>
  <c r="D51" i="42"/>
  <c r="D52" i="42"/>
  <c r="D53" i="42"/>
  <c r="D54" i="42"/>
  <c r="D55" i="42"/>
  <c r="D56" i="42"/>
  <c r="D57" i="42"/>
  <c r="D58" i="42"/>
  <c r="D59" i="42"/>
  <c r="D60" i="42"/>
  <c r="D61" i="42"/>
  <c r="D62" i="42"/>
  <c r="D63" i="42"/>
  <c r="D64" i="42"/>
  <c r="D65" i="42"/>
  <c r="D66" i="42"/>
  <c r="F16" i="81"/>
  <c r="G16" i="81"/>
  <c r="H16" i="81"/>
  <c r="I16" i="81"/>
  <c r="J16" i="81"/>
  <c r="K16" i="81"/>
  <c r="L16" i="81"/>
  <c r="F17" i="81"/>
  <c r="G17" i="81"/>
  <c r="H17" i="81"/>
  <c r="I17" i="81"/>
  <c r="J17" i="81"/>
  <c r="K17" i="81"/>
  <c r="L17" i="81"/>
  <c r="F18" i="81"/>
  <c r="G18" i="81"/>
  <c r="H18" i="81"/>
  <c r="I18" i="81"/>
  <c r="J18" i="81"/>
  <c r="K18" i="81"/>
  <c r="L18" i="81"/>
  <c r="F19" i="81"/>
  <c r="G19" i="81"/>
  <c r="H19" i="81"/>
  <c r="I19" i="81"/>
  <c r="J19" i="81"/>
  <c r="K19" i="81"/>
  <c r="L19" i="81"/>
  <c r="F20" i="81"/>
  <c r="G20" i="81"/>
  <c r="H20" i="81"/>
  <c r="I20" i="81"/>
  <c r="J20" i="81"/>
  <c r="K20" i="81"/>
  <c r="L20" i="81"/>
  <c r="F21" i="81"/>
  <c r="G21" i="81"/>
  <c r="H21" i="81"/>
  <c r="I21" i="81"/>
  <c r="J21" i="81"/>
  <c r="K21" i="81"/>
  <c r="L21" i="81"/>
  <c r="F22" i="81"/>
  <c r="G22" i="81"/>
  <c r="H22" i="81"/>
  <c r="I22" i="81"/>
  <c r="J22" i="81"/>
  <c r="K22" i="81"/>
  <c r="L22" i="81"/>
  <c r="F23" i="81"/>
  <c r="G23" i="81"/>
  <c r="H23" i="81"/>
  <c r="I23" i="81"/>
  <c r="J23" i="81"/>
  <c r="K23" i="81"/>
  <c r="L23" i="81"/>
  <c r="F24" i="81"/>
  <c r="G24" i="81"/>
  <c r="H24" i="81"/>
  <c r="I24" i="81"/>
  <c r="J24" i="81"/>
  <c r="K24" i="81"/>
  <c r="L24" i="81"/>
  <c r="F25" i="81"/>
  <c r="G25" i="81"/>
  <c r="H25" i="81"/>
  <c r="I25" i="81"/>
  <c r="J25" i="81"/>
  <c r="K25" i="81"/>
  <c r="L25" i="81"/>
  <c r="F26" i="81"/>
  <c r="G26" i="81"/>
  <c r="H26" i="81"/>
  <c r="I26" i="81"/>
  <c r="J26" i="81"/>
  <c r="K26" i="81"/>
  <c r="L26" i="81"/>
  <c r="F27" i="81"/>
  <c r="G27" i="81"/>
  <c r="H27" i="81"/>
  <c r="I27" i="81"/>
  <c r="J27" i="81"/>
  <c r="K27" i="81"/>
  <c r="L27" i="81"/>
  <c r="F28" i="81"/>
  <c r="G28" i="81"/>
  <c r="H28" i="81"/>
  <c r="I28" i="81"/>
  <c r="J28" i="81"/>
  <c r="K28" i="81"/>
  <c r="L28" i="81"/>
  <c r="F29" i="81"/>
  <c r="G29" i="81"/>
  <c r="H29" i="81"/>
  <c r="I29" i="81"/>
  <c r="J29" i="81"/>
  <c r="K29" i="81"/>
  <c r="L29" i="81"/>
  <c r="F30" i="81"/>
  <c r="G30" i="81"/>
  <c r="H30" i="81"/>
  <c r="I30" i="81"/>
  <c r="J30" i="81"/>
  <c r="K30" i="81"/>
  <c r="L30" i="81"/>
  <c r="F31" i="81"/>
  <c r="G31" i="81"/>
  <c r="H31" i="81"/>
  <c r="I31" i="81"/>
  <c r="J31" i="81"/>
  <c r="K31" i="81"/>
  <c r="L31" i="81"/>
  <c r="F32" i="81"/>
  <c r="G32" i="81"/>
  <c r="H32" i="81"/>
  <c r="I32" i="81"/>
  <c r="J32" i="81"/>
  <c r="K32" i="81"/>
  <c r="L32" i="81"/>
  <c r="F33" i="81"/>
  <c r="G33" i="81"/>
  <c r="H33" i="81"/>
  <c r="I33" i="81"/>
  <c r="J33" i="81"/>
  <c r="K33" i="81"/>
  <c r="L33" i="81"/>
  <c r="F34" i="81"/>
  <c r="G34" i="81"/>
  <c r="H34" i="81"/>
  <c r="I34" i="81"/>
  <c r="J34" i="81"/>
  <c r="K34" i="81"/>
  <c r="L34" i="81"/>
  <c r="F35" i="81"/>
  <c r="G35" i="81"/>
  <c r="H35" i="81"/>
  <c r="I35" i="81"/>
  <c r="J35" i="81"/>
  <c r="K35" i="81"/>
  <c r="L35" i="81"/>
  <c r="F36" i="81"/>
  <c r="G36" i="81"/>
  <c r="H36" i="81"/>
  <c r="I36" i="81"/>
  <c r="J36" i="81"/>
  <c r="K36" i="81"/>
  <c r="L36" i="81"/>
  <c r="F37" i="81"/>
  <c r="G37" i="81"/>
  <c r="H37" i="81"/>
  <c r="I37" i="81"/>
  <c r="J37" i="81"/>
  <c r="K37" i="81"/>
  <c r="L37" i="81"/>
  <c r="F38" i="81"/>
  <c r="G38" i="81"/>
  <c r="H38" i="81"/>
  <c r="I38" i="81"/>
  <c r="J38" i="81"/>
  <c r="K38" i="81"/>
  <c r="L38" i="81"/>
  <c r="F39" i="81"/>
  <c r="G39" i="81"/>
  <c r="H39" i="81"/>
  <c r="I39" i="81"/>
  <c r="J39" i="81"/>
  <c r="K39" i="81"/>
  <c r="L39" i="81"/>
  <c r="D7" i="80"/>
  <c r="E7" i="80"/>
  <c r="D8" i="80"/>
  <c r="E8" i="80"/>
  <c r="D9" i="80"/>
  <c r="E9" i="80"/>
  <c r="D10" i="80"/>
  <c r="E10" i="80"/>
  <c r="D11" i="80"/>
  <c r="E11" i="80"/>
  <c r="D12" i="80"/>
  <c r="E12" i="80"/>
  <c r="D13" i="80"/>
  <c r="E13" i="80"/>
  <c r="D14" i="80"/>
  <c r="E14" i="80"/>
  <c r="D15" i="80"/>
  <c r="E15" i="80"/>
  <c r="D16" i="80"/>
  <c r="E16" i="80"/>
  <c r="D17" i="80"/>
  <c r="E17" i="80"/>
  <c r="D18" i="80"/>
  <c r="E18" i="80"/>
  <c r="D19" i="80"/>
  <c r="E19" i="80"/>
  <c r="D20" i="80"/>
  <c r="E20" i="80"/>
  <c r="D21" i="80"/>
  <c r="E21" i="80"/>
  <c r="D22" i="80"/>
  <c r="E22" i="80"/>
  <c r="D23" i="80"/>
  <c r="E23" i="80"/>
  <c r="D24" i="80"/>
  <c r="E24" i="80"/>
  <c r="D25" i="80"/>
  <c r="E25" i="80"/>
  <c r="D26" i="80"/>
  <c r="E26" i="80"/>
  <c r="D27" i="80"/>
  <c r="E27" i="80"/>
  <c r="D28" i="80"/>
  <c r="E28" i="80"/>
  <c r="D29" i="80"/>
  <c r="E29" i="80"/>
  <c r="D30" i="80"/>
  <c r="E30" i="80"/>
  <c r="D31" i="80"/>
  <c r="E31" i="80"/>
  <c r="D32" i="80"/>
  <c r="E32" i="80"/>
  <c r="D33" i="80"/>
  <c r="E33" i="80"/>
  <c r="D34" i="80"/>
  <c r="E34" i="80"/>
  <c r="D35" i="80"/>
  <c r="E35" i="80"/>
  <c r="D36" i="80"/>
  <c r="E36" i="80"/>
  <c r="D37" i="80"/>
  <c r="E37" i="80"/>
  <c r="D38" i="80"/>
  <c r="E38" i="80"/>
  <c r="D39" i="80"/>
  <c r="E39" i="80"/>
  <c r="D11" i="92"/>
  <c r="E11" i="92"/>
  <c r="F11" i="92"/>
  <c r="E12" i="92"/>
  <c r="D12" i="92"/>
  <c r="F12" i="92"/>
  <c r="E13" i="92"/>
  <c r="D13" i="92"/>
  <c r="F13" i="92"/>
  <c r="E14" i="92"/>
  <c r="D14" i="92"/>
  <c r="F14" i="92"/>
  <c r="E15" i="92"/>
  <c r="D15" i="92"/>
  <c r="F15" i="92"/>
  <c r="E16" i="92"/>
  <c r="D16" i="92"/>
  <c r="F16" i="92"/>
  <c r="E17" i="92"/>
  <c r="D17" i="92"/>
  <c r="F17" i="92"/>
  <c r="E18" i="92"/>
  <c r="D18" i="92"/>
  <c r="F18" i="92"/>
  <c r="E19" i="92"/>
  <c r="D19" i="92"/>
  <c r="F19" i="92"/>
  <c r="D20" i="92"/>
  <c r="E20" i="92"/>
  <c r="F20" i="92"/>
  <c r="E21" i="92"/>
  <c r="D21" i="92"/>
  <c r="F21" i="92"/>
  <c r="E22" i="92"/>
  <c r="D22" i="92"/>
  <c r="F22" i="92"/>
  <c r="E23" i="92"/>
  <c r="D23" i="92"/>
  <c r="F23" i="92"/>
  <c r="E24" i="92"/>
  <c r="D24" i="92"/>
  <c r="F24" i="92"/>
  <c r="E25" i="92"/>
  <c r="D25" i="92"/>
  <c r="F25" i="92"/>
  <c r="E26" i="92"/>
  <c r="D26" i="92"/>
  <c r="F26" i="92"/>
  <c r="D27" i="92"/>
  <c r="E27" i="92"/>
  <c r="F27" i="92"/>
  <c r="E28" i="92"/>
  <c r="D28" i="92"/>
  <c r="F28" i="92"/>
  <c r="E29" i="92"/>
  <c r="D29" i="92"/>
  <c r="F29" i="92"/>
  <c r="E30" i="92"/>
  <c r="D30" i="92"/>
  <c r="F30" i="92"/>
  <c r="E31" i="92"/>
  <c r="D31" i="92"/>
  <c r="F31" i="92"/>
  <c r="E32" i="92"/>
  <c r="D32" i="92"/>
  <c r="F32" i="92"/>
  <c r="E33" i="92"/>
  <c r="D33" i="92"/>
  <c r="F33" i="92"/>
  <c r="E34" i="92"/>
  <c r="D34" i="92"/>
  <c r="F34" i="92"/>
  <c r="E35" i="92"/>
  <c r="D35" i="92"/>
  <c r="F35" i="92"/>
  <c r="E36" i="92"/>
  <c r="D36" i="92"/>
  <c r="F36" i="92"/>
  <c r="E37" i="92"/>
  <c r="D37" i="92"/>
  <c r="F37" i="92"/>
  <c r="E38" i="92"/>
  <c r="D38" i="92"/>
  <c r="F38" i="92"/>
  <c r="E39" i="92"/>
  <c r="D39" i="92"/>
  <c r="F39" i="92"/>
  <c r="D40" i="92"/>
  <c r="E40" i="92"/>
  <c r="F40" i="92"/>
  <c r="E41" i="92"/>
  <c r="D41" i="92"/>
  <c r="F41" i="92"/>
  <c r="E42" i="92"/>
  <c r="D42" i="92"/>
  <c r="F42" i="92"/>
  <c r="E43" i="92"/>
  <c r="D43" i="92"/>
  <c r="F43" i="92"/>
  <c r="E44" i="92"/>
  <c r="D44" i="92"/>
  <c r="F44" i="92"/>
  <c r="E45" i="92"/>
  <c r="D45" i="92"/>
  <c r="F45" i="92"/>
  <c r="E46" i="92"/>
  <c r="D46" i="92"/>
  <c r="F46" i="92"/>
  <c r="E47" i="92"/>
  <c r="D47" i="92"/>
  <c r="F47" i="92"/>
  <c r="E48" i="92"/>
  <c r="D48" i="92"/>
  <c r="F48" i="92"/>
  <c r="E49" i="92"/>
  <c r="D49" i="92"/>
  <c r="F49" i="92"/>
  <c r="E50" i="92"/>
  <c r="D50" i="92"/>
  <c r="F50" i="92"/>
  <c r="E51" i="92"/>
  <c r="D51" i="92"/>
  <c r="F51" i="92"/>
  <c r="E52" i="92"/>
  <c r="D52" i="92"/>
  <c r="F52" i="92"/>
  <c r="E53" i="92"/>
  <c r="D53" i="92"/>
  <c r="F53" i="92"/>
  <c r="D54" i="92"/>
  <c r="E54" i="92"/>
  <c r="F54" i="92"/>
  <c r="E55" i="92"/>
  <c r="D55" i="92"/>
  <c r="F55" i="92"/>
  <c r="E56" i="92"/>
  <c r="D56" i="92"/>
  <c r="F56" i="92"/>
  <c r="E57" i="92"/>
  <c r="D57" i="92"/>
  <c r="F57" i="92"/>
  <c r="E58" i="92"/>
  <c r="D58" i="92"/>
  <c r="F58" i="92"/>
  <c r="E59" i="92"/>
  <c r="D59" i="92"/>
  <c r="F59" i="92"/>
  <c r="E60" i="92"/>
  <c r="D60" i="92"/>
  <c r="F60" i="92"/>
  <c r="E61" i="92"/>
  <c r="D61" i="92"/>
  <c r="F61" i="92"/>
  <c r="E62" i="92"/>
  <c r="D62" i="92"/>
  <c r="F62" i="92"/>
  <c r="E63" i="92"/>
  <c r="D63" i="92"/>
  <c r="F63" i="92"/>
  <c r="E64" i="92"/>
  <c r="D64" i="92"/>
  <c r="F64" i="92"/>
  <c r="E65" i="92"/>
  <c r="D65" i="92"/>
  <c r="F65" i="92"/>
  <c r="E66" i="92"/>
  <c r="D66" i="92"/>
  <c r="F66" i="92"/>
  <c r="E67" i="92"/>
  <c r="D67" i="92"/>
  <c r="F67" i="92"/>
  <c r="E68" i="92"/>
  <c r="D68" i="92"/>
  <c r="F68" i="92"/>
  <c r="E69" i="92"/>
  <c r="D69" i="92"/>
  <c r="F69" i="92"/>
  <c r="E70" i="92"/>
  <c r="D70" i="92"/>
  <c r="F70" i="92"/>
  <c r="E71" i="92"/>
  <c r="D71" i="92"/>
  <c r="F71" i="92"/>
  <c r="E72" i="92"/>
  <c r="D72" i="92"/>
  <c r="F72" i="92"/>
  <c r="E73" i="92"/>
  <c r="D73" i="92"/>
  <c r="F73" i="92"/>
  <c r="E74" i="92"/>
  <c r="D74" i="92"/>
  <c r="F74" i="92"/>
  <c r="E75" i="92"/>
  <c r="D75" i="92"/>
  <c r="F75" i="92"/>
  <c r="E76" i="92"/>
  <c r="D76" i="92"/>
  <c r="F76" i="92"/>
  <c r="E77" i="92"/>
  <c r="D77" i="92"/>
  <c r="F77" i="92"/>
  <c r="E78" i="92"/>
  <c r="D78" i="92"/>
  <c r="F78" i="92"/>
  <c r="E79" i="92"/>
  <c r="D79" i="92"/>
  <c r="F79" i="92"/>
  <c r="E80" i="92"/>
  <c r="F80" i="92"/>
  <c r="E81" i="92"/>
  <c r="D81" i="92"/>
  <c r="F81" i="92"/>
  <c r="E82" i="92"/>
  <c r="D82" i="92"/>
  <c r="F82" i="92"/>
  <c r="E83" i="92"/>
  <c r="D83" i="92"/>
  <c r="F83" i="92"/>
  <c r="E84" i="92"/>
  <c r="D84" i="92"/>
  <c r="F84" i="92"/>
  <c r="E85" i="92"/>
  <c r="D85" i="92"/>
  <c r="F85" i="92"/>
  <c r="E86" i="92"/>
  <c r="D86" i="92"/>
  <c r="F86" i="92"/>
  <c r="E87" i="92"/>
  <c r="D87" i="92"/>
  <c r="F87" i="92"/>
  <c r="E88" i="92"/>
  <c r="D88" i="92"/>
  <c r="F88" i="92"/>
  <c r="E89" i="92"/>
  <c r="D89" i="92"/>
  <c r="F89" i="92"/>
  <c r="D90" i="92"/>
  <c r="E90" i="92"/>
  <c r="F90" i="92"/>
  <c r="E91" i="92"/>
  <c r="D91" i="92"/>
  <c r="F91" i="92"/>
  <c r="E92" i="92"/>
  <c r="D92" i="92"/>
  <c r="F92" i="92"/>
  <c r="E93" i="92"/>
  <c r="D93" i="92"/>
  <c r="F93" i="92"/>
  <c r="E94" i="92"/>
  <c r="D94" i="92"/>
  <c r="F94" i="92"/>
  <c r="E95" i="92"/>
  <c r="D95" i="92"/>
  <c r="F95" i="92"/>
  <c r="D96" i="92"/>
  <c r="E96" i="92"/>
  <c r="F96" i="92"/>
  <c r="E97" i="92"/>
  <c r="D97" i="92"/>
  <c r="F97" i="92"/>
  <c r="E98" i="92"/>
  <c r="D98" i="92"/>
  <c r="F98" i="92"/>
  <c r="E99" i="92"/>
  <c r="D99" i="92"/>
  <c r="F99" i="92"/>
  <c r="E100" i="92"/>
  <c r="D100" i="92"/>
  <c r="F100" i="92"/>
  <c r="E101" i="92"/>
  <c r="D101" i="92"/>
  <c r="F101" i="92"/>
  <c r="E102" i="92"/>
  <c r="D102" i="92"/>
  <c r="F102" i="92"/>
  <c r="E103" i="92"/>
  <c r="D103" i="92"/>
  <c r="F103" i="92"/>
  <c r="E104" i="92"/>
  <c r="D104" i="92"/>
  <c r="F104" i="92"/>
  <c r="E105" i="92"/>
  <c r="D105" i="92"/>
  <c r="F105" i="92"/>
  <c r="C9" i="43"/>
  <c r="D9" i="43"/>
  <c r="C10" i="43"/>
  <c r="D10" i="43"/>
  <c r="C11" i="43"/>
  <c r="D11" i="43"/>
  <c r="C12" i="43"/>
  <c r="D12" i="43"/>
  <c r="C13" i="43"/>
  <c r="D13" i="43"/>
  <c r="C14" i="43"/>
  <c r="D14" i="43"/>
  <c r="C15" i="43"/>
  <c r="D15" i="43"/>
  <c r="C16" i="43"/>
  <c r="D16" i="43"/>
  <c r="C17" i="43"/>
  <c r="D17" i="43"/>
  <c r="C18" i="43"/>
  <c r="D18" i="43"/>
  <c r="C19" i="43"/>
  <c r="D19" i="43"/>
  <c r="C20" i="43"/>
  <c r="D20" i="43"/>
  <c r="C21" i="43"/>
  <c r="D21" i="43"/>
  <c r="C22" i="43"/>
  <c r="D22" i="43"/>
  <c r="C23" i="43"/>
  <c r="D23" i="43"/>
  <c r="C24" i="43"/>
  <c r="D24" i="43"/>
  <c r="C25" i="43"/>
  <c r="D25" i="43"/>
  <c r="C26" i="43"/>
  <c r="D26" i="43"/>
  <c r="C27" i="43"/>
  <c r="D27" i="43"/>
  <c r="C28" i="43"/>
  <c r="D28" i="43"/>
  <c r="C29" i="43"/>
  <c r="D29" i="43"/>
  <c r="C30" i="43"/>
  <c r="D30" i="43"/>
  <c r="C31" i="43"/>
  <c r="D31" i="43"/>
  <c r="C32" i="43"/>
  <c r="D32" i="43"/>
  <c r="C33" i="43"/>
  <c r="D33" i="43"/>
  <c r="C34" i="43"/>
  <c r="D34" i="43"/>
  <c r="C35" i="43"/>
  <c r="D35" i="43"/>
  <c r="C36" i="43"/>
  <c r="D36" i="43"/>
  <c r="C37" i="43"/>
  <c r="D37" i="43"/>
  <c r="C38" i="43"/>
  <c r="D38" i="43"/>
  <c r="C39" i="43"/>
  <c r="D39" i="43"/>
  <c r="C40" i="43"/>
  <c r="D40" i="43"/>
  <c r="C41" i="43"/>
  <c r="D41" i="43"/>
  <c r="C42" i="43"/>
  <c r="D42" i="43"/>
  <c r="C43" i="43"/>
  <c r="D43" i="43"/>
  <c r="C44" i="43"/>
  <c r="D44" i="43"/>
  <c r="C45" i="43"/>
  <c r="D45" i="43"/>
  <c r="C46" i="43"/>
  <c r="D46" i="43"/>
  <c r="C47" i="43"/>
  <c r="D47" i="43"/>
  <c r="C48" i="43"/>
  <c r="D48" i="43"/>
  <c r="C49" i="43"/>
  <c r="D49" i="43"/>
  <c r="C50" i="43"/>
  <c r="D50" i="43"/>
  <c r="C51" i="43"/>
  <c r="D51" i="43"/>
  <c r="C52" i="43"/>
  <c r="D52" i="43"/>
  <c r="C53" i="43"/>
  <c r="D53" i="43"/>
  <c r="C54" i="43"/>
  <c r="D54" i="43"/>
  <c r="C55" i="43"/>
  <c r="D55" i="43"/>
  <c r="C56" i="43"/>
  <c r="D56" i="43"/>
  <c r="C57" i="43"/>
  <c r="D57" i="43"/>
  <c r="C58" i="43"/>
  <c r="D58" i="43"/>
  <c r="C59" i="43"/>
  <c r="D59" i="43"/>
  <c r="C60" i="43"/>
  <c r="D60" i="43"/>
  <c r="C61" i="43"/>
  <c r="D61" i="43"/>
  <c r="D13" i="72"/>
  <c r="E13" i="72"/>
  <c r="F13" i="72"/>
  <c r="G13" i="72"/>
  <c r="D14" i="72"/>
  <c r="E14" i="72"/>
  <c r="F14" i="72"/>
  <c r="G14" i="72"/>
  <c r="D15" i="72"/>
  <c r="E15" i="72"/>
  <c r="F15" i="72"/>
  <c r="G15" i="72"/>
  <c r="D16" i="72"/>
  <c r="E16" i="72"/>
  <c r="F16" i="72"/>
  <c r="G16" i="72"/>
  <c r="D17" i="72"/>
  <c r="E17" i="72"/>
  <c r="F17" i="72"/>
  <c r="G17" i="72"/>
  <c r="D18" i="72"/>
  <c r="E18" i="72"/>
  <c r="F18" i="72"/>
  <c r="G18" i="72"/>
  <c r="D19" i="72"/>
  <c r="E19" i="72"/>
  <c r="F19" i="72"/>
  <c r="G19" i="72"/>
  <c r="D20" i="72"/>
  <c r="E20" i="72"/>
  <c r="F20" i="72"/>
  <c r="G20" i="72"/>
  <c r="D21" i="72"/>
  <c r="E21" i="72"/>
  <c r="F21" i="72"/>
  <c r="G21" i="72"/>
  <c r="D22" i="72"/>
  <c r="E22" i="72"/>
  <c r="F22" i="72"/>
  <c r="G22" i="72"/>
  <c r="D23" i="72"/>
  <c r="E23" i="72"/>
  <c r="F23" i="72"/>
  <c r="G23" i="72"/>
  <c r="D24" i="72"/>
  <c r="E24" i="72"/>
  <c r="F24" i="72"/>
  <c r="G24" i="72"/>
  <c r="D25" i="72"/>
  <c r="E25" i="72"/>
  <c r="F25" i="72"/>
  <c r="G25" i="72"/>
  <c r="D26" i="72"/>
  <c r="E26" i="72"/>
  <c r="F26" i="72"/>
  <c r="G26" i="72"/>
  <c r="D27" i="72"/>
  <c r="E27" i="72"/>
  <c r="F27" i="72"/>
  <c r="G27" i="72"/>
  <c r="D28" i="72"/>
  <c r="E28" i="72"/>
  <c r="F28" i="72"/>
  <c r="G28" i="72"/>
  <c r="D29" i="72"/>
  <c r="E29" i="72"/>
  <c r="F29" i="72"/>
  <c r="G29" i="72"/>
  <c r="D30" i="72"/>
  <c r="E30" i="72"/>
  <c r="F30" i="72"/>
  <c r="G30" i="72"/>
  <c r="D31" i="72"/>
  <c r="E31" i="72"/>
  <c r="F31" i="72"/>
  <c r="G31" i="72"/>
  <c r="D32" i="72"/>
  <c r="E32" i="72"/>
  <c r="F32" i="72"/>
  <c r="G32" i="72"/>
  <c r="D33" i="72"/>
  <c r="E33" i="72"/>
  <c r="F33" i="72"/>
  <c r="G33" i="72"/>
  <c r="D34" i="72"/>
  <c r="E34" i="72"/>
  <c r="F34" i="72"/>
  <c r="G34" i="72"/>
  <c r="D35" i="72"/>
  <c r="E35" i="72"/>
  <c r="F35" i="72"/>
  <c r="G35" i="72"/>
  <c r="D36" i="72"/>
  <c r="E36" i="72"/>
  <c r="F36" i="72"/>
  <c r="G36" i="72"/>
  <c r="D37" i="72"/>
  <c r="E37" i="72"/>
  <c r="F37" i="72"/>
  <c r="G37" i="72"/>
  <c r="D38" i="72"/>
  <c r="E38" i="72"/>
  <c r="F38" i="72"/>
  <c r="G38" i="72"/>
  <c r="D39" i="72"/>
  <c r="E39" i="72"/>
  <c r="F39" i="72"/>
  <c r="G39" i="72"/>
  <c r="D40" i="72"/>
  <c r="E40" i="72"/>
  <c r="F40" i="72"/>
  <c r="G40" i="72"/>
  <c r="D41" i="72"/>
  <c r="E41" i="72"/>
  <c r="F41" i="72"/>
  <c r="G41" i="72"/>
  <c r="D42" i="72"/>
  <c r="E42" i="72"/>
  <c r="F42" i="72"/>
  <c r="G42" i="72"/>
  <c r="D43" i="72"/>
  <c r="E43" i="72"/>
  <c r="F43" i="72"/>
  <c r="G43" i="72"/>
  <c r="D44" i="72"/>
  <c r="E44" i="72"/>
  <c r="F44" i="72"/>
  <c r="G44" i="72"/>
  <c r="D45" i="72"/>
  <c r="E45" i="72"/>
  <c r="F45" i="72"/>
  <c r="G45" i="72"/>
  <c r="D46" i="72"/>
  <c r="E46" i="72"/>
  <c r="F46" i="72"/>
  <c r="G46" i="72"/>
  <c r="D47" i="72"/>
  <c r="E47" i="72"/>
  <c r="F47" i="72"/>
  <c r="G47" i="72"/>
  <c r="D48" i="72"/>
  <c r="E48" i="72"/>
  <c r="F48" i="72"/>
  <c r="G48" i="72"/>
  <c r="D49" i="72"/>
  <c r="E49" i="72"/>
  <c r="F49" i="72"/>
  <c r="G49" i="72"/>
  <c r="D50" i="72"/>
  <c r="E50" i="72"/>
  <c r="F50" i="72"/>
  <c r="G50" i="72"/>
  <c r="D51" i="72"/>
  <c r="E51" i="72"/>
  <c r="F51" i="72"/>
  <c r="G51" i="72"/>
  <c r="D52" i="72"/>
  <c r="E52" i="72"/>
  <c r="F52" i="72"/>
  <c r="G52" i="72"/>
  <c r="D53" i="72"/>
  <c r="E53" i="72"/>
  <c r="F53" i="72"/>
  <c r="G53" i="72"/>
  <c r="D54" i="72"/>
  <c r="E54" i="72"/>
  <c r="F54" i="72"/>
  <c r="G54" i="72"/>
  <c r="D55" i="72"/>
  <c r="E55" i="72"/>
  <c r="F55" i="72"/>
  <c r="G55" i="72"/>
  <c r="D56" i="72"/>
  <c r="E56" i="72"/>
  <c r="F56" i="72"/>
  <c r="G56" i="72"/>
  <c r="D57" i="72"/>
  <c r="E57" i="72"/>
  <c r="F57" i="72"/>
  <c r="G57" i="72"/>
  <c r="D58" i="72"/>
  <c r="E58" i="72"/>
  <c r="F58" i="72"/>
  <c r="G58" i="72"/>
  <c r="D59" i="72"/>
  <c r="E59" i="72"/>
  <c r="F59" i="72"/>
  <c r="G59" i="72"/>
  <c r="D60" i="72"/>
  <c r="E60" i="72"/>
  <c r="F60" i="72"/>
  <c r="G60" i="72"/>
  <c r="D61" i="72"/>
  <c r="E61" i="72"/>
  <c r="F61" i="72"/>
  <c r="G61" i="72"/>
  <c r="D62" i="72"/>
  <c r="E62" i="72"/>
  <c r="F62" i="72"/>
  <c r="G62" i="72"/>
  <c r="D63" i="72"/>
  <c r="E63" i="72"/>
  <c r="F63" i="72"/>
  <c r="G63" i="72"/>
  <c r="D64" i="72"/>
  <c r="E64" i="72"/>
  <c r="F64" i="72"/>
  <c r="G64" i="72"/>
  <c r="D65" i="72"/>
  <c r="E65" i="72"/>
  <c r="F65" i="72"/>
  <c r="G65" i="72"/>
  <c r="D10" i="75"/>
  <c r="E10" i="75"/>
  <c r="F10" i="75"/>
  <c r="G10" i="75"/>
  <c r="D11" i="75"/>
  <c r="E11" i="75"/>
  <c r="F11" i="75"/>
  <c r="G11" i="75"/>
  <c r="D12" i="75"/>
  <c r="E12" i="75"/>
  <c r="F12" i="75"/>
  <c r="G12" i="75"/>
  <c r="D13" i="75"/>
  <c r="E13" i="75"/>
  <c r="F13" i="75"/>
  <c r="G13" i="75"/>
  <c r="D14" i="75"/>
  <c r="E14" i="75"/>
  <c r="F14" i="75"/>
  <c r="G14" i="75"/>
  <c r="D15" i="75"/>
  <c r="E15" i="75"/>
  <c r="F15" i="75"/>
  <c r="G15" i="75"/>
  <c r="D16" i="75"/>
  <c r="E16" i="75"/>
  <c r="F16" i="75"/>
  <c r="G16" i="75"/>
  <c r="D17" i="75"/>
  <c r="E17" i="75"/>
  <c r="F17" i="75"/>
  <c r="G17" i="75"/>
  <c r="D18" i="75"/>
  <c r="E18" i="75"/>
  <c r="F18" i="75"/>
  <c r="G18" i="75"/>
  <c r="D19" i="75"/>
  <c r="E19" i="75"/>
  <c r="F19" i="75"/>
  <c r="G19" i="75"/>
  <c r="D20" i="75"/>
  <c r="E20" i="75"/>
  <c r="F20" i="75"/>
  <c r="G20" i="75"/>
  <c r="D21" i="75"/>
  <c r="E21" i="75"/>
  <c r="F21" i="75"/>
  <c r="G21" i="75"/>
  <c r="D22" i="75"/>
  <c r="E22" i="75"/>
  <c r="F22" i="75"/>
  <c r="G22" i="75"/>
  <c r="D23" i="75"/>
  <c r="E23" i="75"/>
  <c r="F23" i="75"/>
  <c r="G23" i="75"/>
  <c r="D24" i="75"/>
  <c r="E24" i="75"/>
  <c r="F24" i="75"/>
  <c r="G24" i="75"/>
  <c r="D25" i="75"/>
  <c r="E25" i="75"/>
  <c r="F25" i="75"/>
  <c r="G25" i="75"/>
  <c r="D26" i="75"/>
  <c r="E26" i="75"/>
  <c r="F26" i="75"/>
  <c r="G26" i="75"/>
  <c r="D27" i="75"/>
  <c r="E27" i="75"/>
  <c r="F27" i="75"/>
  <c r="G27" i="75"/>
  <c r="D28" i="75"/>
  <c r="E28" i="75"/>
  <c r="F28" i="75"/>
  <c r="G28" i="75"/>
  <c r="D29" i="75"/>
  <c r="E29" i="75"/>
  <c r="F29" i="75"/>
  <c r="G29" i="75"/>
  <c r="D30" i="75"/>
  <c r="E30" i="75"/>
  <c r="F30" i="75"/>
  <c r="G30" i="75"/>
  <c r="D31" i="75"/>
  <c r="E31" i="75"/>
  <c r="F31" i="75"/>
  <c r="G31" i="75"/>
  <c r="D32" i="75"/>
  <c r="E32" i="75"/>
  <c r="F32" i="75"/>
  <c r="G32" i="75"/>
  <c r="D33" i="75"/>
  <c r="E33" i="75"/>
  <c r="F33" i="75"/>
  <c r="G33" i="75"/>
  <c r="D34" i="75"/>
  <c r="E34" i="75"/>
  <c r="F34" i="75"/>
  <c r="G34" i="75"/>
  <c r="D35" i="75"/>
  <c r="E35" i="75"/>
  <c r="F35" i="75"/>
  <c r="G35" i="75"/>
  <c r="D36" i="75"/>
  <c r="E36" i="75"/>
  <c r="F36" i="75"/>
  <c r="G36" i="75"/>
  <c r="D37" i="75"/>
  <c r="E37" i="75"/>
  <c r="F37" i="75"/>
  <c r="G37" i="75"/>
  <c r="D38" i="75"/>
  <c r="E38" i="75"/>
  <c r="F38" i="75"/>
  <c r="G38" i="75"/>
  <c r="D39" i="75"/>
  <c r="E39" i="75"/>
  <c r="F39" i="75"/>
  <c r="G39" i="75"/>
  <c r="D40" i="75"/>
  <c r="E40" i="75"/>
  <c r="F40" i="75"/>
  <c r="G40" i="75"/>
  <c r="D41" i="75"/>
  <c r="E41" i="75"/>
  <c r="F41" i="75"/>
  <c r="G41" i="75"/>
  <c r="D42" i="75"/>
  <c r="E42" i="75"/>
  <c r="F42" i="75"/>
  <c r="G42" i="75"/>
  <c r="D43" i="75"/>
  <c r="E43" i="75"/>
  <c r="F43" i="75"/>
  <c r="G43" i="75"/>
  <c r="D44" i="75"/>
  <c r="E44" i="75"/>
  <c r="F44" i="75"/>
  <c r="G44" i="75"/>
  <c r="D45" i="75"/>
  <c r="E45" i="75"/>
  <c r="F45" i="75"/>
  <c r="G45" i="75"/>
  <c r="D46" i="75"/>
  <c r="E46" i="75"/>
  <c r="F46" i="75"/>
  <c r="G46" i="75"/>
  <c r="D47" i="75"/>
  <c r="E47" i="75"/>
  <c r="F47" i="75"/>
  <c r="G47" i="75"/>
  <c r="D48" i="75"/>
  <c r="E48" i="75"/>
  <c r="F48" i="75"/>
  <c r="G48" i="75"/>
  <c r="D49" i="75"/>
  <c r="E49" i="75"/>
  <c r="F49" i="75"/>
  <c r="G49" i="75"/>
  <c r="D50" i="75"/>
  <c r="E50" i="75"/>
  <c r="F50" i="75"/>
  <c r="G50" i="75"/>
  <c r="D51" i="75"/>
  <c r="E51" i="75"/>
  <c r="F51" i="75"/>
  <c r="G51" i="75"/>
  <c r="D52" i="75"/>
  <c r="E52" i="75"/>
  <c r="F52" i="75"/>
  <c r="G52" i="75"/>
  <c r="D53" i="75"/>
  <c r="E53" i="75"/>
  <c r="F53" i="75"/>
  <c r="G53" i="75"/>
  <c r="D54" i="75"/>
  <c r="E54" i="75"/>
  <c r="F54" i="75"/>
  <c r="G54" i="75"/>
  <c r="D55" i="75"/>
  <c r="E55" i="75"/>
  <c r="F55" i="75"/>
  <c r="G55" i="75"/>
  <c r="D56" i="75"/>
  <c r="E56" i="75"/>
  <c r="F56" i="75"/>
  <c r="G56" i="75"/>
  <c r="D57" i="75"/>
  <c r="E57" i="75"/>
  <c r="F57" i="75"/>
  <c r="G57" i="75"/>
  <c r="D58" i="75"/>
  <c r="E58" i="75"/>
  <c r="F58" i="75"/>
  <c r="G58" i="75"/>
  <c r="D59" i="75"/>
  <c r="E59" i="75"/>
  <c r="F59" i="75"/>
  <c r="G59" i="75"/>
  <c r="D60" i="75"/>
  <c r="E60" i="75"/>
  <c r="F60" i="75"/>
  <c r="G60" i="75"/>
  <c r="D61" i="75"/>
  <c r="E61" i="75"/>
  <c r="F61" i="75"/>
  <c r="G61" i="75"/>
  <c r="D62" i="75"/>
  <c r="E62" i="75"/>
  <c r="F62" i="75"/>
  <c r="G62" i="75"/>
  <c r="D13" i="44"/>
  <c r="E13" i="44"/>
  <c r="D14" i="44"/>
  <c r="E14" i="44"/>
  <c r="D15" i="44"/>
  <c r="E15" i="44"/>
  <c r="D16" i="44"/>
  <c r="E16" i="44"/>
  <c r="D17" i="44"/>
  <c r="E17" i="44"/>
  <c r="D18" i="44"/>
  <c r="E18" i="44"/>
  <c r="D19" i="44"/>
  <c r="E19" i="44"/>
  <c r="D20" i="44"/>
  <c r="E20" i="44"/>
  <c r="D21" i="44"/>
  <c r="E21" i="44"/>
  <c r="D22" i="44"/>
  <c r="E22" i="44"/>
  <c r="D23" i="44"/>
  <c r="E23" i="44"/>
  <c r="D24" i="44"/>
  <c r="E24" i="44"/>
  <c r="D25" i="44"/>
  <c r="E25" i="44"/>
  <c r="D26" i="44"/>
  <c r="E26" i="44"/>
  <c r="D27" i="44"/>
  <c r="E27" i="44"/>
  <c r="D28" i="44"/>
  <c r="E28" i="44"/>
  <c r="D29" i="44"/>
  <c r="E29" i="44"/>
  <c r="D30" i="44"/>
  <c r="E30" i="44"/>
  <c r="D31" i="44"/>
  <c r="E31" i="44"/>
  <c r="D32" i="44"/>
  <c r="E32" i="44"/>
  <c r="D33" i="44"/>
  <c r="E33" i="44"/>
  <c r="D34" i="44"/>
  <c r="E34" i="44"/>
  <c r="C12" i="73"/>
  <c r="C13" i="73"/>
  <c r="C14" i="73"/>
  <c r="C15" i="73"/>
  <c r="C16" i="73"/>
  <c r="C17" i="73"/>
  <c r="C18" i="73"/>
  <c r="C19" i="73"/>
  <c r="C20" i="73"/>
  <c r="C21" i="73"/>
  <c r="C22" i="73"/>
  <c r="C23" i="73"/>
  <c r="C24" i="73"/>
  <c r="C25" i="73"/>
  <c r="C26" i="73"/>
  <c r="C27" i="73"/>
  <c r="C28" i="73"/>
  <c r="C29" i="73"/>
  <c r="C30" i="73"/>
  <c r="C31" i="73"/>
  <c r="C32" i="73"/>
  <c r="C33" i="73"/>
  <c r="C34" i="73"/>
  <c r="C35" i="73"/>
  <c r="C36" i="73"/>
  <c r="D36" i="73"/>
  <c r="E36" i="73"/>
  <c r="F36" i="73"/>
  <c r="C37" i="73"/>
  <c r="D37" i="73"/>
  <c r="E37" i="73"/>
  <c r="F37" i="73"/>
  <c r="C38" i="73"/>
  <c r="D38" i="73"/>
  <c r="E38" i="73"/>
  <c r="F38" i="73"/>
  <c r="C39" i="73"/>
  <c r="D39" i="73"/>
  <c r="E39" i="73"/>
  <c r="F39" i="73"/>
  <c r="C40" i="73"/>
  <c r="D40" i="73"/>
  <c r="E40" i="73"/>
  <c r="F40" i="73"/>
  <c r="C41" i="73"/>
  <c r="D41" i="73"/>
  <c r="E41" i="73"/>
  <c r="F41" i="73"/>
  <c r="C42" i="73"/>
  <c r="D42" i="73"/>
  <c r="E42" i="73"/>
  <c r="F42" i="73"/>
  <c r="C43" i="73"/>
  <c r="D43" i="73"/>
  <c r="E43" i="73"/>
  <c r="F43" i="73"/>
  <c r="C44" i="73"/>
  <c r="D44" i="73"/>
  <c r="E44" i="73"/>
  <c r="F44" i="73"/>
  <c r="C45" i="73"/>
  <c r="D45" i="73"/>
  <c r="E45" i="73"/>
  <c r="F45" i="73"/>
  <c r="C46" i="73"/>
  <c r="D46" i="73"/>
  <c r="E46" i="73"/>
  <c r="F46" i="73"/>
  <c r="C47" i="73"/>
  <c r="D47" i="73"/>
  <c r="E47" i="73"/>
  <c r="F47" i="73"/>
  <c r="C48" i="73"/>
  <c r="D48" i="73"/>
  <c r="E48" i="73"/>
  <c r="F48" i="73"/>
  <c r="C49" i="73"/>
  <c r="D49" i="73"/>
  <c r="E49" i="73"/>
  <c r="F49" i="73"/>
  <c r="C50" i="73"/>
  <c r="D50" i="73"/>
  <c r="E50" i="73"/>
  <c r="F50" i="73"/>
  <c r="C51" i="73"/>
  <c r="D51" i="73"/>
  <c r="E51" i="73"/>
  <c r="F51" i="73"/>
  <c r="C52" i="73"/>
  <c r="D52" i="73"/>
  <c r="E52" i="73"/>
  <c r="F52" i="73"/>
  <c r="C53" i="73"/>
  <c r="D53" i="73"/>
  <c r="E53" i="73"/>
  <c r="F53" i="73"/>
  <c r="C54" i="73"/>
  <c r="D54" i="73"/>
  <c r="E54" i="73"/>
  <c r="F54" i="73"/>
  <c r="C55" i="73"/>
  <c r="D55" i="73"/>
  <c r="E55" i="73"/>
  <c r="F55" i="73"/>
  <c r="C56" i="73"/>
  <c r="D56" i="73"/>
  <c r="E56" i="73"/>
  <c r="F56" i="73"/>
  <c r="C57" i="73"/>
  <c r="D57" i="73"/>
  <c r="E57" i="73"/>
  <c r="F57" i="73"/>
  <c r="C58" i="73"/>
  <c r="D58" i="73"/>
  <c r="E58" i="73"/>
  <c r="F58" i="73"/>
  <c r="C59" i="73"/>
  <c r="D59" i="73"/>
  <c r="E59" i="73"/>
  <c r="F59" i="73"/>
  <c r="C60" i="73"/>
  <c r="D60" i="73"/>
  <c r="E60" i="73"/>
  <c r="F60" i="73"/>
  <c r="C61" i="73"/>
  <c r="D61" i="73"/>
  <c r="E61" i="73"/>
  <c r="F61" i="73"/>
  <c r="C62" i="73"/>
  <c r="D62" i="73"/>
  <c r="E62" i="73"/>
  <c r="F62" i="73"/>
  <c r="C63" i="73"/>
  <c r="D63" i="73"/>
  <c r="E63" i="73"/>
  <c r="F63" i="73"/>
  <c r="C64" i="73"/>
  <c r="D64" i="73"/>
  <c r="E64" i="73"/>
  <c r="F64" i="73"/>
  <c r="C65" i="73"/>
  <c r="D65" i="73"/>
  <c r="E65" i="73"/>
  <c r="F65" i="73"/>
  <c r="C16" i="74"/>
  <c r="D16" i="74"/>
  <c r="C17" i="74"/>
  <c r="D17" i="74"/>
  <c r="C18" i="74"/>
  <c r="D18" i="74"/>
  <c r="C19" i="74"/>
  <c r="D19" i="74"/>
  <c r="C20" i="74"/>
  <c r="D20" i="74"/>
  <c r="C21" i="74"/>
  <c r="D21" i="74"/>
  <c r="C22" i="74"/>
  <c r="D22" i="74"/>
  <c r="C23" i="74"/>
  <c r="D23" i="74"/>
  <c r="C24" i="74"/>
  <c r="D24" i="74"/>
  <c r="C25" i="74"/>
  <c r="D25" i="74"/>
  <c r="C26" i="74"/>
  <c r="D26" i="74"/>
  <c r="C27" i="74"/>
  <c r="D27" i="74"/>
  <c r="C28" i="74"/>
  <c r="D28" i="74"/>
  <c r="C29" i="74"/>
  <c r="D29" i="74"/>
  <c r="C30" i="74"/>
  <c r="D30" i="74"/>
  <c r="C31" i="74"/>
  <c r="D31" i="74"/>
  <c r="C32" i="74"/>
  <c r="D32" i="74"/>
  <c r="C33" i="74"/>
  <c r="D33" i="74"/>
  <c r="C34" i="74"/>
  <c r="D34" i="74"/>
  <c r="C35" i="74"/>
  <c r="D35" i="74"/>
  <c r="C36" i="74"/>
  <c r="D36" i="74"/>
  <c r="C37" i="74"/>
  <c r="D37" i="74"/>
  <c r="C38" i="74"/>
  <c r="D38" i="74"/>
  <c r="C39" i="74"/>
  <c r="D39" i="74"/>
  <c r="C40" i="74"/>
  <c r="D40" i="74"/>
  <c r="C41" i="74"/>
  <c r="D41" i="74"/>
  <c r="C42" i="74"/>
  <c r="D42" i="74"/>
  <c r="C43" i="74"/>
  <c r="D43" i="74"/>
  <c r="C44" i="74"/>
  <c r="D44" i="74"/>
  <c r="C45" i="74"/>
  <c r="D45" i="74"/>
  <c r="C46" i="74"/>
  <c r="D46" i="74"/>
  <c r="C47" i="74"/>
  <c r="D47" i="74"/>
  <c r="C48" i="74"/>
  <c r="D48" i="74"/>
  <c r="C49" i="74"/>
  <c r="D49" i="74"/>
  <c r="C50" i="74"/>
  <c r="D50" i="74"/>
  <c r="C51" i="74"/>
  <c r="D51" i="74"/>
  <c r="C52" i="74"/>
  <c r="D52" i="74"/>
  <c r="C53" i="74"/>
  <c r="D53" i="74"/>
  <c r="C54" i="74"/>
  <c r="D54" i="74"/>
  <c r="C55" i="74"/>
  <c r="D55" i="74"/>
  <c r="C56" i="74"/>
  <c r="D56" i="74"/>
  <c r="C57" i="74"/>
  <c r="D57" i="74"/>
  <c r="C58" i="74"/>
  <c r="D58" i="74"/>
  <c r="C59" i="74"/>
  <c r="D59" i="74"/>
  <c r="C60" i="74"/>
  <c r="D60" i="74"/>
  <c r="C61" i="74"/>
  <c r="D61" i="74"/>
  <c r="C62" i="74"/>
  <c r="D62" i="74"/>
  <c r="C63" i="74"/>
  <c r="D63" i="74"/>
  <c r="C64" i="74"/>
  <c r="D64" i="74"/>
  <c r="C65" i="74"/>
  <c r="D65" i="74"/>
  <c r="C66" i="74"/>
  <c r="D66" i="74"/>
  <c r="F17" i="46"/>
  <c r="G17" i="46"/>
  <c r="H17" i="46"/>
  <c r="I17" i="46"/>
  <c r="J17" i="46"/>
  <c r="K17" i="46"/>
  <c r="L17" i="46"/>
  <c r="M17" i="46"/>
  <c r="F18" i="46"/>
  <c r="G18" i="46"/>
  <c r="H18" i="46"/>
  <c r="I18" i="46"/>
  <c r="J18" i="46"/>
  <c r="K18" i="46"/>
  <c r="L18" i="46"/>
  <c r="M18" i="46"/>
  <c r="F19" i="46"/>
  <c r="G19" i="46"/>
  <c r="H19" i="46"/>
  <c r="I19" i="46"/>
  <c r="J19" i="46"/>
  <c r="K19" i="46"/>
  <c r="L19" i="46"/>
  <c r="M19" i="46"/>
  <c r="F20" i="46"/>
  <c r="G20" i="46"/>
  <c r="H20" i="46"/>
  <c r="I20" i="46"/>
  <c r="J20" i="46"/>
  <c r="K20" i="46"/>
  <c r="L20" i="46"/>
  <c r="M20" i="46"/>
  <c r="F21" i="46"/>
  <c r="G21" i="46"/>
  <c r="H21" i="46"/>
  <c r="I21" i="46"/>
  <c r="J21" i="46"/>
  <c r="K21" i="46"/>
  <c r="L21" i="46"/>
  <c r="M21" i="46"/>
  <c r="N21" i="46"/>
  <c r="F22" i="46"/>
  <c r="G22" i="46"/>
  <c r="H22" i="46"/>
  <c r="I22" i="46"/>
  <c r="J22" i="46"/>
  <c r="K22" i="46"/>
  <c r="L22" i="46"/>
  <c r="M22" i="46"/>
  <c r="N22" i="46"/>
  <c r="F23" i="46"/>
  <c r="G23" i="46"/>
  <c r="H23" i="46"/>
  <c r="I23" i="46"/>
  <c r="J23" i="46"/>
  <c r="K23" i="46"/>
  <c r="L23" i="46"/>
  <c r="M23" i="46"/>
  <c r="N23" i="46"/>
  <c r="F24" i="46"/>
  <c r="G24" i="46"/>
  <c r="H24" i="46"/>
  <c r="I24" i="46"/>
  <c r="J24" i="46"/>
  <c r="K24" i="46"/>
  <c r="L24" i="46"/>
  <c r="M24" i="46"/>
  <c r="N24" i="46"/>
  <c r="F25" i="46"/>
  <c r="G25" i="46"/>
  <c r="H25" i="46"/>
  <c r="I25" i="46"/>
  <c r="J25" i="46"/>
  <c r="K25" i="46"/>
  <c r="L25" i="46"/>
  <c r="M25" i="46"/>
  <c r="N25" i="46"/>
  <c r="F26" i="46"/>
  <c r="G26" i="46"/>
  <c r="H26" i="46"/>
  <c r="I26" i="46"/>
  <c r="J26" i="46"/>
  <c r="K26" i="46"/>
  <c r="L26" i="46"/>
  <c r="M26" i="46"/>
  <c r="N26" i="46"/>
  <c r="F27" i="46"/>
  <c r="G27" i="46"/>
  <c r="H27" i="46"/>
  <c r="I27" i="46"/>
  <c r="J27" i="46"/>
  <c r="K27" i="46"/>
  <c r="L27" i="46"/>
  <c r="M27" i="46"/>
  <c r="N27" i="46"/>
  <c r="F28" i="46"/>
  <c r="G28" i="46"/>
  <c r="H28" i="46"/>
  <c r="I28" i="46"/>
  <c r="J28" i="46"/>
  <c r="K28" i="46"/>
  <c r="L28" i="46"/>
  <c r="M28" i="46"/>
  <c r="N28" i="46"/>
  <c r="F29" i="46"/>
  <c r="G29" i="46"/>
  <c r="H29" i="46"/>
  <c r="I29" i="46"/>
  <c r="J29" i="46"/>
  <c r="K29" i="46"/>
  <c r="L29" i="46"/>
  <c r="M29" i="46"/>
  <c r="N29" i="46"/>
  <c r="F30" i="46"/>
  <c r="G30" i="46"/>
  <c r="H30" i="46"/>
  <c r="I30" i="46"/>
  <c r="J30" i="46"/>
  <c r="K30" i="46"/>
  <c r="L30" i="46"/>
  <c r="M30" i="46"/>
  <c r="N30" i="46"/>
  <c r="F31" i="46"/>
  <c r="G31" i="46"/>
  <c r="H31" i="46"/>
  <c r="I31" i="46"/>
  <c r="J31" i="46"/>
  <c r="K31" i="46"/>
  <c r="L31" i="46"/>
  <c r="M31" i="46"/>
  <c r="N31" i="46"/>
  <c r="F32" i="46"/>
  <c r="G32" i="46"/>
  <c r="H32" i="46"/>
  <c r="I32" i="46"/>
  <c r="J32" i="46"/>
  <c r="K32" i="46"/>
  <c r="L32" i="46"/>
  <c r="M32" i="46"/>
  <c r="N32" i="46"/>
  <c r="F33" i="46"/>
  <c r="G33" i="46"/>
  <c r="H33" i="46"/>
  <c r="I33" i="46"/>
  <c r="J33" i="46"/>
  <c r="K33" i="46"/>
  <c r="L33" i="46"/>
  <c r="M33" i="46"/>
  <c r="N33" i="46"/>
  <c r="F34" i="46"/>
  <c r="G34" i="46"/>
  <c r="H34" i="46"/>
  <c r="I34" i="46"/>
  <c r="J34" i="46"/>
  <c r="K34" i="46"/>
  <c r="L34" i="46"/>
  <c r="M34" i="46"/>
  <c r="N34" i="46"/>
  <c r="F35" i="46"/>
  <c r="G35" i="46"/>
  <c r="H35" i="46"/>
  <c r="I35" i="46"/>
  <c r="J35" i="46"/>
  <c r="K35" i="46"/>
  <c r="L35" i="46"/>
  <c r="M35" i="46"/>
  <c r="N35" i="46"/>
  <c r="F36" i="46"/>
  <c r="G36" i="46"/>
  <c r="H36" i="46"/>
  <c r="I36" i="46"/>
  <c r="J36" i="46"/>
  <c r="K36" i="46"/>
  <c r="L36" i="46"/>
  <c r="M36" i="46"/>
  <c r="N36" i="46"/>
  <c r="F37" i="46"/>
  <c r="G37" i="46"/>
  <c r="H37" i="46"/>
  <c r="I37" i="46"/>
  <c r="J37" i="46"/>
  <c r="K37" i="46"/>
  <c r="L37" i="46"/>
  <c r="M37" i="46"/>
  <c r="N37" i="46"/>
  <c r="F38" i="46"/>
  <c r="G38" i="46"/>
  <c r="H38" i="46"/>
  <c r="I38" i="46"/>
  <c r="J38" i="46"/>
  <c r="K38" i="46"/>
  <c r="L38" i="46"/>
  <c r="M38" i="46"/>
  <c r="N38" i="46"/>
  <c r="F39" i="46"/>
  <c r="G39" i="46"/>
  <c r="H39" i="46"/>
  <c r="I39" i="46"/>
  <c r="J39" i="46"/>
  <c r="K39" i="46"/>
  <c r="L39" i="46"/>
  <c r="M39" i="46"/>
  <c r="N39" i="46"/>
  <c r="F40" i="46"/>
  <c r="G40" i="46"/>
  <c r="H40" i="46"/>
  <c r="I40" i="46"/>
  <c r="J40" i="46"/>
  <c r="K40" i="46"/>
  <c r="L40" i="46"/>
  <c r="M40" i="46"/>
  <c r="N40" i="46"/>
  <c r="F41" i="46"/>
  <c r="G41" i="46"/>
  <c r="H41" i="46"/>
  <c r="I41" i="46"/>
  <c r="J41" i="46"/>
  <c r="K41" i="46"/>
  <c r="L41" i="46"/>
  <c r="M41" i="46"/>
  <c r="N41" i="46"/>
  <c r="F42" i="46"/>
  <c r="G42" i="46"/>
  <c r="H42" i="46"/>
  <c r="I42" i="46"/>
  <c r="J42" i="46"/>
  <c r="K42" i="46"/>
  <c r="L42" i="46"/>
  <c r="M42" i="46"/>
  <c r="N42" i="46"/>
  <c r="F43" i="46"/>
  <c r="G43" i="46"/>
  <c r="H43" i="46"/>
  <c r="I43" i="46"/>
  <c r="J43" i="46"/>
  <c r="K43" i="46"/>
  <c r="L43" i="46"/>
  <c r="M43" i="46"/>
  <c r="N43" i="46"/>
  <c r="F44" i="46"/>
  <c r="G44" i="46"/>
  <c r="H44" i="46"/>
  <c r="I44" i="46"/>
  <c r="J44" i="46"/>
  <c r="K44" i="46"/>
  <c r="L44" i="46"/>
  <c r="M44" i="46"/>
  <c r="N44" i="46"/>
  <c r="F45" i="46"/>
  <c r="G45" i="46"/>
  <c r="H45" i="46"/>
  <c r="I45" i="46"/>
  <c r="J45" i="46"/>
  <c r="K45" i="46"/>
  <c r="L45" i="46"/>
  <c r="M45" i="46"/>
  <c r="N45" i="46"/>
  <c r="F46" i="46"/>
  <c r="G46" i="46"/>
  <c r="H46" i="46"/>
  <c r="I46" i="46"/>
  <c r="J46" i="46"/>
  <c r="K46" i="46"/>
  <c r="L46" i="46"/>
  <c r="M46" i="46"/>
  <c r="N46" i="46"/>
  <c r="F47" i="46"/>
  <c r="G47" i="46"/>
  <c r="H47" i="46"/>
  <c r="I47" i="46"/>
  <c r="J47" i="46"/>
  <c r="K47" i="46"/>
  <c r="L47" i="46"/>
  <c r="M47" i="46"/>
  <c r="N47" i="46"/>
  <c r="F48" i="46"/>
  <c r="G48" i="46"/>
  <c r="H48" i="46"/>
  <c r="I48" i="46"/>
  <c r="J48" i="46"/>
  <c r="K48" i="46"/>
  <c r="L48" i="46"/>
  <c r="M48" i="46"/>
  <c r="N48" i="46"/>
  <c r="F49" i="46"/>
  <c r="G49" i="46"/>
  <c r="H49" i="46"/>
  <c r="I49" i="46"/>
  <c r="J49" i="46"/>
  <c r="K49" i="46"/>
  <c r="L49" i="46"/>
  <c r="M49" i="46"/>
  <c r="N49" i="46"/>
  <c r="F50" i="46"/>
  <c r="G50" i="46"/>
  <c r="H50" i="46"/>
  <c r="I50" i="46"/>
  <c r="J50" i="46"/>
  <c r="K50" i="46"/>
  <c r="L50" i="46"/>
  <c r="M50" i="46"/>
  <c r="N50" i="46"/>
  <c r="D7" i="47"/>
  <c r="D8" i="47"/>
  <c r="D9" i="47"/>
  <c r="D10" i="47"/>
  <c r="D11" i="47"/>
  <c r="D12" i="47"/>
  <c r="D13" i="47"/>
  <c r="D14" i="47"/>
  <c r="D15" i="47"/>
  <c r="D16" i="47"/>
  <c r="D17" i="47"/>
  <c r="D18" i="47"/>
  <c r="D19" i="47"/>
  <c r="D20" i="47"/>
  <c r="D21" i="47"/>
  <c r="D22" i="47"/>
  <c r="D23" i="47"/>
  <c r="D24" i="47"/>
  <c r="D25" i="47"/>
  <c r="D26" i="47"/>
  <c r="D27" i="47"/>
  <c r="D28" i="47"/>
  <c r="D29" i="47"/>
  <c r="D30" i="47"/>
  <c r="D31" i="47"/>
  <c r="D32" i="47"/>
  <c r="D33" i="47"/>
  <c r="D34" i="47"/>
  <c r="D35" i="47"/>
  <c r="D36" i="47"/>
  <c r="D37" i="47"/>
  <c r="D38" i="47"/>
  <c r="D39" i="47"/>
  <c r="D40" i="47"/>
  <c r="D41" i="47"/>
  <c r="D42" i="47"/>
  <c r="D43" i="47"/>
  <c r="D44" i="47"/>
  <c r="D45" i="47"/>
  <c r="D46" i="47"/>
  <c r="D47" i="47"/>
  <c r="D48" i="47"/>
  <c r="D49" i="47"/>
  <c r="D50" i="47"/>
  <c r="D51" i="47"/>
  <c r="D52" i="47"/>
  <c r="D53" i="47"/>
  <c r="D54" i="47"/>
  <c r="D55" i="47"/>
  <c r="D56" i="47"/>
  <c r="D57" i="47"/>
  <c r="D58" i="47"/>
  <c r="D59" i="47"/>
  <c r="D7" i="48"/>
  <c r="D8" i="48"/>
  <c r="D9" i="48"/>
  <c r="D10" i="48"/>
  <c r="D11" i="48"/>
  <c r="D12" i="48"/>
  <c r="D13" i="48"/>
  <c r="D14" i="48"/>
  <c r="D15" i="48"/>
  <c r="D16" i="48"/>
  <c r="D17" i="48"/>
  <c r="D18" i="48"/>
  <c r="D19" i="48"/>
  <c r="D20" i="48"/>
  <c r="D21" i="48"/>
  <c r="D22" i="48"/>
  <c r="D23" i="48"/>
  <c r="D24" i="48"/>
  <c r="D25" i="48"/>
  <c r="D26" i="48"/>
  <c r="D27" i="48"/>
  <c r="D28" i="48"/>
  <c r="D29" i="48"/>
  <c r="D30" i="48"/>
  <c r="D31" i="48"/>
  <c r="D32" i="48"/>
  <c r="D33" i="48"/>
  <c r="D34" i="48"/>
  <c r="D35" i="48"/>
  <c r="D36" i="48"/>
  <c r="D37" i="48"/>
  <c r="D38" i="48"/>
  <c r="D39" i="48"/>
  <c r="D40" i="48"/>
  <c r="D41" i="48"/>
  <c r="D42" i="48"/>
  <c r="D9" i="49"/>
  <c r="D10" i="49"/>
  <c r="D11" i="49"/>
  <c r="D12" i="49"/>
  <c r="D13" i="49"/>
  <c r="D14" i="49"/>
  <c r="D15" i="49"/>
  <c r="D16" i="49"/>
  <c r="E16" i="49"/>
  <c r="F16" i="49"/>
  <c r="D17" i="49"/>
  <c r="E17" i="49"/>
  <c r="F17" i="49"/>
  <c r="D18" i="49"/>
  <c r="E18" i="49"/>
  <c r="F18" i="49"/>
  <c r="D19" i="49"/>
  <c r="E19" i="49"/>
  <c r="F19" i="49"/>
  <c r="D20" i="49"/>
  <c r="E20" i="49"/>
  <c r="F20" i="49"/>
  <c r="D21" i="49"/>
  <c r="E21" i="49"/>
  <c r="F21" i="49"/>
  <c r="D22" i="49"/>
  <c r="E22" i="49"/>
  <c r="F22" i="49"/>
  <c r="D23" i="49"/>
  <c r="E23" i="49"/>
  <c r="F23" i="49"/>
  <c r="D24" i="49"/>
  <c r="E24" i="49"/>
  <c r="F24" i="49"/>
  <c r="D25" i="49"/>
  <c r="E25" i="49"/>
  <c r="F25" i="49"/>
  <c r="D26" i="49"/>
  <c r="E26" i="49"/>
  <c r="F26" i="49"/>
  <c r="D27" i="49"/>
  <c r="E27" i="49"/>
  <c r="F27" i="49"/>
  <c r="D28" i="49"/>
  <c r="E28" i="49"/>
  <c r="F28" i="49"/>
  <c r="D29" i="49"/>
  <c r="E29" i="49"/>
  <c r="F29" i="49"/>
  <c r="D30" i="49"/>
  <c r="E30" i="49"/>
  <c r="F30" i="49"/>
  <c r="D31" i="49"/>
  <c r="E31" i="49"/>
  <c r="F31" i="49"/>
  <c r="D32" i="49"/>
  <c r="E32" i="49"/>
  <c r="F32" i="49"/>
  <c r="D33" i="49"/>
  <c r="E33" i="49"/>
  <c r="F33" i="49"/>
  <c r="D34" i="49"/>
  <c r="E34" i="49"/>
  <c r="F34" i="49"/>
  <c r="D35" i="49"/>
  <c r="E35" i="49"/>
  <c r="F35" i="49"/>
  <c r="D36" i="49"/>
  <c r="E36" i="49"/>
  <c r="F36" i="49"/>
  <c r="D37" i="49"/>
  <c r="E37" i="49"/>
  <c r="F37" i="49"/>
  <c r="D38" i="49"/>
  <c r="E38" i="49"/>
  <c r="F38" i="49"/>
  <c r="D39" i="49"/>
  <c r="E39" i="49"/>
  <c r="F39" i="49"/>
  <c r="D40" i="49"/>
  <c r="E40" i="49"/>
  <c r="F40" i="49"/>
  <c r="D41" i="49"/>
  <c r="E41" i="49"/>
  <c r="F41" i="49"/>
  <c r="D42" i="49"/>
  <c r="E42" i="49"/>
  <c r="F42" i="49"/>
  <c r="D43" i="49"/>
  <c r="E43" i="49"/>
  <c r="F43" i="49"/>
  <c r="D44" i="49"/>
  <c r="E44" i="49"/>
  <c r="F44" i="49"/>
  <c r="D45" i="49"/>
  <c r="E45" i="49"/>
  <c r="F45" i="49"/>
  <c r="D46" i="49"/>
  <c r="E46" i="49"/>
  <c r="F46" i="49"/>
  <c r="D47" i="49"/>
  <c r="E47" i="49"/>
  <c r="F47" i="49"/>
  <c r="D48" i="49"/>
  <c r="E48" i="49"/>
  <c r="F48" i="49"/>
  <c r="D49" i="49"/>
  <c r="E49" i="49"/>
  <c r="F49" i="49"/>
  <c r="D50" i="49"/>
  <c r="E50" i="49"/>
  <c r="F50" i="49"/>
  <c r="D51" i="49"/>
  <c r="E51" i="49"/>
  <c r="F51" i="49"/>
  <c r="D52" i="49"/>
  <c r="E52" i="49"/>
  <c r="F52" i="49"/>
  <c r="D53" i="49"/>
  <c r="E53" i="49"/>
  <c r="F53" i="49"/>
  <c r="D54" i="49"/>
  <c r="E54" i="49"/>
  <c r="F54" i="49"/>
  <c r="D55" i="49"/>
  <c r="E55" i="49"/>
  <c r="F55" i="49"/>
  <c r="D56" i="49"/>
  <c r="E56" i="49"/>
  <c r="F56" i="49"/>
  <c r="D57" i="49"/>
  <c r="E57" i="49"/>
  <c r="F57" i="49"/>
  <c r="D58" i="49"/>
  <c r="E58" i="49"/>
  <c r="F58" i="49"/>
  <c r="D59" i="49"/>
  <c r="E59" i="49"/>
  <c r="F59" i="49"/>
  <c r="D60" i="49"/>
  <c r="E60" i="49"/>
  <c r="F60" i="49"/>
  <c r="D61" i="49"/>
  <c r="E61" i="49"/>
  <c r="F61" i="49"/>
  <c r="D62" i="49"/>
  <c r="E62" i="49"/>
  <c r="F62" i="49"/>
  <c r="D24" i="50"/>
  <c r="D25" i="50"/>
  <c r="D26" i="50"/>
  <c r="D27" i="50"/>
  <c r="D28" i="50"/>
  <c r="D29" i="50"/>
  <c r="D30" i="50"/>
  <c r="D31" i="50"/>
  <c r="D32" i="50"/>
  <c r="D33" i="50"/>
  <c r="D34" i="50"/>
  <c r="D35" i="50"/>
  <c r="D36" i="50"/>
  <c r="D37" i="50"/>
  <c r="D38" i="50"/>
  <c r="D39" i="50"/>
  <c r="D40" i="50"/>
  <c r="D41" i="50"/>
  <c r="D42" i="50"/>
  <c r="F9" i="51"/>
  <c r="G9" i="51"/>
  <c r="H9" i="51"/>
  <c r="F10" i="51"/>
  <c r="G10" i="51"/>
  <c r="H10" i="51"/>
  <c r="F11" i="51"/>
  <c r="G11" i="51"/>
  <c r="H11" i="51"/>
  <c r="F12" i="51"/>
  <c r="G12" i="51"/>
  <c r="H12" i="51"/>
  <c r="F13" i="51"/>
  <c r="G13" i="51"/>
  <c r="H13" i="51"/>
  <c r="F14" i="51"/>
  <c r="G14" i="51"/>
  <c r="H14" i="51"/>
  <c r="F15" i="51"/>
  <c r="G15" i="51"/>
  <c r="H15" i="51"/>
  <c r="F16" i="51"/>
  <c r="G16" i="51"/>
  <c r="H16" i="51"/>
  <c r="F17" i="51"/>
  <c r="G17" i="51"/>
  <c r="H17" i="51"/>
  <c r="F18" i="51"/>
  <c r="G18" i="51"/>
  <c r="H18" i="51"/>
  <c r="F19" i="51"/>
  <c r="G19" i="51"/>
  <c r="H19" i="51"/>
  <c r="F20" i="51"/>
  <c r="G20" i="51"/>
  <c r="H20" i="51"/>
  <c r="F21" i="51"/>
  <c r="G21" i="51"/>
  <c r="H21" i="51"/>
  <c r="F22" i="51"/>
  <c r="G22" i="51"/>
  <c r="H22" i="51"/>
  <c r="F23" i="51"/>
  <c r="G23" i="51"/>
  <c r="H23" i="51"/>
  <c r="F24" i="51"/>
  <c r="G24" i="51"/>
  <c r="H24" i="51"/>
  <c r="F25" i="51"/>
  <c r="G25" i="51"/>
  <c r="H25" i="51"/>
  <c r="F26" i="51"/>
  <c r="G26" i="51"/>
  <c r="H26" i="51"/>
  <c r="F27" i="51"/>
  <c r="G27" i="51"/>
  <c r="H27" i="51"/>
  <c r="F28" i="51"/>
  <c r="G28" i="51"/>
  <c r="H28" i="51"/>
  <c r="F29" i="51"/>
  <c r="G29" i="51"/>
  <c r="H29" i="51"/>
  <c r="F30" i="51"/>
  <c r="G30" i="51"/>
  <c r="H30" i="51"/>
  <c r="F31" i="51"/>
  <c r="G31" i="51"/>
  <c r="H31" i="51"/>
  <c r="F32" i="51"/>
  <c r="G32" i="51"/>
  <c r="H32" i="51"/>
  <c r="F33" i="51"/>
  <c r="G33" i="51"/>
  <c r="H33" i="51"/>
  <c r="F34" i="51"/>
  <c r="G34" i="51"/>
  <c r="H34" i="51"/>
  <c r="F35" i="51"/>
  <c r="G35" i="51"/>
  <c r="H35" i="51"/>
  <c r="F36" i="51"/>
  <c r="G36" i="51"/>
  <c r="H36" i="51"/>
  <c r="F37" i="51"/>
  <c r="G37" i="51"/>
  <c r="H37" i="51"/>
  <c r="F38" i="51"/>
  <c r="G38" i="51"/>
  <c r="H38" i="51"/>
  <c r="F39" i="51"/>
  <c r="G39" i="51"/>
  <c r="H39" i="51"/>
  <c r="F40" i="51"/>
  <c r="G40" i="51"/>
  <c r="H40" i="51"/>
  <c r="F41" i="51"/>
  <c r="G41" i="51"/>
  <c r="H41" i="51"/>
  <c r="F42" i="51"/>
  <c r="G42" i="51"/>
  <c r="H42" i="51"/>
  <c r="F43" i="51"/>
  <c r="G43" i="51"/>
  <c r="H43" i="51"/>
  <c r="F44" i="51"/>
  <c r="G44" i="51"/>
  <c r="H44" i="51"/>
  <c r="F45" i="51"/>
  <c r="G45" i="51"/>
  <c r="H45" i="51"/>
  <c r="F46" i="51"/>
  <c r="G46" i="51"/>
  <c r="H46" i="51"/>
  <c r="F47" i="51"/>
  <c r="G47" i="51"/>
  <c r="H47" i="51"/>
  <c r="F48" i="51"/>
  <c r="G48" i="51"/>
  <c r="H48" i="51"/>
  <c r="F49" i="51"/>
  <c r="G49" i="51"/>
  <c r="H49" i="51"/>
  <c r="F50" i="51"/>
  <c r="G50" i="51"/>
  <c r="H50" i="51"/>
  <c r="F51" i="51"/>
  <c r="G51" i="51"/>
  <c r="H51" i="51"/>
  <c r="F52" i="51"/>
  <c r="G52" i="51"/>
  <c r="H52" i="51"/>
  <c r="F53" i="51"/>
  <c r="G53" i="51"/>
  <c r="H53" i="51"/>
  <c r="F54" i="51"/>
  <c r="G54" i="51"/>
  <c r="H54" i="51"/>
  <c r="F55" i="51"/>
  <c r="G55" i="51"/>
  <c r="H55" i="51"/>
  <c r="F56" i="51"/>
  <c r="G56" i="51"/>
  <c r="H56" i="51"/>
  <c r="F57" i="51"/>
  <c r="G57" i="51"/>
  <c r="H57" i="51"/>
  <c r="F58" i="51"/>
  <c r="G58" i="51"/>
  <c r="H58" i="51"/>
  <c r="F59" i="51"/>
  <c r="G59" i="51"/>
  <c r="H59" i="51"/>
  <c r="F60" i="51"/>
  <c r="G60" i="51"/>
  <c r="H60" i="51"/>
  <c r="F61" i="51"/>
  <c r="G61" i="51"/>
  <c r="H61" i="51"/>
  <c r="F62" i="51"/>
  <c r="G62" i="51"/>
  <c r="H62" i="51"/>
  <c r="F63" i="51"/>
  <c r="G63" i="51"/>
  <c r="H63" i="51"/>
  <c r="F64" i="51"/>
  <c r="G64" i="51"/>
  <c r="H64" i="51"/>
  <c r="F65" i="51"/>
  <c r="G65" i="51"/>
  <c r="H65" i="51"/>
  <c r="F66" i="51"/>
  <c r="G66" i="51"/>
  <c r="H66" i="51"/>
  <c r="F67" i="51"/>
  <c r="G67" i="51"/>
  <c r="H67" i="51"/>
  <c r="F68" i="51"/>
  <c r="G68" i="51"/>
  <c r="H68" i="51"/>
  <c r="F69" i="51"/>
  <c r="G69" i="51"/>
  <c r="H69" i="51"/>
  <c r="F70" i="51"/>
  <c r="G70" i="51"/>
  <c r="H70" i="51"/>
  <c r="F71" i="51"/>
  <c r="G71" i="51"/>
  <c r="H71" i="51"/>
  <c r="F72" i="51"/>
  <c r="G72" i="51"/>
  <c r="H72" i="51"/>
  <c r="F73" i="51"/>
  <c r="G73" i="51"/>
  <c r="H73" i="51"/>
  <c r="F74" i="51"/>
  <c r="G74" i="51"/>
  <c r="H74" i="51"/>
  <c r="F75" i="51"/>
  <c r="G75" i="51"/>
  <c r="H75" i="51"/>
  <c r="F76" i="51"/>
  <c r="G76" i="51"/>
  <c r="H76" i="51"/>
  <c r="F77" i="51"/>
  <c r="G77" i="51"/>
  <c r="H77" i="51"/>
  <c r="F78" i="51"/>
  <c r="G78" i="51"/>
  <c r="H78" i="51"/>
  <c r="F79" i="51"/>
  <c r="G79" i="51"/>
  <c r="H79" i="51"/>
  <c r="F80" i="51"/>
  <c r="G80" i="51"/>
  <c r="H80" i="51"/>
  <c r="F81" i="51"/>
  <c r="G81" i="51"/>
  <c r="H81" i="51"/>
  <c r="F82" i="51"/>
  <c r="G82" i="51"/>
  <c r="H82" i="51"/>
  <c r="F83" i="51"/>
  <c r="G83" i="51"/>
  <c r="H83" i="51"/>
  <c r="F84" i="51"/>
  <c r="G84" i="51"/>
  <c r="H84" i="51"/>
  <c r="F85" i="51"/>
  <c r="G85" i="51"/>
  <c r="H85" i="51"/>
  <c r="F86" i="51"/>
  <c r="G86" i="51"/>
  <c r="H86" i="51"/>
  <c r="F87" i="51"/>
  <c r="G87" i="51"/>
  <c r="H87" i="51"/>
  <c r="F88" i="51"/>
  <c r="G88" i="51"/>
  <c r="H88" i="51"/>
  <c r="F89" i="51"/>
  <c r="G89" i="51"/>
  <c r="H89" i="51"/>
  <c r="F90" i="51"/>
  <c r="G90" i="51"/>
  <c r="H90" i="51"/>
  <c r="F91" i="51"/>
  <c r="G91" i="51"/>
  <c r="H91" i="51"/>
  <c r="F92" i="51"/>
  <c r="G92" i="51"/>
  <c r="H92" i="51"/>
  <c r="F93" i="51"/>
  <c r="G93" i="51"/>
  <c r="H93" i="51"/>
  <c r="F94" i="51"/>
  <c r="G94" i="51"/>
  <c r="H94" i="51"/>
  <c r="F95" i="51"/>
  <c r="G95" i="51"/>
  <c r="H95" i="51"/>
  <c r="F96" i="51"/>
  <c r="G96" i="51"/>
  <c r="H96" i="51"/>
  <c r="F97" i="51"/>
  <c r="G97" i="51"/>
  <c r="H97" i="51"/>
  <c r="F98" i="51"/>
  <c r="G98" i="51"/>
  <c r="H98" i="51"/>
  <c r="F99" i="51"/>
  <c r="G99" i="51"/>
  <c r="H99" i="51"/>
  <c r="F100" i="51"/>
  <c r="G100" i="51"/>
  <c r="H100" i="51"/>
  <c r="F101" i="51"/>
  <c r="G101" i="51"/>
  <c r="H101" i="51"/>
  <c r="F102" i="51"/>
  <c r="G102" i="51"/>
  <c r="H102" i="51"/>
  <c r="F103" i="51"/>
  <c r="G103" i="51"/>
  <c r="H103" i="51"/>
  <c r="F104" i="51"/>
  <c r="G104" i="51"/>
  <c r="H104" i="51"/>
  <c r="F105" i="51"/>
  <c r="G105" i="51"/>
  <c r="H105" i="51"/>
  <c r="F106" i="51"/>
  <c r="G106" i="51"/>
  <c r="H106" i="51"/>
  <c r="F107" i="51"/>
  <c r="G107" i="51"/>
  <c r="H107" i="51"/>
  <c r="F108" i="51"/>
  <c r="G108" i="51"/>
  <c r="H108" i="51"/>
  <c r="F109" i="51"/>
  <c r="G109" i="51"/>
  <c r="H109" i="51"/>
  <c r="F110" i="51"/>
  <c r="G110" i="51"/>
  <c r="H110" i="51"/>
  <c r="F111" i="51"/>
  <c r="G111" i="51"/>
  <c r="H111" i="51"/>
  <c r="F112" i="51"/>
  <c r="G112" i="51"/>
  <c r="H112" i="51"/>
  <c r="F113" i="51"/>
  <c r="G113" i="51"/>
  <c r="H113" i="51"/>
  <c r="F114" i="51"/>
  <c r="G114" i="51"/>
  <c r="H114" i="51"/>
  <c r="F115" i="51"/>
  <c r="G115" i="51"/>
  <c r="H115" i="51"/>
  <c r="F116" i="51"/>
  <c r="G116" i="51"/>
  <c r="H116" i="51"/>
  <c r="F117" i="51"/>
  <c r="G117" i="51"/>
  <c r="H117" i="51"/>
  <c r="F118" i="51"/>
  <c r="G118" i="51"/>
  <c r="H118" i="51"/>
  <c r="F119" i="51"/>
  <c r="G119" i="51"/>
  <c r="H119" i="51"/>
  <c r="F120" i="51"/>
  <c r="G120" i="51"/>
  <c r="H120" i="51"/>
  <c r="F121" i="51"/>
  <c r="G121" i="51"/>
  <c r="H121" i="51"/>
  <c r="F122" i="51"/>
  <c r="G122" i="51"/>
  <c r="H122" i="51"/>
  <c r="F123" i="51"/>
  <c r="G123" i="51"/>
  <c r="H123" i="51"/>
  <c r="F124" i="51"/>
  <c r="G124" i="51"/>
  <c r="H124" i="51"/>
  <c r="F125" i="51"/>
  <c r="G125" i="51"/>
  <c r="H125" i="51"/>
  <c r="F126" i="51"/>
  <c r="G126" i="51"/>
  <c r="H126" i="51"/>
  <c r="F127" i="51"/>
  <c r="G127" i="51"/>
  <c r="H127" i="51"/>
  <c r="F128" i="51"/>
  <c r="G128" i="51"/>
  <c r="H128" i="51"/>
  <c r="F129" i="51"/>
  <c r="G129" i="51"/>
  <c r="H129" i="51"/>
  <c r="F130" i="51"/>
  <c r="G130" i="51"/>
  <c r="H130" i="51"/>
  <c r="F131" i="51"/>
  <c r="G131" i="51"/>
  <c r="H131" i="51"/>
  <c r="F132" i="51"/>
  <c r="G132" i="51"/>
  <c r="H132" i="51"/>
  <c r="F133" i="51"/>
  <c r="G133" i="51"/>
  <c r="H133" i="51"/>
  <c r="F134" i="51"/>
  <c r="G134" i="51"/>
  <c r="H134" i="51"/>
  <c r="F135" i="51"/>
  <c r="G135" i="51"/>
  <c r="H135" i="51"/>
  <c r="F136" i="51"/>
  <c r="G136" i="51"/>
  <c r="H136" i="51"/>
  <c r="F137" i="51"/>
  <c r="G137" i="51"/>
  <c r="H137" i="51"/>
  <c r="F138" i="51"/>
  <c r="G138" i="51"/>
  <c r="H138" i="51"/>
  <c r="F139" i="51"/>
  <c r="G139" i="51"/>
  <c r="H139" i="51"/>
  <c r="F140" i="51"/>
  <c r="G140" i="51"/>
  <c r="H140" i="51"/>
  <c r="F141" i="51"/>
  <c r="G141" i="51"/>
  <c r="H141" i="51"/>
  <c r="F142" i="51"/>
  <c r="G142" i="51"/>
  <c r="H142" i="51"/>
  <c r="F143" i="51"/>
  <c r="G143" i="51"/>
  <c r="H143" i="51"/>
  <c r="F144" i="51"/>
  <c r="G144" i="51"/>
  <c r="H144" i="51"/>
  <c r="F145" i="51"/>
  <c r="G145" i="51"/>
  <c r="H145" i="51"/>
  <c r="F146" i="51"/>
  <c r="G146" i="51"/>
  <c r="H146" i="51"/>
  <c r="F147" i="51"/>
  <c r="G147" i="51"/>
  <c r="H147" i="51"/>
  <c r="F148" i="51"/>
  <c r="G148" i="51"/>
  <c r="H148" i="51"/>
  <c r="F149" i="51"/>
  <c r="G149" i="51"/>
  <c r="H149" i="51"/>
  <c r="F150" i="51"/>
  <c r="G150" i="51"/>
  <c r="H150" i="51"/>
  <c r="F151" i="51"/>
  <c r="G151" i="51"/>
  <c r="H151" i="51"/>
  <c r="F152" i="51"/>
  <c r="G152" i="51"/>
  <c r="H152" i="51"/>
  <c r="F153" i="51"/>
  <c r="G153" i="51"/>
  <c r="H153" i="51"/>
  <c r="F154" i="51"/>
  <c r="G154" i="51"/>
  <c r="H154" i="51"/>
  <c r="F155" i="51"/>
  <c r="G155" i="51"/>
  <c r="H155" i="51"/>
  <c r="F156" i="51"/>
  <c r="G156" i="51"/>
  <c r="H156" i="51"/>
  <c r="F157" i="51"/>
  <c r="G157" i="51"/>
  <c r="H157" i="51"/>
  <c r="F158" i="51"/>
  <c r="G158" i="51"/>
  <c r="H158" i="51"/>
  <c r="F159" i="51"/>
  <c r="G159" i="51"/>
  <c r="H159" i="51"/>
  <c r="F160" i="51"/>
  <c r="G160" i="51"/>
  <c r="H160" i="51"/>
  <c r="F161" i="51"/>
  <c r="G161" i="51"/>
  <c r="H161" i="51"/>
  <c r="F162" i="51"/>
  <c r="G162" i="51"/>
  <c r="H162" i="51"/>
  <c r="F163" i="51"/>
  <c r="G163" i="51"/>
  <c r="H163" i="51"/>
  <c r="F164" i="51"/>
  <c r="G164" i="51"/>
  <c r="H164" i="51"/>
  <c r="F165" i="51"/>
  <c r="G165" i="51"/>
  <c r="H165" i="51"/>
  <c r="F166" i="51"/>
  <c r="G166" i="51"/>
  <c r="H166" i="51"/>
  <c r="F167" i="51"/>
  <c r="G167" i="51"/>
  <c r="H167" i="51"/>
  <c r="F168" i="51"/>
  <c r="G168" i="51"/>
  <c r="H168" i="51"/>
  <c r="F169" i="51"/>
  <c r="G169" i="51"/>
  <c r="H169" i="51"/>
  <c r="F170" i="51"/>
  <c r="G170" i="51"/>
  <c r="H170" i="51"/>
  <c r="F171" i="51"/>
  <c r="G171" i="51"/>
  <c r="H171" i="51"/>
  <c r="F172" i="51"/>
  <c r="G172" i="51"/>
  <c r="H172" i="51"/>
  <c r="F173" i="51"/>
  <c r="G173" i="51"/>
  <c r="H173" i="51"/>
  <c r="F174" i="51"/>
  <c r="G174" i="51"/>
  <c r="H174" i="51"/>
  <c r="F175" i="51"/>
  <c r="G175" i="51"/>
  <c r="H175" i="51"/>
  <c r="F176" i="51"/>
  <c r="G176" i="51"/>
  <c r="H176" i="51"/>
  <c r="F177" i="51"/>
  <c r="G177" i="51"/>
  <c r="H177" i="51"/>
  <c r="F178" i="51"/>
  <c r="G178" i="51"/>
  <c r="H178" i="51"/>
  <c r="F179" i="51"/>
  <c r="G179" i="51"/>
  <c r="H179" i="51"/>
  <c r="F180" i="51"/>
  <c r="G180" i="51"/>
  <c r="H180" i="51"/>
  <c r="F181" i="51"/>
  <c r="G181" i="51"/>
  <c r="H181" i="51"/>
  <c r="F182" i="51"/>
  <c r="G182" i="51"/>
  <c r="H182" i="51"/>
  <c r="F183" i="51"/>
  <c r="G183" i="51"/>
  <c r="H183" i="51"/>
  <c r="F184" i="51"/>
  <c r="G184" i="51"/>
  <c r="H184" i="51"/>
  <c r="F185" i="51"/>
  <c r="G185" i="51"/>
  <c r="H185" i="51"/>
  <c r="F186" i="51"/>
  <c r="G186" i="51"/>
  <c r="H186" i="51"/>
  <c r="F187" i="51"/>
  <c r="G187" i="51"/>
  <c r="H187" i="51"/>
  <c r="F188" i="51"/>
  <c r="G188" i="51"/>
  <c r="H188" i="51"/>
  <c r="F189" i="51"/>
  <c r="G189" i="51"/>
  <c r="H189" i="51"/>
  <c r="F190" i="51"/>
  <c r="G190" i="51"/>
  <c r="H190" i="51"/>
  <c r="F191" i="51"/>
  <c r="G191" i="51"/>
  <c r="H191" i="51"/>
  <c r="F192" i="51"/>
  <c r="G192" i="51"/>
  <c r="H192" i="51"/>
  <c r="F193" i="51"/>
  <c r="G193" i="51"/>
  <c r="H193" i="51"/>
  <c r="F194" i="51"/>
  <c r="G194" i="51"/>
  <c r="H194" i="51"/>
  <c r="F195" i="51"/>
  <c r="G195" i="51"/>
  <c r="H195" i="51"/>
  <c r="I9" i="51"/>
  <c r="J9" i="51"/>
  <c r="K9" i="51"/>
  <c r="J10" i="51"/>
  <c r="K10" i="51"/>
  <c r="J11" i="51"/>
  <c r="K11" i="51"/>
  <c r="J12" i="51"/>
  <c r="K12" i="51"/>
  <c r="J13" i="51"/>
  <c r="K13" i="51"/>
  <c r="J14" i="51"/>
  <c r="K14" i="51"/>
  <c r="J15" i="51"/>
  <c r="K15" i="51"/>
  <c r="J16" i="51"/>
  <c r="K16" i="51"/>
  <c r="J17" i="51"/>
  <c r="K17" i="51"/>
  <c r="J18" i="51"/>
  <c r="K18" i="51"/>
  <c r="J19" i="51"/>
  <c r="K19" i="51"/>
  <c r="J20" i="51"/>
  <c r="K20" i="51"/>
  <c r="J21" i="51"/>
  <c r="K21" i="51"/>
  <c r="J22" i="51"/>
  <c r="K22" i="51"/>
  <c r="J23" i="51"/>
  <c r="K23" i="51"/>
  <c r="J24" i="51"/>
  <c r="K24" i="51"/>
  <c r="J25" i="51"/>
  <c r="K25" i="51"/>
  <c r="J26" i="51"/>
  <c r="K26" i="51"/>
  <c r="J27" i="51"/>
  <c r="K27" i="51"/>
  <c r="J28" i="51"/>
  <c r="K28" i="51"/>
  <c r="J29" i="51"/>
  <c r="K29" i="51"/>
  <c r="J30" i="51"/>
  <c r="K30" i="51"/>
  <c r="J31" i="51"/>
  <c r="K31" i="51"/>
  <c r="J32" i="51"/>
  <c r="K32" i="51"/>
  <c r="J33" i="51"/>
  <c r="K33" i="51"/>
  <c r="J34" i="51"/>
  <c r="K34" i="51"/>
  <c r="J35" i="51"/>
  <c r="K35" i="51"/>
  <c r="J36" i="51"/>
  <c r="K36" i="51"/>
  <c r="J37" i="51"/>
  <c r="K37" i="51"/>
  <c r="J38" i="51"/>
  <c r="K38" i="51"/>
  <c r="J39" i="51"/>
  <c r="K39" i="51"/>
  <c r="J40" i="51"/>
  <c r="K40" i="51"/>
  <c r="J41" i="51"/>
  <c r="K41" i="51"/>
  <c r="J42" i="51"/>
  <c r="K42" i="51"/>
  <c r="J43" i="51"/>
  <c r="K43" i="51"/>
  <c r="J44" i="51"/>
  <c r="K44" i="51"/>
  <c r="J45" i="51"/>
  <c r="K45" i="51"/>
  <c r="J46" i="51"/>
  <c r="K46" i="51"/>
  <c r="J47" i="51"/>
  <c r="K47" i="51"/>
  <c r="J48" i="51"/>
  <c r="K48" i="51"/>
  <c r="J49" i="51"/>
  <c r="K49" i="51"/>
  <c r="J50" i="51"/>
  <c r="K50" i="51"/>
  <c r="J51" i="51"/>
  <c r="K51" i="51"/>
  <c r="J52" i="51"/>
  <c r="K52" i="51"/>
  <c r="J53" i="51"/>
  <c r="K53" i="51"/>
  <c r="J54" i="51"/>
  <c r="K54" i="51"/>
  <c r="J55" i="51"/>
  <c r="K55" i="51"/>
  <c r="J56" i="51"/>
  <c r="K56" i="51"/>
  <c r="J57" i="51"/>
  <c r="K57" i="51"/>
  <c r="J58" i="51"/>
  <c r="K58" i="51"/>
  <c r="J59" i="51"/>
  <c r="K59" i="51"/>
  <c r="J60" i="51"/>
  <c r="K60" i="51"/>
  <c r="J61" i="51"/>
  <c r="K61" i="51"/>
  <c r="J62" i="51"/>
  <c r="K62" i="51"/>
  <c r="J63" i="51"/>
  <c r="K63" i="51"/>
  <c r="J64" i="51"/>
  <c r="K64" i="51"/>
  <c r="J65" i="51"/>
  <c r="K65" i="51"/>
  <c r="J66" i="51"/>
  <c r="K66" i="51"/>
  <c r="J67" i="51"/>
  <c r="K67" i="51"/>
  <c r="J68" i="51"/>
  <c r="K68" i="51"/>
  <c r="J69" i="51"/>
  <c r="K69" i="51"/>
  <c r="J70" i="51"/>
  <c r="K70" i="51"/>
  <c r="J71" i="51"/>
  <c r="K71" i="51"/>
  <c r="J72" i="51"/>
  <c r="K72" i="51"/>
  <c r="J73" i="51"/>
  <c r="K73" i="51"/>
  <c r="J74" i="51"/>
  <c r="K74" i="51"/>
  <c r="J75" i="51"/>
  <c r="K75" i="51"/>
  <c r="J76" i="51"/>
  <c r="K76" i="51"/>
  <c r="J77" i="51"/>
  <c r="K77" i="51"/>
  <c r="J78" i="51"/>
  <c r="K78" i="51"/>
  <c r="J79" i="51"/>
  <c r="K79" i="51"/>
  <c r="J80" i="51"/>
  <c r="K80" i="51"/>
  <c r="J81" i="51"/>
  <c r="K81" i="51"/>
  <c r="J82" i="51"/>
  <c r="K82" i="51"/>
  <c r="J83" i="51"/>
  <c r="K83" i="51"/>
  <c r="J84" i="51"/>
  <c r="K84" i="51"/>
  <c r="J85" i="51"/>
  <c r="K85" i="51"/>
  <c r="J86" i="51"/>
  <c r="K86" i="51"/>
  <c r="J87" i="51"/>
  <c r="K87" i="51"/>
  <c r="J88" i="51"/>
  <c r="K88" i="51"/>
  <c r="J89" i="51"/>
  <c r="K89" i="51"/>
  <c r="J90" i="51"/>
  <c r="K90" i="51"/>
  <c r="J91" i="51"/>
  <c r="K91" i="51"/>
  <c r="J92" i="51"/>
  <c r="K92" i="51"/>
  <c r="J93" i="51"/>
  <c r="K93" i="51"/>
  <c r="J94" i="51"/>
  <c r="K94" i="51"/>
  <c r="J95" i="51"/>
  <c r="K95" i="51"/>
  <c r="J96" i="51"/>
  <c r="K96" i="51"/>
  <c r="J97" i="51"/>
  <c r="K97" i="51"/>
  <c r="J98" i="51"/>
  <c r="K98" i="51"/>
  <c r="J99" i="51"/>
  <c r="K99" i="51"/>
  <c r="J100" i="51"/>
  <c r="K100" i="51"/>
  <c r="J101" i="51"/>
  <c r="K101" i="51"/>
  <c r="J102" i="51"/>
  <c r="K102" i="51"/>
  <c r="J103" i="51"/>
  <c r="K103" i="51"/>
  <c r="J104" i="51"/>
  <c r="K104" i="51"/>
  <c r="J105" i="51"/>
  <c r="K105" i="51"/>
  <c r="J106" i="51"/>
  <c r="K106" i="51"/>
  <c r="J107" i="51"/>
  <c r="K107" i="51"/>
  <c r="J108" i="51"/>
  <c r="K108" i="51"/>
  <c r="J109" i="51"/>
  <c r="K109" i="51"/>
  <c r="J110" i="51"/>
  <c r="K110" i="51"/>
  <c r="J111" i="51"/>
  <c r="K111" i="51"/>
  <c r="J112" i="51"/>
  <c r="K112" i="51"/>
  <c r="J113" i="51"/>
  <c r="K113" i="51"/>
  <c r="J114" i="51"/>
  <c r="K114" i="51"/>
  <c r="J115" i="51"/>
  <c r="K115" i="51"/>
  <c r="J116" i="51"/>
  <c r="K116" i="51"/>
  <c r="J117" i="51"/>
  <c r="K117" i="51"/>
  <c r="J118" i="51"/>
  <c r="K118" i="51"/>
  <c r="J119" i="51"/>
  <c r="K119" i="51"/>
  <c r="J120" i="51"/>
  <c r="K120" i="51"/>
  <c r="J121" i="51"/>
  <c r="K121" i="51"/>
  <c r="J122" i="51"/>
  <c r="K122" i="51"/>
  <c r="J123" i="51"/>
  <c r="K123" i="51"/>
  <c r="J124" i="51"/>
  <c r="K124" i="51"/>
  <c r="J125" i="51"/>
  <c r="K125" i="51"/>
  <c r="J126" i="51"/>
  <c r="K126" i="51"/>
  <c r="J127" i="51"/>
  <c r="K127" i="51"/>
  <c r="J128" i="51"/>
  <c r="K128" i="51"/>
  <c r="J129" i="51"/>
  <c r="K129" i="51"/>
  <c r="J130" i="51"/>
  <c r="K130" i="51"/>
  <c r="J131" i="51"/>
  <c r="K131" i="51"/>
  <c r="J132" i="51"/>
  <c r="K132" i="51"/>
  <c r="J133" i="51"/>
  <c r="K133" i="51"/>
  <c r="J134" i="51"/>
  <c r="K134" i="51"/>
  <c r="J135" i="51"/>
  <c r="K135" i="51"/>
  <c r="J136" i="51"/>
  <c r="K136" i="51"/>
  <c r="J137" i="51"/>
  <c r="K137" i="51"/>
  <c r="J138" i="51"/>
  <c r="K138" i="51"/>
  <c r="J139" i="51"/>
  <c r="K139" i="51"/>
  <c r="J140" i="51"/>
  <c r="K140" i="51"/>
  <c r="J141" i="51"/>
  <c r="K141" i="51"/>
  <c r="J142" i="51"/>
  <c r="K142" i="51"/>
  <c r="J143" i="51"/>
  <c r="K143" i="51"/>
  <c r="J144" i="51"/>
  <c r="K144" i="51"/>
  <c r="J145" i="51"/>
  <c r="K145" i="51"/>
  <c r="J146" i="51"/>
  <c r="K146" i="51"/>
  <c r="J147" i="51"/>
  <c r="K147" i="51"/>
  <c r="J148" i="51"/>
  <c r="K148" i="51"/>
  <c r="J149" i="51"/>
  <c r="K149" i="51"/>
  <c r="J150" i="51"/>
  <c r="K150" i="51"/>
  <c r="J151" i="51"/>
  <c r="K151" i="51"/>
  <c r="J152" i="51"/>
  <c r="K152" i="51"/>
  <c r="J153" i="51"/>
  <c r="K153" i="51"/>
  <c r="J154" i="51"/>
  <c r="K154" i="51"/>
  <c r="J155" i="51"/>
  <c r="K155" i="51"/>
  <c r="J156" i="51"/>
  <c r="K156" i="51"/>
  <c r="J157" i="51"/>
  <c r="K157" i="51"/>
  <c r="J158" i="51"/>
  <c r="K158" i="51"/>
  <c r="J159" i="51"/>
  <c r="K159" i="51"/>
  <c r="J160" i="51"/>
  <c r="K160" i="51"/>
  <c r="J161" i="51"/>
  <c r="K161" i="51"/>
  <c r="J162" i="51"/>
  <c r="K162" i="51"/>
  <c r="J163" i="51"/>
  <c r="K163" i="51"/>
  <c r="J164" i="51"/>
  <c r="K164" i="51"/>
  <c r="J165" i="51"/>
  <c r="K165" i="51"/>
  <c r="J166" i="51"/>
  <c r="K166" i="51"/>
  <c r="J167" i="51"/>
  <c r="K167" i="51"/>
  <c r="J168" i="51"/>
  <c r="K168" i="51"/>
  <c r="J169" i="51"/>
  <c r="K169" i="51"/>
  <c r="J170" i="51"/>
  <c r="K170" i="51"/>
  <c r="J171" i="51"/>
  <c r="K171" i="51"/>
  <c r="J172" i="51"/>
  <c r="K172" i="51"/>
  <c r="J173" i="51"/>
  <c r="K173" i="51"/>
  <c r="J174" i="51"/>
  <c r="K174" i="51"/>
  <c r="J175" i="51"/>
  <c r="K175" i="51"/>
  <c r="J176" i="51"/>
  <c r="K176" i="51"/>
  <c r="J177" i="51"/>
  <c r="K177" i="51"/>
  <c r="J178" i="51"/>
  <c r="K178" i="51"/>
  <c r="J179" i="51"/>
  <c r="K179" i="51"/>
  <c r="J180" i="51"/>
  <c r="K180" i="51"/>
  <c r="J181" i="51"/>
  <c r="K181" i="51"/>
  <c r="J182" i="51"/>
  <c r="K182" i="51"/>
  <c r="J183" i="51"/>
  <c r="K183" i="51"/>
  <c r="J184" i="51"/>
  <c r="K184" i="51"/>
  <c r="J185" i="51"/>
  <c r="K185" i="51"/>
  <c r="J186" i="51"/>
  <c r="K186" i="51"/>
  <c r="J187" i="51"/>
  <c r="K187" i="51"/>
  <c r="J188" i="51"/>
  <c r="K188" i="51"/>
  <c r="J189" i="51"/>
  <c r="K189" i="51"/>
  <c r="J190" i="51"/>
  <c r="K190" i="51"/>
  <c r="J191" i="51"/>
  <c r="K191" i="51"/>
  <c r="J192" i="51"/>
  <c r="K192" i="51"/>
  <c r="J193" i="51"/>
  <c r="K193" i="51"/>
  <c r="J194" i="51"/>
  <c r="K194" i="51"/>
  <c r="J195" i="51"/>
  <c r="K195" i="51"/>
  <c r="F9" i="96"/>
  <c r="G9" i="96"/>
  <c r="F10" i="96"/>
  <c r="G10" i="96"/>
  <c r="F11" i="96"/>
  <c r="G11" i="96"/>
  <c r="F12" i="96"/>
  <c r="G12" i="96"/>
  <c r="F13" i="96"/>
  <c r="G13" i="96"/>
  <c r="H13" i="96"/>
  <c r="I13" i="96"/>
  <c r="J13" i="96"/>
  <c r="K13" i="96"/>
  <c r="F14" i="96"/>
  <c r="G14" i="96"/>
  <c r="H14" i="96"/>
  <c r="I14" i="96"/>
  <c r="J14" i="96"/>
  <c r="K14" i="96"/>
  <c r="F15" i="96"/>
  <c r="G15" i="96"/>
  <c r="H15" i="96"/>
  <c r="I15" i="96"/>
  <c r="J15" i="96"/>
  <c r="K15" i="96"/>
  <c r="F16" i="96"/>
  <c r="G16" i="96"/>
  <c r="H16" i="96"/>
  <c r="I16" i="96"/>
  <c r="J16" i="96"/>
  <c r="K16" i="96"/>
  <c r="F17" i="96"/>
  <c r="G17" i="96"/>
  <c r="H17" i="96"/>
  <c r="I17" i="96"/>
  <c r="J17" i="96"/>
  <c r="K17" i="96"/>
  <c r="F18" i="96"/>
  <c r="G18" i="96"/>
  <c r="H18" i="96"/>
  <c r="I18" i="96"/>
  <c r="J18" i="96"/>
  <c r="K18" i="96"/>
  <c r="F19" i="96"/>
  <c r="G19" i="96"/>
  <c r="H19" i="96"/>
  <c r="I19" i="96"/>
  <c r="J19" i="96"/>
  <c r="K19" i="96"/>
  <c r="F20" i="96"/>
  <c r="G20" i="96"/>
  <c r="H20" i="96"/>
  <c r="I20" i="96"/>
  <c r="J20" i="96"/>
  <c r="K20" i="96"/>
  <c r="F21" i="96"/>
  <c r="G21" i="96"/>
  <c r="H21" i="96"/>
  <c r="I21" i="96"/>
  <c r="J21" i="96"/>
  <c r="K21" i="96"/>
  <c r="F22" i="96"/>
  <c r="G22" i="96"/>
  <c r="H22" i="96"/>
  <c r="I22" i="96"/>
  <c r="J22" i="96"/>
  <c r="K22" i="96"/>
  <c r="F23" i="96"/>
  <c r="G23" i="96"/>
  <c r="H23" i="96"/>
  <c r="I23" i="96"/>
  <c r="J23" i="96"/>
  <c r="K23" i="96"/>
  <c r="F24" i="96"/>
  <c r="G24" i="96"/>
  <c r="H24" i="96"/>
  <c r="I24" i="96"/>
  <c r="J24" i="96"/>
  <c r="K24" i="96"/>
  <c r="F25" i="96"/>
  <c r="G25" i="96"/>
  <c r="H25" i="96"/>
  <c r="I25" i="96"/>
  <c r="J25" i="96"/>
  <c r="K25" i="96"/>
  <c r="F26" i="96"/>
  <c r="G26" i="96"/>
  <c r="H26" i="96"/>
  <c r="I26" i="96"/>
  <c r="J26" i="96"/>
  <c r="K26" i="96"/>
  <c r="F27" i="96"/>
  <c r="G27" i="96"/>
  <c r="H27" i="96"/>
  <c r="I27" i="96"/>
  <c r="J27" i="96"/>
  <c r="K27" i="96"/>
  <c r="F28" i="96"/>
  <c r="G28" i="96"/>
  <c r="H28" i="96"/>
  <c r="I28" i="96"/>
  <c r="J28" i="96"/>
  <c r="K28" i="96"/>
  <c r="F29" i="96"/>
  <c r="G29" i="96"/>
  <c r="H29" i="96"/>
  <c r="I29" i="96"/>
  <c r="J29" i="96"/>
  <c r="K29" i="96"/>
  <c r="F30" i="96"/>
  <c r="G30" i="96"/>
  <c r="H30" i="96"/>
  <c r="I30" i="96"/>
  <c r="J30" i="96"/>
  <c r="K30" i="96"/>
  <c r="F31" i="96"/>
  <c r="G31" i="96"/>
  <c r="H31" i="96"/>
  <c r="I31" i="96"/>
  <c r="J31" i="96"/>
  <c r="K31" i="96"/>
  <c r="F32" i="96"/>
  <c r="G32" i="96"/>
  <c r="H32" i="96"/>
  <c r="I32" i="96"/>
  <c r="J32" i="96"/>
  <c r="K32" i="96"/>
  <c r="F33" i="96"/>
  <c r="G33" i="96"/>
  <c r="H33" i="96"/>
  <c r="I33" i="96"/>
  <c r="J33" i="96"/>
  <c r="K33" i="96"/>
  <c r="F34" i="96"/>
  <c r="G34" i="96"/>
  <c r="H34" i="96"/>
  <c r="I34" i="96"/>
  <c r="J34" i="96"/>
  <c r="K34" i="96"/>
  <c r="F35" i="96"/>
  <c r="G35" i="96"/>
  <c r="H35" i="96"/>
  <c r="I35" i="96"/>
  <c r="J35" i="96"/>
  <c r="K35" i="96"/>
  <c r="F36" i="96"/>
  <c r="G36" i="96"/>
  <c r="H36" i="96"/>
  <c r="I36" i="96"/>
  <c r="J36" i="96"/>
  <c r="K36" i="96"/>
  <c r="F37" i="96"/>
  <c r="G37" i="96"/>
  <c r="H37" i="96"/>
  <c r="I37" i="96"/>
  <c r="J37" i="96"/>
  <c r="K37" i="96"/>
  <c r="F38" i="96"/>
  <c r="G38" i="96"/>
  <c r="H38" i="96"/>
  <c r="I38" i="96"/>
  <c r="J38" i="96"/>
  <c r="K38" i="96"/>
  <c r="F39" i="96"/>
  <c r="G39" i="96"/>
  <c r="H39" i="96"/>
  <c r="I39" i="96"/>
  <c r="J39" i="96"/>
  <c r="K39" i="96"/>
  <c r="F40" i="96"/>
  <c r="G40" i="96"/>
  <c r="H40" i="96"/>
  <c r="I40" i="96"/>
  <c r="J40" i="96"/>
  <c r="K40" i="96"/>
  <c r="F41" i="96"/>
  <c r="G41" i="96"/>
  <c r="H41" i="96"/>
  <c r="I41" i="96"/>
  <c r="J41" i="96"/>
  <c r="K41" i="96"/>
  <c r="F42" i="96"/>
  <c r="G42" i="96"/>
  <c r="H42" i="96"/>
  <c r="I42" i="96"/>
  <c r="J42" i="96"/>
  <c r="K42" i="96"/>
  <c r="F43" i="96"/>
  <c r="G43" i="96"/>
  <c r="H43" i="96"/>
  <c r="I43" i="96"/>
  <c r="J43" i="96"/>
  <c r="K43" i="96"/>
  <c r="F44" i="96"/>
  <c r="G44" i="96"/>
  <c r="H44" i="96"/>
  <c r="I44" i="96"/>
  <c r="J44" i="96"/>
  <c r="K44" i="96"/>
  <c r="F45" i="96"/>
  <c r="G45" i="96"/>
  <c r="H45" i="96"/>
  <c r="I45" i="96"/>
  <c r="J45" i="96"/>
  <c r="K45" i="96"/>
  <c r="F46" i="96"/>
  <c r="G46" i="96"/>
  <c r="H46" i="96"/>
  <c r="I46" i="96"/>
  <c r="J46" i="96"/>
  <c r="K46" i="96"/>
  <c r="F47" i="96"/>
  <c r="G47" i="96"/>
  <c r="H47" i="96"/>
  <c r="I47" i="96"/>
  <c r="J47" i="96"/>
  <c r="K47" i="96"/>
  <c r="F48" i="96"/>
  <c r="G48" i="96"/>
  <c r="H48" i="96"/>
  <c r="I48" i="96"/>
  <c r="J48" i="96"/>
  <c r="K48" i="96"/>
  <c r="F49" i="96"/>
  <c r="G49" i="96"/>
  <c r="H49" i="96"/>
  <c r="I49" i="96"/>
  <c r="J49" i="96"/>
  <c r="K49" i="96"/>
  <c r="F50" i="96"/>
  <c r="G50" i="96"/>
  <c r="H50" i="96"/>
  <c r="I50" i="96"/>
  <c r="J50" i="96"/>
  <c r="K50" i="96"/>
  <c r="F51" i="96"/>
  <c r="G51" i="96"/>
  <c r="H51" i="96"/>
  <c r="I51" i="96"/>
  <c r="J51" i="96"/>
  <c r="K51" i="96"/>
  <c r="F52" i="96"/>
  <c r="G52" i="96"/>
  <c r="H52" i="96"/>
  <c r="I52" i="96"/>
  <c r="J52" i="96"/>
  <c r="K52" i="96"/>
  <c r="F53" i="96"/>
  <c r="G53" i="96"/>
  <c r="H53" i="96"/>
  <c r="I53" i="96"/>
  <c r="J53" i="96"/>
  <c r="K53" i="96"/>
  <c r="F54" i="96"/>
  <c r="G54" i="96"/>
  <c r="H54" i="96"/>
  <c r="I54" i="96"/>
  <c r="J54" i="96"/>
  <c r="K54" i="96"/>
  <c r="F55" i="96"/>
  <c r="G55" i="96"/>
  <c r="H55" i="96"/>
  <c r="I55" i="96"/>
  <c r="J55" i="96"/>
  <c r="K55" i="96"/>
  <c r="F56" i="96"/>
  <c r="G56" i="96"/>
  <c r="H56" i="96"/>
  <c r="I56" i="96"/>
  <c r="J56" i="96"/>
  <c r="K56" i="96"/>
  <c r="F57" i="96"/>
  <c r="G57" i="96"/>
  <c r="H57" i="96"/>
  <c r="I57" i="96"/>
  <c r="J57" i="96"/>
  <c r="K57" i="96"/>
  <c r="C12" i="53"/>
  <c r="D12" i="53"/>
  <c r="C13" i="53"/>
  <c r="D13" i="53"/>
  <c r="C14" i="53"/>
  <c r="D14" i="53"/>
  <c r="C15" i="53"/>
  <c r="D15" i="53"/>
  <c r="C16" i="53"/>
  <c r="D16" i="53"/>
  <c r="C17" i="53"/>
  <c r="D17" i="53"/>
  <c r="C18" i="53"/>
  <c r="D18" i="53"/>
  <c r="C19" i="53"/>
  <c r="D19" i="53"/>
  <c r="E19" i="53"/>
  <c r="F19" i="53"/>
  <c r="G19" i="53"/>
  <c r="H19" i="53"/>
  <c r="C20" i="53"/>
  <c r="D20" i="53"/>
  <c r="E20" i="53"/>
  <c r="F20" i="53"/>
  <c r="G20" i="53"/>
  <c r="H20" i="53"/>
  <c r="C21" i="53"/>
  <c r="D21" i="53"/>
  <c r="E21" i="53"/>
  <c r="F21" i="53"/>
  <c r="G21" i="53"/>
  <c r="H21" i="53"/>
  <c r="C22" i="53"/>
  <c r="D22" i="53"/>
  <c r="E22" i="53"/>
  <c r="F22" i="53"/>
  <c r="G22" i="53"/>
  <c r="H22" i="53"/>
  <c r="C23" i="53"/>
  <c r="D23" i="53"/>
  <c r="E23" i="53"/>
  <c r="F23" i="53"/>
  <c r="G23" i="53"/>
  <c r="H23" i="53"/>
  <c r="C24" i="53"/>
  <c r="D24" i="53"/>
  <c r="E24" i="53"/>
  <c r="F24" i="53"/>
  <c r="G24" i="53"/>
  <c r="H24" i="53"/>
  <c r="C25" i="53"/>
  <c r="D25" i="53"/>
  <c r="E25" i="53"/>
  <c r="F25" i="53"/>
  <c r="G25" i="53"/>
  <c r="H25" i="53"/>
  <c r="C26" i="53"/>
  <c r="D26" i="53"/>
  <c r="E26" i="53"/>
  <c r="F26" i="53"/>
  <c r="G26" i="53"/>
  <c r="H26" i="53"/>
  <c r="C27" i="53"/>
  <c r="D27" i="53"/>
  <c r="E27" i="53"/>
  <c r="F27" i="53"/>
  <c r="G27" i="53"/>
  <c r="H27" i="53"/>
  <c r="C28" i="53"/>
  <c r="D28" i="53"/>
  <c r="E28" i="53"/>
  <c r="F28" i="53"/>
  <c r="G28" i="53"/>
  <c r="H28" i="53"/>
  <c r="C29" i="53"/>
  <c r="D29" i="53"/>
  <c r="E29" i="53"/>
  <c r="F29" i="53"/>
  <c r="G29" i="53"/>
  <c r="H29" i="53"/>
  <c r="C30" i="53"/>
  <c r="D30" i="53"/>
  <c r="E30" i="53"/>
  <c r="F30" i="53"/>
  <c r="G30" i="53"/>
  <c r="H30" i="53"/>
  <c r="C31" i="53"/>
  <c r="D31" i="53"/>
  <c r="E31" i="53"/>
  <c r="F31" i="53"/>
  <c r="G31" i="53"/>
  <c r="H31" i="53"/>
  <c r="C32" i="53"/>
  <c r="D32" i="53"/>
  <c r="E32" i="53"/>
  <c r="F32" i="53"/>
  <c r="G32" i="53"/>
  <c r="H32" i="53"/>
  <c r="C33" i="53"/>
  <c r="D33" i="53"/>
  <c r="E33" i="53"/>
  <c r="F33" i="53"/>
  <c r="G33" i="53"/>
  <c r="H33" i="53"/>
  <c r="C34" i="53"/>
  <c r="D34" i="53"/>
  <c r="E34" i="53"/>
  <c r="F34" i="53"/>
  <c r="G34" i="53"/>
  <c r="H34" i="53"/>
  <c r="C35" i="53"/>
  <c r="D35" i="53"/>
  <c r="E35" i="53"/>
  <c r="F35" i="53"/>
  <c r="G35" i="53"/>
  <c r="H35" i="53"/>
  <c r="C36" i="53"/>
  <c r="D36" i="53"/>
  <c r="E36" i="53"/>
  <c r="F36" i="53"/>
  <c r="G36" i="53"/>
  <c r="H36" i="53"/>
  <c r="C37" i="53"/>
  <c r="D37" i="53"/>
  <c r="E37" i="53"/>
  <c r="F37" i="53"/>
  <c r="G37" i="53"/>
  <c r="H37" i="53"/>
  <c r="C38" i="53"/>
  <c r="D38" i="53"/>
  <c r="E38" i="53"/>
  <c r="F38" i="53"/>
  <c r="G38" i="53"/>
  <c r="H38" i="53"/>
  <c r="C39" i="53"/>
  <c r="D39" i="53"/>
  <c r="E39" i="53"/>
  <c r="F39" i="53"/>
  <c r="G39" i="53"/>
  <c r="H39" i="53"/>
  <c r="C40" i="53"/>
  <c r="D40" i="53"/>
  <c r="E40" i="53"/>
  <c r="F40" i="53"/>
  <c r="G40" i="53"/>
  <c r="H40" i="53"/>
  <c r="C41" i="53"/>
  <c r="D41" i="53"/>
  <c r="E41" i="53"/>
  <c r="F41" i="53"/>
  <c r="G41" i="53"/>
  <c r="H41" i="53"/>
  <c r="C42" i="53"/>
  <c r="D42" i="53"/>
  <c r="E42" i="53"/>
  <c r="F42" i="53"/>
  <c r="G42" i="53"/>
  <c r="H42" i="53"/>
  <c r="C43" i="53"/>
  <c r="D43" i="53"/>
  <c r="E43" i="53"/>
  <c r="F43" i="53"/>
  <c r="G43" i="53"/>
  <c r="H43" i="53"/>
  <c r="C44" i="53"/>
  <c r="D44" i="53"/>
  <c r="E44" i="53"/>
  <c r="F44" i="53"/>
  <c r="G44" i="53"/>
  <c r="H44" i="53"/>
  <c r="C45" i="53"/>
  <c r="D45" i="53"/>
  <c r="E45" i="53"/>
  <c r="F45" i="53"/>
  <c r="G45" i="53"/>
  <c r="H45" i="53"/>
  <c r="C46" i="53"/>
  <c r="D46" i="53"/>
  <c r="E46" i="53"/>
  <c r="F46" i="53"/>
  <c r="G46" i="53"/>
  <c r="H46" i="53"/>
  <c r="C47" i="53"/>
  <c r="D47" i="53"/>
  <c r="E47" i="53"/>
  <c r="F47" i="53"/>
  <c r="G47" i="53"/>
  <c r="H47" i="53"/>
  <c r="C48" i="53"/>
  <c r="D48" i="53"/>
  <c r="E48" i="53"/>
  <c r="F48" i="53"/>
  <c r="G48" i="53"/>
  <c r="H48" i="53"/>
  <c r="C49" i="53"/>
  <c r="D49" i="53"/>
  <c r="E49" i="53"/>
  <c r="F49" i="53"/>
  <c r="G49" i="53"/>
  <c r="H49" i="53"/>
  <c r="C50" i="53"/>
  <c r="D50" i="53"/>
  <c r="E50" i="53"/>
  <c r="F50" i="53"/>
  <c r="G50" i="53"/>
  <c r="H50" i="53"/>
  <c r="C51" i="53"/>
  <c r="D51" i="53"/>
  <c r="E51" i="53"/>
  <c r="F51" i="53"/>
  <c r="G51" i="53"/>
  <c r="H51" i="53"/>
  <c r="C13" i="54"/>
  <c r="E13" i="54"/>
  <c r="C14" i="54"/>
  <c r="E14" i="54"/>
  <c r="C15" i="54"/>
  <c r="E15" i="54"/>
  <c r="C16" i="54"/>
  <c r="E16" i="54"/>
  <c r="C17" i="54"/>
  <c r="D17" i="54"/>
  <c r="E17" i="54"/>
  <c r="F17" i="54"/>
  <c r="G17" i="54"/>
  <c r="H17" i="54"/>
  <c r="I17" i="54"/>
  <c r="J17" i="54"/>
  <c r="C18" i="54"/>
  <c r="D18" i="54"/>
  <c r="E18" i="54"/>
  <c r="F18" i="54"/>
  <c r="G18" i="54"/>
  <c r="H18" i="54"/>
  <c r="I18" i="54"/>
  <c r="J18" i="54"/>
  <c r="C19" i="54"/>
  <c r="D19" i="54"/>
  <c r="E19" i="54"/>
  <c r="F19" i="54"/>
  <c r="G19" i="54"/>
  <c r="H19" i="54"/>
  <c r="I19" i="54"/>
  <c r="J19" i="54"/>
  <c r="C20" i="54"/>
  <c r="D20" i="54"/>
  <c r="E20" i="54"/>
  <c r="F20" i="54"/>
  <c r="G20" i="54"/>
  <c r="H20" i="54"/>
  <c r="I20" i="54"/>
  <c r="J20" i="54"/>
  <c r="C21" i="54"/>
  <c r="D21" i="54"/>
  <c r="E21" i="54"/>
  <c r="F21" i="54"/>
  <c r="G21" i="54"/>
  <c r="H21" i="54"/>
  <c r="I21" i="54"/>
  <c r="J21" i="54"/>
  <c r="C22" i="54"/>
  <c r="D22" i="54"/>
  <c r="E22" i="54"/>
  <c r="F22" i="54"/>
  <c r="G22" i="54"/>
  <c r="H22" i="54"/>
  <c r="I22" i="54"/>
  <c r="J22" i="54"/>
  <c r="C23" i="54"/>
  <c r="D23" i="54"/>
  <c r="E23" i="54"/>
  <c r="F23" i="54"/>
  <c r="G23" i="54"/>
  <c r="H23" i="54"/>
  <c r="I23" i="54"/>
  <c r="J23" i="54"/>
  <c r="C24" i="54"/>
  <c r="D24" i="54"/>
  <c r="E24" i="54"/>
  <c r="F24" i="54"/>
  <c r="G24" i="54"/>
  <c r="H24" i="54"/>
  <c r="I24" i="54"/>
  <c r="J24" i="54"/>
  <c r="C25" i="54"/>
  <c r="D25" i="54"/>
  <c r="E25" i="54"/>
  <c r="F25" i="54"/>
  <c r="G25" i="54"/>
  <c r="H25" i="54"/>
  <c r="I25" i="54"/>
  <c r="J25" i="54"/>
  <c r="C26" i="54"/>
  <c r="D26" i="54"/>
  <c r="E26" i="54"/>
  <c r="F26" i="54"/>
  <c r="G26" i="54"/>
  <c r="H26" i="54"/>
  <c r="I26" i="54"/>
  <c r="J26" i="54"/>
  <c r="C27" i="54"/>
  <c r="D27" i="54"/>
  <c r="E27" i="54"/>
  <c r="F27" i="54"/>
  <c r="G27" i="54"/>
  <c r="H27" i="54"/>
  <c r="I27" i="54"/>
  <c r="J27" i="54"/>
  <c r="C28" i="54"/>
  <c r="D28" i="54"/>
  <c r="E28" i="54"/>
  <c r="F28" i="54"/>
  <c r="G28" i="54"/>
  <c r="H28" i="54"/>
  <c r="I28" i="54"/>
  <c r="J28" i="54"/>
  <c r="C29" i="54"/>
  <c r="D29" i="54"/>
  <c r="E29" i="54"/>
  <c r="F29" i="54"/>
  <c r="G29" i="54"/>
  <c r="H29" i="54"/>
  <c r="I29" i="54"/>
  <c r="J29" i="54"/>
  <c r="C30" i="54"/>
  <c r="D30" i="54"/>
  <c r="E30" i="54"/>
  <c r="F30" i="54"/>
  <c r="G30" i="54"/>
  <c r="H30" i="54"/>
  <c r="I30" i="54"/>
  <c r="J30" i="54"/>
  <c r="C31" i="54"/>
  <c r="D31" i="54"/>
  <c r="E31" i="54"/>
  <c r="F31" i="54"/>
  <c r="G31" i="54"/>
  <c r="H31" i="54"/>
  <c r="I31" i="54"/>
  <c r="J31" i="54"/>
  <c r="C32" i="54"/>
  <c r="D32" i="54"/>
  <c r="E32" i="54"/>
  <c r="F32" i="54"/>
  <c r="G32" i="54"/>
  <c r="H32" i="54"/>
  <c r="I32" i="54"/>
  <c r="J32" i="54"/>
  <c r="C33" i="54"/>
  <c r="D33" i="54"/>
  <c r="E33" i="54"/>
  <c r="F33" i="54"/>
  <c r="G33" i="54"/>
  <c r="H33" i="54"/>
  <c r="I33" i="54"/>
  <c r="J33" i="54"/>
  <c r="C34" i="54"/>
  <c r="D34" i="54"/>
  <c r="E34" i="54"/>
  <c r="F34" i="54"/>
  <c r="G34" i="54"/>
  <c r="H34" i="54"/>
  <c r="I34" i="54"/>
  <c r="J34" i="54"/>
  <c r="C35" i="54"/>
  <c r="D35" i="54"/>
  <c r="E35" i="54"/>
  <c r="F35" i="54"/>
  <c r="G35" i="54"/>
  <c r="H35" i="54"/>
  <c r="I35" i="54"/>
  <c r="J35" i="54"/>
  <c r="C36" i="54"/>
  <c r="D36" i="54"/>
  <c r="E36" i="54"/>
  <c r="F36" i="54"/>
  <c r="G36" i="54"/>
  <c r="H36" i="54"/>
  <c r="I36" i="54"/>
  <c r="J36" i="54"/>
  <c r="C37" i="54"/>
  <c r="D37" i="54"/>
  <c r="E37" i="54"/>
  <c r="F37" i="54"/>
  <c r="G37" i="54"/>
  <c r="H37" i="54"/>
  <c r="I37" i="54"/>
  <c r="J37" i="54"/>
  <c r="C38" i="54"/>
  <c r="D38" i="54"/>
  <c r="E38" i="54"/>
  <c r="F38" i="54"/>
  <c r="G38" i="54"/>
  <c r="H38" i="54"/>
  <c r="I38" i="54"/>
  <c r="J38" i="54"/>
  <c r="C39" i="54"/>
  <c r="D39" i="54"/>
  <c r="E39" i="54"/>
  <c r="F39" i="54"/>
  <c r="G39" i="54"/>
  <c r="H39" i="54"/>
  <c r="I39" i="54"/>
  <c r="J39" i="54"/>
  <c r="C40" i="54"/>
  <c r="D40" i="54"/>
  <c r="E40" i="54"/>
  <c r="F40" i="54"/>
  <c r="G40" i="54"/>
  <c r="H40" i="54"/>
  <c r="I40" i="54"/>
  <c r="J40" i="54"/>
  <c r="C41" i="54"/>
  <c r="D41" i="54"/>
  <c r="E41" i="54"/>
  <c r="F41" i="54"/>
  <c r="G41" i="54"/>
  <c r="H41" i="54"/>
  <c r="I41" i="54"/>
  <c r="J41" i="54"/>
  <c r="C42" i="54"/>
  <c r="D42" i="54"/>
  <c r="E42" i="54"/>
  <c r="F42" i="54"/>
  <c r="G42" i="54"/>
  <c r="H42" i="54"/>
  <c r="I42" i="54"/>
  <c r="J42" i="54"/>
  <c r="C43" i="54"/>
  <c r="D43" i="54"/>
  <c r="E43" i="54"/>
  <c r="F43" i="54"/>
  <c r="G43" i="54"/>
  <c r="H43" i="54"/>
  <c r="I43" i="54"/>
  <c r="J43" i="54"/>
  <c r="C44" i="54"/>
  <c r="D44" i="54"/>
  <c r="E44" i="54"/>
  <c r="F44" i="54"/>
  <c r="G44" i="54"/>
  <c r="H44" i="54"/>
  <c r="I44" i="54"/>
  <c r="J44" i="54"/>
  <c r="C45" i="54"/>
  <c r="D45" i="54"/>
  <c r="E45" i="54"/>
  <c r="F45" i="54"/>
  <c r="G45" i="54"/>
  <c r="H45" i="54"/>
  <c r="I45" i="54"/>
  <c r="J45" i="54"/>
  <c r="C46" i="54"/>
  <c r="D46" i="54"/>
  <c r="E46" i="54"/>
  <c r="F46" i="54"/>
  <c r="G46" i="54"/>
  <c r="H46" i="54"/>
  <c r="I46" i="54"/>
  <c r="J46" i="54"/>
  <c r="C47" i="54"/>
  <c r="D47" i="54"/>
  <c r="E47" i="54"/>
  <c r="F47" i="54"/>
  <c r="G47" i="54"/>
  <c r="H47" i="54"/>
  <c r="I47" i="54"/>
  <c r="J47" i="54"/>
  <c r="C48" i="54"/>
  <c r="D48" i="54"/>
  <c r="E48" i="54"/>
  <c r="F48" i="54"/>
  <c r="G48" i="54"/>
  <c r="H48" i="54"/>
  <c r="I48" i="54"/>
  <c r="J48" i="54"/>
  <c r="C49" i="54"/>
  <c r="D49" i="54"/>
  <c r="E49" i="54"/>
  <c r="F49" i="54"/>
  <c r="G49" i="54"/>
  <c r="H49" i="54"/>
  <c r="I49" i="54"/>
  <c r="J49" i="54"/>
  <c r="C50" i="54"/>
  <c r="D50" i="54"/>
  <c r="E50" i="54"/>
  <c r="F50" i="54"/>
  <c r="G50" i="54"/>
  <c r="H50" i="54"/>
  <c r="I50" i="54"/>
  <c r="J50" i="54"/>
  <c r="C51" i="54"/>
  <c r="D51" i="54"/>
  <c r="E51" i="54"/>
  <c r="F51" i="54"/>
  <c r="G51" i="54"/>
  <c r="H51" i="54"/>
  <c r="I51" i="54"/>
  <c r="J51" i="54"/>
  <c r="C52" i="54"/>
  <c r="D52" i="54"/>
  <c r="E52" i="54"/>
  <c r="F52" i="54"/>
  <c r="G52" i="54"/>
  <c r="H52" i="54"/>
  <c r="I52" i="54"/>
  <c r="J52" i="54"/>
  <c r="C53" i="54"/>
  <c r="D53" i="54"/>
  <c r="E53" i="54"/>
  <c r="F53" i="54"/>
  <c r="G53" i="54"/>
  <c r="H53" i="54"/>
  <c r="I53" i="54"/>
  <c r="J53" i="54"/>
  <c r="C54" i="54"/>
  <c r="D54" i="54"/>
  <c r="E54" i="54"/>
  <c r="F54" i="54"/>
  <c r="G54" i="54"/>
  <c r="H54" i="54"/>
  <c r="I54" i="54"/>
  <c r="J54" i="54"/>
  <c r="C55" i="54"/>
  <c r="D55" i="54"/>
  <c r="E55" i="54"/>
  <c r="F55" i="54"/>
  <c r="G55" i="54"/>
  <c r="H55" i="54"/>
  <c r="I55" i="54"/>
  <c r="J55" i="54"/>
  <c r="C56" i="54"/>
  <c r="D56" i="54"/>
  <c r="E56" i="54"/>
  <c r="F56" i="54"/>
  <c r="G56" i="54"/>
  <c r="H56" i="54"/>
  <c r="I56" i="54"/>
  <c r="J56" i="54"/>
  <c r="C57" i="54"/>
  <c r="D57" i="54"/>
  <c r="E57" i="54"/>
  <c r="F57" i="54"/>
  <c r="G57" i="54"/>
  <c r="H57" i="54"/>
  <c r="I57" i="54"/>
  <c r="J57" i="54"/>
  <c r="C58" i="54"/>
  <c r="D58" i="54"/>
  <c r="E58" i="54"/>
  <c r="F58" i="54"/>
  <c r="G58" i="54"/>
  <c r="H58" i="54"/>
  <c r="I58" i="54"/>
  <c r="J58" i="54"/>
  <c r="C59" i="54"/>
  <c r="D59" i="54"/>
  <c r="E59" i="54"/>
  <c r="F59" i="54"/>
  <c r="G59" i="54"/>
  <c r="H59" i="54"/>
  <c r="I59" i="54"/>
  <c r="J59" i="54"/>
  <c r="C60" i="54"/>
  <c r="D60" i="54"/>
  <c r="E60" i="54"/>
  <c r="F60" i="54"/>
  <c r="G60" i="54"/>
  <c r="H60" i="54"/>
  <c r="I60" i="54"/>
  <c r="J60" i="54"/>
  <c r="C61" i="54"/>
  <c r="D61" i="54"/>
  <c r="E61" i="54"/>
  <c r="F61" i="54"/>
  <c r="G61" i="54"/>
  <c r="H61" i="54"/>
  <c r="I61" i="54"/>
  <c r="J61" i="54"/>
  <c r="C62" i="54"/>
  <c r="D62" i="54"/>
  <c r="E62" i="54"/>
  <c r="F62" i="54"/>
  <c r="G62" i="54"/>
  <c r="H62" i="54"/>
  <c r="I62" i="54"/>
  <c r="J62" i="54"/>
  <c r="C63" i="54"/>
  <c r="D63" i="54"/>
  <c r="E63" i="54"/>
  <c r="F63" i="54"/>
  <c r="G63" i="54"/>
  <c r="H63" i="54"/>
  <c r="I63" i="54"/>
  <c r="J63" i="54"/>
  <c r="C64" i="54"/>
  <c r="D64" i="54"/>
  <c r="E64" i="54"/>
  <c r="F64" i="54"/>
  <c r="G64" i="54"/>
  <c r="H64" i="54"/>
  <c r="I64" i="54"/>
  <c r="J64" i="54"/>
  <c r="C65" i="54"/>
  <c r="D65" i="54"/>
  <c r="E65" i="54"/>
  <c r="F65" i="54"/>
  <c r="G65" i="54"/>
  <c r="H65" i="54"/>
  <c r="I65" i="54"/>
  <c r="J65" i="54"/>
  <c r="D9" i="103"/>
  <c r="E9" i="103"/>
  <c r="D10" i="103"/>
  <c r="E10" i="103"/>
  <c r="D11" i="103"/>
  <c r="E11" i="103"/>
  <c r="D12" i="103"/>
  <c r="E12" i="103"/>
  <c r="D13" i="103"/>
  <c r="E13" i="103"/>
  <c r="D14" i="103"/>
  <c r="E14" i="103"/>
  <c r="D15" i="103"/>
  <c r="E15" i="103"/>
  <c r="D16" i="103"/>
  <c r="E16" i="103"/>
  <c r="D17" i="103"/>
  <c r="E17" i="103"/>
  <c r="D18" i="103"/>
  <c r="E18" i="103"/>
  <c r="D19" i="103"/>
  <c r="E19" i="103"/>
  <c r="D20" i="103"/>
  <c r="E20" i="103"/>
  <c r="D21" i="103"/>
  <c r="E21" i="103"/>
  <c r="D22" i="103"/>
  <c r="E22" i="103"/>
  <c r="D23" i="103"/>
  <c r="E23" i="103"/>
  <c r="D24" i="103"/>
  <c r="E24" i="103"/>
  <c r="D25" i="103"/>
  <c r="E25" i="103"/>
  <c r="D26" i="103"/>
  <c r="E26" i="103"/>
  <c r="D27" i="103"/>
  <c r="E27" i="103"/>
  <c r="D28" i="103"/>
  <c r="E28" i="103"/>
  <c r="D29" i="103"/>
  <c r="E29" i="103"/>
  <c r="D30" i="103"/>
  <c r="E30" i="103"/>
  <c r="D31" i="103"/>
  <c r="E31" i="103"/>
  <c r="D32" i="103"/>
  <c r="E32" i="103"/>
  <c r="D33" i="103"/>
  <c r="E33" i="103"/>
  <c r="D34" i="103"/>
  <c r="E34" i="103"/>
  <c r="D35" i="103"/>
  <c r="E35" i="103"/>
  <c r="D36" i="103"/>
  <c r="E36" i="103"/>
  <c r="D37" i="103"/>
  <c r="E37" i="103"/>
  <c r="D38" i="103"/>
  <c r="E38" i="103"/>
  <c r="D39" i="103"/>
  <c r="E39" i="103"/>
  <c r="D40" i="103"/>
  <c r="E40" i="103"/>
  <c r="D41" i="103"/>
  <c r="E41" i="103"/>
  <c r="D42" i="103"/>
  <c r="E42" i="103"/>
  <c r="D43" i="103"/>
  <c r="E43" i="103"/>
  <c r="D44" i="103"/>
  <c r="E44" i="103"/>
  <c r="D45" i="103"/>
  <c r="E45" i="103"/>
  <c r="D46" i="103"/>
  <c r="E46" i="103"/>
  <c r="D47" i="103"/>
  <c r="E47" i="103"/>
  <c r="D48" i="103"/>
  <c r="E48" i="103"/>
  <c r="D49" i="103"/>
  <c r="E49" i="103"/>
  <c r="D50" i="103"/>
  <c r="E50" i="103"/>
  <c r="D51" i="103"/>
  <c r="E51" i="103"/>
  <c r="D52" i="103"/>
  <c r="E52" i="103"/>
  <c r="D25" i="55"/>
  <c r="E25" i="55"/>
  <c r="I25" i="55"/>
  <c r="J25" i="55"/>
  <c r="D26" i="55"/>
  <c r="E26" i="55"/>
  <c r="I26" i="55"/>
  <c r="J26" i="55"/>
  <c r="D27" i="55"/>
  <c r="E27" i="55"/>
  <c r="I27" i="55"/>
  <c r="J27" i="55"/>
  <c r="D28" i="55"/>
  <c r="E28" i="55"/>
  <c r="I28" i="55"/>
  <c r="J28" i="55"/>
  <c r="D29" i="55"/>
  <c r="E29" i="55"/>
  <c r="F29" i="55"/>
  <c r="G29" i="55"/>
  <c r="H29" i="55"/>
  <c r="I29" i="55"/>
  <c r="J29" i="55"/>
  <c r="K29" i="55"/>
  <c r="L29" i="55"/>
  <c r="M29" i="55"/>
  <c r="N29" i="55"/>
  <c r="D30" i="55"/>
  <c r="E30" i="55"/>
  <c r="F30" i="55"/>
  <c r="G30" i="55"/>
  <c r="H30" i="55"/>
  <c r="I30" i="55"/>
  <c r="J30" i="55"/>
  <c r="K30" i="55"/>
  <c r="L30" i="55"/>
  <c r="M30" i="55"/>
  <c r="N30" i="55"/>
  <c r="D31" i="55"/>
  <c r="E31" i="55"/>
  <c r="F31" i="55"/>
  <c r="G31" i="55"/>
  <c r="H31" i="55"/>
  <c r="I31" i="55"/>
  <c r="J31" i="55"/>
  <c r="K31" i="55"/>
  <c r="L31" i="55"/>
  <c r="M31" i="55"/>
  <c r="N31" i="55"/>
  <c r="D32" i="55"/>
  <c r="E32" i="55"/>
  <c r="F32" i="55"/>
  <c r="G32" i="55"/>
  <c r="H32" i="55"/>
  <c r="I32" i="55"/>
  <c r="J32" i="55"/>
  <c r="K32" i="55"/>
  <c r="L32" i="55"/>
  <c r="M32" i="55"/>
  <c r="N32" i="55"/>
  <c r="D33" i="55"/>
  <c r="E33" i="55"/>
  <c r="F33" i="55"/>
  <c r="G33" i="55"/>
  <c r="H33" i="55"/>
  <c r="I33" i="55"/>
  <c r="J33" i="55"/>
  <c r="K33" i="55"/>
  <c r="L33" i="55"/>
  <c r="M33" i="55"/>
  <c r="N33" i="55"/>
  <c r="D34" i="55"/>
  <c r="E34" i="55"/>
  <c r="F34" i="55"/>
  <c r="G34" i="55"/>
  <c r="H34" i="55"/>
  <c r="I34" i="55"/>
  <c r="J34" i="55"/>
  <c r="K34" i="55"/>
  <c r="L34" i="55"/>
  <c r="M34" i="55"/>
  <c r="N34" i="55"/>
  <c r="D35" i="55"/>
  <c r="E35" i="55"/>
  <c r="F35" i="55"/>
  <c r="G35" i="55"/>
  <c r="H35" i="55"/>
  <c r="I35" i="55"/>
  <c r="J35" i="55"/>
  <c r="K35" i="55"/>
  <c r="L35" i="55"/>
  <c r="M35" i="55"/>
  <c r="N35" i="55"/>
  <c r="D36" i="55"/>
  <c r="E36" i="55"/>
  <c r="F36" i="55"/>
  <c r="G36" i="55"/>
  <c r="H36" i="55"/>
  <c r="I36" i="55"/>
  <c r="J36" i="55"/>
  <c r="K36" i="55"/>
  <c r="L36" i="55"/>
  <c r="M36" i="55"/>
  <c r="N36" i="55"/>
  <c r="D37" i="55"/>
  <c r="E37" i="55"/>
  <c r="F37" i="55"/>
  <c r="G37" i="55"/>
  <c r="H37" i="55"/>
  <c r="I37" i="55"/>
  <c r="J37" i="55"/>
  <c r="K37" i="55"/>
  <c r="L37" i="55"/>
  <c r="M37" i="55"/>
  <c r="N37" i="55"/>
  <c r="D38" i="55"/>
  <c r="E38" i="55"/>
  <c r="F38" i="55"/>
  <c r="G38" i="55"/>
  <c r="H38" i="55"/>
  <c r="I38" i="55"/>
  <c r="J38" i="55"/>
  <c r="K38" i="55"/>
  <c r="L38" i="55"/>
  <c r="M38" i="55"/>
  <c r="N38" i="55"/>
  <c r="D39" i="55"/>
  <c r="E39" i="55"/>
  <c r="F39" i="55"/>
  <c r="G39" i="55"/>
  <c r="H39" i="55"/>
  <c r="I39" i="55"/>
  <c r="J39" i="55"/>
  <c r="K39" i="55"/>
  <c r="L39" i="55"/>
  <c r="M39" i="55"/>
  <c r="N39" i="55"/>
  <c r="D40" i="55"/>
  <c r="E40" i="55"/>
  <c r="F40" i="55"/>
  <c r="G40" i="55"/>
  <c r="H40" i="55"/>
  <c r="I40" i="55"/>
  <c r="J40" i="55"/>
  <c r="K40" i="55"/>
  <c r="L40" i="55"/>
  <c r="M40" i="55"/>
  <c r="N40" i="55"/>
  <c r="D41" i="55"/>
  <c r="E41" i="55"/>
  <c r="F41" i="55"/>
  <c r="G41" i="55"/>
  <c r="H41" i="55"/>
  <c r="I41" i="55"/>
  <c r="J41" i="55"/>
  <c r="K41" i="55"/>
  <c r="L41" i="55"/>
  <c r="M41" i="55"/>
  <c r="N41" i="55"/>
  <c r="D42" i="55"/>
  <c r="E42" i="55"/>
  <c r="F42" i="55"/>
  <c r="G42" i="55"/>
  <c r="H42" i="55"/>
  <c r="I42" i="55"/>
  <c r="J42" i="55"/>
  <c r="K42" i="55"/>
  <c r="L42" i="55"/>
  <c r="M42" i="55"/>
  <c r="N42" i="55"/>
  <c r="D43" i="55"/>
  <c r="E43" i="55"/>
  <c r="F43" i="55"/>
  <c r="G43" i="55"/>
  <c r="H43" i="55"/>
  <c r="I43" i="55"/>
  <c r="J43" i="55"/>
  <c r="K43" i="55"/>
  <c r="L43" i="55"/>
  <c r="M43" i="55"/>
  <c r="N43" i="55"/>
  <c r="D44" i="55"/>
  <c r="E44" i="55"/>
  <c r="F44" i="55"/>
  <c r="G44" i="55"/>
  <c r="H44" i="55"/>
  <c r="I44" i="55"/>
  <c r="J44" i="55"/>
  <c r="K44" i="55"/>
  <c r="L44" i="55"/>
  <c r="M44" i="55"/>
  <c r="N44" i="55"/>
  <c r="D45" i="55"/>
  <c r="E45" i="55"/>
  <c r="F45" i="55"/>
  <c r="G45" i="55"/>
  <c r="H45" i="55"/>
  <c r="I45" i="55"/>
  <c r="J45" i="55"/>
  <c r="K45" i="55"/>
  <c r="L45" i="55"/>
  <c r="M45" i="55"/>
  <c r="N45" i="55"/>
  <c r="D46" i="55"/>
  <c r="E46" i="55"/>
  <c r="F46" i="55"/>
  <c r="G46" i="55"/>
  <c r="H46" i="55"/>
  <c r="I46" i="55"/>
  <c r="J46" i="55"/>
  <c r="K46" i="55"/>
  <c r="L46" i="55"/>
  <c r="M46" i="55"/>
  <c r="N46" i="55"/>
  <c r="D47" i="55"/>
  <c r="E47" i="55"/>
  <c r="F47" i="55"/>
  <c r="G47" i="55"/>
  <c r="H47" i="55"/>
  <c r="I47" i="55"/>
  <c r="J47" i="55"/>
  <c r="K47" i="55"/>
  <c r="L47" i="55"/>
  <c r="M47" i="55"/>
  <c r="N47" i="55"/>
  <c r="D48" i="55"/>
  <c r="E48" i="55"/>
  <c r="F48" i="55"/>
  <c r="G48" i="55"/>
  <c r="H48" i="55"/>
  <c r="I48" i="55"/>
  <c r="J48" i="55"/>
  <c r="K48" i="55"/>
  <c r="L48" i="55"/>
  <c r="M48" i="55"/>
  <c r="N48" i="55"/>
  <c r="O48" i="55"/>
  <c r="D49" i="55"/>
  <c r="E49" i="55"/>
  <c r="F49" i="55"/>
  <c r="G49" i="55"/>
  <c r="H49" i="55"/>
  <c r="I49" i="55"/>
  <c r="J49" i="55"/>
  <c r="K49" i="55"/>
  <c r="L49" i="55"/>
  <c r="M49" i="55"/>
  <c r="N49" i="55"/>
  <c r="O49" i="55"/>
  <c r="D50" i="55"/>
  <c r="E50" i="55"/>
  <c r="F50" i="55"/>
  <c r="G50" i="55"/>
  <c r="H50" i="55"/>
  <c r="I50" i="55"/>
  <c r="J50" i="55"/>
  <c r="K50" i="55"/>
  <c r="L50" i="55"/>
  <c r="M50" i="55"/>
  <c r="N50" i="55"/>
  <c r="O50" i="55"/>
  <c r="D51" i="55"/>
  <c r="E51" i="55"/>
  <c r="F51" i="55"/>
  <c r="G51" i="55"/>
  <c r="H51" i="55"/>
  <c r="I51" i="55"/>
  <c r="J51" i="55"/>
  <c r="K51" i="55"/>
  <c r="L51" i="55"/>
  <c r="M51" i="55"/>
  <c r="N51" i="55"/>
  <c r="O51" i="55"/>
  <c r="D52" i="55"/>
  <c r="E52" i="55"/>
  <c r="F52" i="55"/>
  <c r="G52" i="55"/>
  <c r="H52" i="55"/>
  <c r="I52" i="55"/>
  <c r="J52" i="55"/>
  <c r="K52" i="55"/>
  <c r="L52" i="55"/>
  <c r="M52" i="55"/>
  <c r="N52" i="55"/>
  <c r="O52" i="55"/>
  <c r="D53" i="55"/>
  <c r="E53" i="55"/>
  <c r="F53" i="55"/>
  <c r="G53" i="55"/>
  <c r="H53" i="55"/>
  <c r="I53" i="55"/>
  <c r="J53" i="55"/>
  <c r="K53" i="55"/>
  <c r="L53" i="55"/>
  <c r="M53" i="55"/>
  <c r="N53" i="55"/>
  <c r="O53" i="55"/>
  <c r="D54" i="55"/>
  <c r="E54" i="55"/>
  <c r="F54" i="55"/>
  <c r="G54" i="55"/>
  <c r="H54" i="55"/>
  <c r="I54" i="55"/>
  <c r="J54" i="55"/>
  <c r="K54" i="55"/>
  <c r="L54" i="55"/>
  <c r="M54" i="55"/>
  <c r="N54" i="55"/>
  <c r="O54" i="55"/>
  <c r="D55" i="55"/>
  <c r="E55" i="55"/>
  <c r="F55" i="55"/>
  <c r="G55" i="55"/>
  <c r="H55" i="55"/>
  <c r="I55" i="55"/>
  <c r="J55" i="55"/>
  <c r="K55" i="55"/>
  <c r="L55" i="55"/>
  <c r="M55" i="55"/>
  <c r="N55" i="55"/>
  <c r="O55" i="55"/>
  <c r="D56" i="55"/>
  <c r="E56" i="55"/>
  <c r="F56" i="55"/>
  <c r="G56" i="55"/>
  <c r="H56" i="55"/>
  <c r="I56" i="55"/>
  <c r="J56" i="55"/>
  <c r="K56" i="55"/>
  <c r="L56" i="55"/>
  <c r="M56" i="55"/>
  <c r="N56" i="55"/>
  <c r="O56" i="55"/>
  <c r="D57" i="55"/>
  <c r="E57" i="55"/>
  <c r="F57" i="55"/>
  <c r="G57" i="55"/>
  <c r="H57" i="55"/>
  <c r="I57" i="55"/>
  <c r="J57" i="55"/>
  <c r="K57" i="55"/>
  <c r="L57" i="55"/>
  <c r="M57" i="55"/>
  <c r="N57" i="55"/>
  <c r="O57" i="55"/>
  <c r="D58" i="55"/>
  <c r="E58" i="55"/>
  <c r="F58" i="55"/>
  <c r="G58" i="55"/>
  <c r="H58" i="55"/>
  <c r="I58" i="55"/>
  <c r="J58" i="55"/>
  <c r="K58" i="55"/>
  <c r="L58" i="55"/>
  <c r="M58" i="55"/>
  <c r="N58" i="55"/>
  <c r="O58" i="55"/>
  <c r="D59" i="55"/>
  <c r="E59" i="55"/>
  <c r="F59" i="55"/>
  <c r="G59" i="55"/>
  <c r="H59" i="55"/>
  <c r="I59" i="55"/>
  <c r="J59" i="55"/>
  <c r="K59" i="55"/>
  <c r="L59" i="55"/>
  <c r="M59" i="55"/>
  <c r="N59" i="55"/>
  <c r="O59" i="55"/>
  <c r="D60" i="55"/>
  <c r="E60" i="55"/>
  <c r="F60" i="55"/>
  <c r="G60" i="55"/>
  <c r="H60" i="55"/>
  <c r="I60" i="55"/>
  <c r="J60" i="55"/>
  <c r="K60" i="55"/>
  <c r="L60" i="55"/>
  <c r="M60" i="55"/>
  <c r="N60" i="55"/>
  <c r="O60" i="55"/>
  <c r="D61" i="55"/>
  <c r="E61" i="55"/>
  <c r="F61" i="55"/>
  <c r="G61" i="55"/>
  <c r="H61" i="55"/>
  <c r="I61" i="55"/>
  <c r="J61" i="55"/>
  <c r="K61" i="55"/>
  <c r="L61" i="55"/>
  <c r="M61" i="55"/>
  <c r="N61" i="55"/>
  <c r="O61" i="55"/>
  <c r="D62" i="55"/>
  <c r="E62" i="55"/>
  <c r="F62" i="55"/>
  <c r="G62" i="55"/>
  <c r="H62" i="55"/>
  <c r="I62" i="55"/>
  <c r="J62" i="55"/>
  <c r="K62" i="55"/>
  <c r="L62" i="55"/>
  <c r="M62" i="55"/>
  <c r="N62" i="55"/>
  <c r="O62" i="55"/>
  <c r="D63" i="55"/>
  <c r="E63" i="55"/>
  <c r="F63" i="55"/>
  <c r="G63" i="55"/>
  <c r="H63" i="55"/>
  <c r="I63" i="55"/>
  <c r="J63" i="55"/>
  <c r="K63" i="55"/>
  <c r="L63" i="55"/>
  <c r="M63" i="55"/>
  <c r="N63" i="55"/>
  <c r="O63" i="55"/>
  <c r="D64" i="55"/>
  <c r="E64" i="55"/>
  <c r="F64" i="55"/>
  <c r="G64" i="55"/>
  <c r="H64" i="55"/>
  <c r="I64" i="55"/>
  <c r="J64" i="55"/>
  <c r="K64" i="55"/>
  <c r="L64" i="55"/>
  <c r="M64" i="55"/>
  <c r="N64" i="55"/>
  <c r="O64" i="55"/>
  <c r="D65" i="55"/>
  <c r="E65" i="55"/>
  <c r="F65" i="55"/>
  <c r="G65" i="55"/>
  <c r="H65" i="55"/>
  <c r="I65" i="55"/>
  <c r="J65" i="55"/>
  <c r="K65" i="55"/>
  <c r="L65" i="55"/>
  <c r="M65" i="55"/>
  <c r="N65" i="55"/>
  <c r="O65" i="55"/>
  <c r="D66" i="55"/>
  <c r="E66" i="55"/>
  <c r="F66" i="55"/>
  <c r="G66" i="55"/>
  <c r="H66" i="55"/>
  <c r="I66" i="55"/>
  <c r="J66" i="55"/>
  <c r="K66" i="55"/>
  <c r="L66" i="55"/>
  <c r="M66" i="55"/>
  <c r="N66" i="55"/>
  <c r="O66" i="55"/>
  <c r="D67" i="55"/>
  <c r="E67" i="55"/>
  <c r="F67" i="55"/>
  <c r="G67" i="55"/>
  <c r="H67" i="55"/>
  <c r="I67" i="55"/>
  <c r="J67" i="55"/>
  <c r="K67" i="55"/>
  <c r="L67" i="55"/>
  <c r="M67" i="55"/>
  <c r="N67" i="55"/>
  <c r="O67" i="55"/>
  <c r="D68" i="55"/>
  <c r="E68" i="55"/>
  <c r="F68" i="55"/>
  <c r="G68" i="55"/>
  <c r="H68" i="55"/>
  <c r="I68" i="55"/>
  <c r="J68" i="55"/>
  <c r="K68" i="55"/>
  <c r="L68" i="55"/>
  <c r="M68" i="55"/>
  <c r="N68" i="55"/>
  <c r="O68" i="55"/>
  <c r="D69" i="55"/>
  <c r="E69" i="55"/>
  <c r="F69" i="55"/>
  <c r="G69" i="55"/>
  <c r="H69" i="55"/>
  <c r="I69" i="55"/>
  <c r="J69" i="55"/>
  <c r="K69" i="55"/>
  <c r="L69" i="55"/>
  <c r="M69" i="55"/>
  <c r="N69" i="55"/>
  <c r="O69" i="55"/>
  <c r="C18" i="76"/>
  <c r="D18" i="76"/>
  <c r="E18" i="76"/>
  <c r="F18" i="76"/>
  <c r="C19" i="76"/>
  <c r="D19" i="76"/>
  <c r="E19" i="76"/>
  <c r="F19" i="76"/>
  <c r="C20" i="76"/>
  <c r="D20" i="76"/>
  <c r="E20" i="76"/>
  <c r="F20" i="76"/>
  <c r="C21" i="76"/>
  <c r="D21" i="76"/>
  <c r="E21" i="76"/>
  <c r="F21" i="76"/>
  <c r="C22" i="76"/>
  <c r="D22" i="76"/>
  <c r="E22" i="76"/>
  <c r="F22" i="76"/>
  <c r="C23" i="76"/>
  <c r="D23" i="76"/>
  <c r="E23" i="76"/>
  <c r="F23" i="76"/>
  <c r="C24" i="76"/>
  <c r="D24" i="76"/>
  <c r="E24" i="76"/>
  <c r="F24" i="76"/>
  <c r="C25" i="76"/>
  <c r="D25" i="76"/>
  <c r="E25" i="76"/>
  <c r="F25" i="76"/>
  <c r="C26" i="76"/>
  <c r="D26" i="76"/>
  <c r="E26" i="76"/>
  <c r="F26" i="76"/>
  <c r="C27" i="76"/>
  <c r="D27" i="76"/>
  <c r="E27" i="76"/>
  <c r="F27" i="76"/>
  <c r="C28" i="76"/>
  <c r="D28" i="76"/>
  <c r="E28" i="76"/>
  <c r="F28" i="76"/>
  <c r="C29" i="76"/>
  <c r="D29" i="76"/>
  <c r="E29" i="76"/>
  <c r="F29" i="76"/>
  <c r="C30" i="76"/>
  <c r="D30" i="76"/>
  <c r="E30" i="76"/>
  <c r="F30" i="76"/>
  <c r="C31" i="76"/>
  <c r="D31" i="76"/>
  <c r="E31" i="76"/>
  <c r="F31" i="76"/>
  <c r="C32" i="76"/>
  <c r="D32" i="76"/>
  <c r="E32" i="76"/>
  <c r="F32" i="76"/>
  <c r="C33" i="76"/>
  <c r="D33" i="76"/>
  <c r="E33" i="76"/>
  <c r="F33" i="76"/>
  <c r="C34" i="76"/>
  <c r="D34" i="76"/>
  <c r="E34" i="76"/>
  <c r="F34" i="76"/>
  <c r="C35" i="76"/>
  <c r="D35" i="76"/>
  <c r="E35" i="76"/>
  <c r="F35" i="76"/>
  <c r="C36" i="76"/>
  <c r="D36" i="76"/>
  <c r="E36" i="76"/>
  <c r="F36" i="76"/>
  <c r="C37" i="76"/>
  <c r="D37" i="76"/>
  <c r="E37" i="76"/>
  <c r="F37" i="76"/>
  <c r="C38" i="76"/>
  <c r="D38" i="76"/>
  <c r="E38" i="76"/>
  <c r="F38" i="76"/>
  <c r="C39" i="76"/>
  <c r="D39" i="76"/>
  <c r="E39" i="76"/>
  <c r="F39" i="76"/>
  <c r="C40" i="76"/>
  <c r="D40" i="76"/>
  <c r="E40" i="76"/>
  <c r="F40" i="76"/>
  <c r="C41" i="76"/>
  <c r="D41" i="76"/>
  <c r="E41" i="76"/>
  <c r="F41" i="76"/>
  <c r="C42" i="76"/>
  <c r="D42" i="76"/>
  <c r="E42" i="76"/>
  <c r="F42" i="76"/>
  <c r="C43" i="76"/>
  <c r="D43" i="76"/>
  <c r="E43" i="76"/>
  <c r="F43" i="76"/>
  <c r="C44" i="76"/>
  <c r="D44" i="76"/>
  <c r="E44" i="76"/>
  <c r="F44" i="76"/>
  <c r="C45" i="76"/>
  <c r="D45" i="76"/>
  <c r="E45" i="76"/>
  <c r="F45" i="76"/>
  <c r="C46" i="76"/>
  <c r="D46" i="76"/>
  <c r="E46" i="76"/>
  <c r="F46" i="76"/>
  <c r="C47" i="76"/>
  <c r="D47" i="76"/>
  <c r="E47" i="76"/>
  <c r="F47" i="76"/>
  <c r="C48" i="76"/>
  <c r="D48" i="76"/>
  <c r="E48" i="76"/>
  <c r="F48" i="76"/>
  <c r="C49" i="76"/>
  <c r="D49" i="76"/>
  <c r="E49" i="76"/>
  <c r="F49" i="76"/>
  <c r="C50" i="76"/>
  <c r="D50" i="76"/>
  <c r="E50" i="76"/>
  <c r="F50" i="76"/>
  <c r="C51" i="76"/>
  <c r="D51" i="76"/>
  <c r="E51" i="76"/>
  <c r="F51" i="76"/>
  <c r="C52" i="76"/>
  <c r="D52" i="76"/>
  <c r="E52" i="76"/>
  <c r="F52" i="76"/>
  <c r="C53" i="76"/>
  <c r="D53" i="76"/>
  <c r="E53" i="76"/>
  <c r="F53" i="76"/>
  <c r="C54" i="76"/>
  <c r="D54" i="76"/>
  <c r="E54" i="76"/>
  <c r="F54" i="76"/>
  <c r="C55" i="76"/>
  <c r="D55" i="76"/>
  <c r="E55" i="76"/>
  <c r="F55" i="76"/>
  <c r="C56" i="76"/>
  <c r="D56" i="76"/>
  <c r="E56" i="76"/>
  <c r="F56" i="76"/>
  <c r="C57" i="76"/>
  <c r="D57" i="76"/>
  <c r="E57" i="76"/>
  <c r="F57" i="76"/>
  <c r="C58" i="76"/>
  <c r="D58" i="76"/>
  <c r="E58" i="76"/>
  <c r="F58" i="76"/>
  <c r="C59" i="76"/>
  <c r="D59" i="76"/>
  <c r="E59" i="76"/>
  <c r="F59" i="76"/>
  <c r="C60" i="76"/>
  <c r="D60" i="76"/>
  <c r="E60" i="76"/>
  <c r="F60" i="76"/>
  <c r="C61" i="76"/>
  <c r="D61" i="76"/>
  <c r="E61" i="76"/>
  <c r="F61" i="76"/>
  <c r="C62" i="76"/>
  <c r="D62" i="76"/>
  <c r="E62" i="76"/>
  <c r="F62" i="76"/>
  <c r="C63" i="76"/>
  <c r="D63" i="76"/>
  <c r="E63" i="76"/>
  <c r="F63" i="76"/>
  <c r="C64" i="76"/>
  <c r="D64" i="76"/>
  <c r="E64" i="76"/>
  <c r="F64" i="76"/>
  <c r="D6" i="56"/>
  <c r="E10" i="56"/>
  <c r="F10" i="56"/>
  <c r="G10" i="56"/>
  <c r="H10" i="56"/>
  <c r="E11" i="56"/>
  <c r="F11" i="56"/>
  <c r="G11" i="56"/>
  <c r="H11" i="56"/>
  <c r="E12" i="56"/>
  <c r="F12" i="56"/>
  <c r="G12" i="56"/>
  <c r="H12" i="56"/>
  <c r="E13" i="56"/>
  <c r="F13" i="56"/>
  <c r="G13" i="56"/>
  <c r="H13" i="56"/>
  <c r="E14" i="56"/>
  <c r="F14" i="56"/>
  <c r="G14" i="56"/>
  <c r="H14" i="56"/>
  <c r="E15" i="56"/>
  <c r="F15" i="56"/>
  <c r="G15" i="56"/>
  <c r="H15" i="56"/>
  <c r="E16" i="56"/>
  <c r="F16" i="56"/>
  <c r="G16" i="56"/>
  <c r="H16" i="56"/>
  <c r="E17" i="56"/>
  <c r="F17" i="56"/>
  <c r="G17" i="56"/>
  <c r="H17" i="56"/>
  <c r="E18" i="56"/>
  <c r="F18" i="56"/>
  <c r="G18" i="56"/>
  <c r="H18" i="56"/>
  <c r="E19" i="56"/>
  <c r="F19" i="56"/>
  <c r="G19" i="56"/>
  <c r="H19" i="56"/>
  <c r="E20" i="56"/>
  <c r="F20" i="56"/>
  <c r="G20" i="56"/>
  <c r="H20" i="56"/>
  <c r="E21" i="56"/>
  <c r="F21" i="56"/>
  <c r="G21" i="56"/>
  <c r="H21" i="56"/>
  <c r="E22" i="56"/>
  <c r="F22" i="56"/>
  <c r="G22" i="56"/>
  <c r="H22" i="56"/>
  <c r="E23" i="56"/>
  <c r="F23" i="56"/>
  <c r="G23" i="56"/>
  <c r="H23" i="56"/>
  <c r="E24" i="56"/>
  <c r="F24" i="56"/>
  <c r="G24" i="56"/>
  <c r="H24" i="56"/>
  <c r="E25" i="56"/>
  <c r="F25" i="56"/>
  <c r="G25" i="56"/>
  <c r="H25" i="56"/>
  <c r="E26" i="56"/>
  <c r="F26" i="56"/>
  <c r="G26" i="56"/>
  <c r="H26" i="56"/>
  <c r="E27" i="56"/>
  <c r="F27" i="56"/>
  <c r="G27" i="56"/>
  <c r="H27" i="56"/>
  <c r="E28" i="56"/>
  <c r="F28" i="56"/>
  <c r="G28" i="56"/>
  <c r="H28" i="56"/>
  <c r="E29" i="56"/>
  <c r="F29" i="56"/>
  <c r="G29" i="56"/>
  <c r="H29" i="56"/>
  <c r="E30" i="56"/>
  <c r="F30" i="56"/>
  <c r="G30" i="56"/>
  <c r="H30" i="56"/>
  <c r="E31" i="56"/>
  <c r="F31" i="56"/>
  <c r="G31" i="56"/>
  <c r="H31" i="56"/>
  <c r="E32" i="56"/>
  <c r="F32" i="56"/>
  <c r="G32" i="56"/>
  <c r="H32" i="56"/>
  <c r="E33" i="56"/>
  <c r="F33" i="56"/>
  <c r="G33" i="56"/>
  <c r="H33" i="56"/>
  <c r="E34" i="56"/>
  <c r="F34" i="56"/>
  <c r="G34" i="56"/>
  <c r="H34" i="56"/>
  <c r="E35" i="56"/>
  <c r="F35" i="56"/>
  <c r="G35" i="56"/>
  <c r="H35" i="56"/>
  <c r="E36" i="56"/>
  <c r="F36" i="56"/>
  <c r="G36" i="56"/>
  <c r="H36" i="56"/>
  <c r="E37" i="56"/>
  <c r="F37" i="56"/>
  <c r="G37" i="56"/>
  <c r="H37" i="56"/>
  <c r="E38" i="56"/>
  <c r="F38" i="56"/>
  <c r="G38" i="56"/>
  <c r="H38" i="56"/>
  <c r="E39" i="56"/>
  <c r="F39" i="56"/>
  <c r="G39" i="56"/>
  <c r="H39" i="56"/>
  <c r="E40" i="56"/>
  <c r="F40" i="56"/>
  <c r="G40" i="56"/>
  <c r="H40" i="56"/>
  <c r="E41" i="56"/>
  <c r="F41" i="56"/>
  <c r="G41" i="56"/>
  <c r="H41" i="56"/>
  <c r="E42" i="56"/>
  <c r="F42" i="56"/>
  <c r="G42" i="56"/>
  <c r="H42" i="56"/>
  <c r="E43" i="56"/>
  <c r="F43" i="56"/>
  <c r="G43" i="56"/>
  <c r="H43" i="56"/>
  <c r="E44" i="56"/>
  <c r="F44" i="56"/>
  <c r="G44" i="56"/>
  <c r="H44" i="56"/>
  <c r="E45" i="56"/>
  <c r="F45" i="56"/>
  <c r="G45" i="56"/>
  <c r="H45" i="56"/>
  <c r="E46" i="56"/>
  <c r="F46" i="56"/>
  <c r="G46" i="56"/>
  <c r="H46" i="56"/>
  <c r="E47" i="56"/>
  <c r="F47" i="56"/>
  <c r="G47" i="56"/>
  <c r="H47" i="56"/>
  <c r="E48" i="56"/>
  <c r="F48" i="56"/>
  <c r="G48" i="56"/>
  <c r="H48" i="56"/>
  <c r="E49" i="56"/>
  <c r="F49" i="56"/>
  <c r="G49" i="56"/>
  <c r="H49" i="56"/>
  <c r="E50" i="56"/>
  <c r="F50" i="56"/>
  <c r="G50" i="56"/>
  <c r="H50" i="56"/>
  <c r="E51" i="56"/>
  <c r="F51" i="56"/>
  <c r="G51" i="56"/>
  <c r="H51" i="56"/>
  <c r="E52" i="56"/>
  <c r="F52" i="56"/>
  <c r="G52" i="56"/>
  <c r="H52" i="56"/>
  <c r="E53" i="56"/>
  <c r="F53" i="56"/>
  <c r="G53" i="56"/>
  <c r="H53" i="56"/>
  <c r="E54" i="56"/>
  <c r="F54" i="56"/>
  <c r="G54" i="56"/>
  <c r="H54" i="56"/>
  <c r="E55" i="56"/>
  <c r="F55" i="56"/>
  <c r="G55" i="56"/>
  <c r="H55" i="56"/>
  <c r="E56" i="56"/>
  <c r="F56" i="56"/>
  <c r="G56" i="56"/>
  <c r="H56" i="56"/>
  <c r="E57" i="56"/>
  <c r="F57" i="56"/>
  <c r="G57" i="56"/>
  <c r="H57" i="56"/>
  <c r="E58" i="56"/>
  <c r="F58" i="56"/>
  <c r="G58" i="56"/>
  <c r="H58" i="56"/>
  <c r="E59" i="56"/>
  <c r="F59" i="56"/>
  <c r="G59" i="56"/>
  <c r="H59" i="56"/>
  <c r="E60" i="56"/>
  <c r="F60" i="56"/>
  <c r="G60" i="56"/>
  <c r="H60" i="56"/>
  <c r="E61" i="56"/>
  <c r="F61" i="56"/>
  <c r="G61" i="56"/>
  <c r="H61" i="56"/>
  <c r="E62" i="56"/>
  <c r="F62" i="56"/>
  <c r="G62" i="56"/>
  <c r="H62" i="56"/>
  <c r="E63" i="56"/>
  <c r="F63" i="56"/>
  <c r="G63" i="56"/>
  <c r="H63" i="56"/>
  <c r="E64" i="56"/>
  <c r="F64" i="56"/>
  <c r="G64" i="56"/>
  <c r="H64" i="56"/>
  <c r="E65" i="56"/>
  <c r="F65" i="56"/>
  <c r="G65" i="56"/>
  <c r="H65" i="56"/>
  <c r="E66" i="56"/>
  <c r="F66" i="56"/>
  <c r="G66" i="56"/>
  <c r="H66" i="56"/>
  <c r="E67" i="56"/>
  <c r="F67" i="56"/>
  <c r="G67" i="56"/>
  <c r="H67" i="56"/>
  <c r="E68" i="56"/>
  <c r="F68" i="56"/>
  <c r="G68" i="56"/>
  <c r="H68" i="56"/>
  <c r="E69" i="56"/>
  <c r="F69" i="56"/>
  <c r="G69" i="56"/>
  <c r="H69" i="56"/>
  <c r="E70" i="56"/>
  <c r="F70" i="56"/>
  <c r="G70" i="56"/>
  <c r="H70" i="56"/>
  <c r="E71" i="56"/>
  <c r="F71" i="56"/>
  <c r="G71" i="56"/>
  <c r="H71" i="56"/>
  <c r="E72" i="56"/>
  <c r="F72" i="56"/>
  <c r="G72" i="56"/>
  <c r="H72" i="56"/>
  <c r="E73" i="56"/>
  <c r="F73" i="56"/>
  <c r="G73" i="56"/>
  <c r="H73" i="56"/>
  <c r="E74" i="56"/>
  <c r="F74" i="56"/>
  <c r="G74" i="56"/>
  <c r="H74" i="56"/>
  <c r="E75" i="56"/>
  <c r="F75" i="56"/>
  <c r="G75" i="56"/>
  <c r="H75" i="56"/>
  <c r="E76" i="56"/>
  <c r="F76" i="56"/>
  <c r="G76" i="56"/>
  <c r="H76" i="56"/>
  <c r="E77" i="56"/>
  <c r="F77" i="56"/>
  <c r="G77" i="56"/>
  <c r="H77" i="56"/>
  <c r="E78" i="56"/>
  <c r="F78" i="56"/>
  <c r="G78" i="56"/>
  <c r="H78" i="56"/>
  <c r="E79" i="56"/>
  <c r="F79" i="56"/>
  <c r="G79" i="56"/>
  <c r="H79" i="56"/>
  <c r="E80" i="56"/>
  <c r="F80" i="56"/>
  <c r="G80" i="56"/>
  <c r="H80" i="56"/>
  <c r="E81" i="56"/>
  <c r="F81" i="56"/>
  <c r="G81" i="56"/>
  <c r="H81" i="56"/>
  <c r="E82" i="56"/>
  <c r="F82" i="56"/>
  <c r="G82" i="56"/>
  <c r="H82" i="56"/>
  <c r="E83" i="56"/>
  <c r="F83" i="56"/>
  <c r="G83" i="56"/>
  <c r="H83" i="56"/>
  <c r="E84" i="56"/>
  <c r="F84" i="56"/>
  <c r="G84" i="56"/>
  <c r="H84" i="56"/>
  <c r="E85" i="56"/>
  <c r="F85" i="56"/>
  <c r="G85" i="56"/>
  <c r="H85" i="56"/>
  <c r="E86" i="56"/>
  <c r="F86" i="56"/>
  <c r="G86" i="56"/>
  <c r="H86" i="56"/>
  <c r="E87" i="56"/>
  <c r="F87" i="56"/>
  <c r="G87" i="56"/>
  <c r="H87" i="56"/>
  <c r="E88" i="56"/>
  <c r="F88" i="56"/>
  <c r="G88" i="56"/>
  <c r="H88" i="56"/>
  <c r="E89" i="56"/>
  <c r="F89" i="56"/>
  <c r="G89" i="56"/>
  <c r="H89" i="56"/>
  <c r="E90" i="56"/>
  <c r="F90" i="56"/>
  <c r="G90" i="56"/>
  <c r="H90" i="56"/>
  <c r="E91" i="56"/>
  <c r="F91" i="56"/>
  <c r="G91" i="56"/>
  <c r="H91" i="56"/>
  <c r="E92" i="56"/>
  <c r="F92" i="56"/>
  <c r="G92" i="56"/>
  <c r="H92" i="56"/>
  <c r="E93" i="56"/>
  <c r="F93" i="56"/>
  <c r="G93" i="56"/>
  <c r="H93" i="56"/>
  <c r="E94" i="56"/>
  <c r="F94" i="56"/>
  <c r="G94" i="56"/>
  <c r="H94" i="56"/>
  <c r="E95" i="56"/>
  <c r="F95" i="56"/>
  <c r="G95" i="56"/>
  <c r="H95" i="56"/>
  <c r="E96" i="56"/>
  <c r="F96" i="56"/>
  <c r="G96" i="56"/>
  <c r="H96" i="56"/>
  <c r="E97" i="56"/>
  <c r="F97" i="56"/>
  <c r="G97" i="56"/>
  <c r="H97" i="56"/>
  <c r="E98" i="56"/>
  <c r="F98" i="56"/>
  <c r="G98" i="56"/>
  <c r="H98" i="56"/>
  <c r="E99" i="56"/>
  <c r="F99" i="56"/>
  <c r="G99" i="56"/>
  <c r="H99" i="56"/>
  <c r="E100" i="56"/>
  <c r="F100" i="56"/>
  <c r="G100" i="56"/>
  <c r="H100" i="56"/>
  <c r="E101" i="56"/>
  <c r="F101" i="56"/>
  <c r="G101" i="56"/>
  <c r="H101" i="56"/>
  <c r="E102" i="56"/>
  <c r="F102" i="56"/>
  <c r="G102" i="56"/>
  <c r="H102" i="56"/>
  <c r="D24" i="86"/>
  <c r="D25" i="86"/>
  <c r="D26" i="86"/>
  <c r="D27" i="86"/>
  <c r="D28" i="86"/>
  <c r="D29" i="86"/>
  <c r="D30" i="86"/>
  <c r="D31" i="86"/>
  <c r="D32" i="86"/>
  <c r="D33" i="86"/>
  <c r="D34" i="86"/>
  <c r="D35" i="86"/>
  <c r="D36" i="86"/>
  <c r="D37" i="86"/>
  <c r="D38" i="86"/>
  <c r="D39" i="86"/>
  <c r="D40" i="86"/>
  <c r="D41" i="86"/>
  <c r="D42" i="86"/>
  <c r="D43" i="86"/>
  <c r="D44" i="86"/>
  <c r="D45" i="86"/>
  <c r="D46" i="86"/>
  <c r="D47" i="86"/>
  <c r="D48" i="86"/>
  <c r="D49" i="86"/>
  <c r="D21" i="57"/>
  <c r="E21" i="57"/>
  <c r="F21" i="57"/>
  <c r="G21" i="57"/>
  <c r="H21" i="57"/>
  <c r="D22" i="57"/>
  <c r="E22" i="57"/>
  <c r="F22" i="57"/>
  <c r="G22" i="57"/>
  <c r="H22" i="57"/>
  <c r="D23" i="57"/>
  <c r="E23" i="57"/>
  <c r="F23" i="57"/>
  <c r="G23" i="57"/>
  <c r="H23" i="57"/>
  <c r="D24" i="57"/>
  <c r="E24" i="57"/>
  <c r="F24" i="57"/>
  <c r="G24" i="57"/>
  <c r="H24" i="57"/>
  <c r="D25" i="57"/>
  <c r="E25" i="57"/>
  <c r="F25" i="57"/>
  <c r="G25" i="57"/>
  <c r="H25" i="57"/>
  <c r="D26" i="57"/>
  <c r="E26" i="57"/>
  <c r="F26" i="57"/>
  <c r="G26" i="57"/>
  <c r="H26" i="57"/>
  <c r="D27" i="57"/>
  <c r="E27" i="57"/>
  <c r="F27" i="57"/>
  <c r="G27" i="57"/>
  <c r="H27" i="57"/>
  <c r="D28" i="57"/>
  <c r="E28" i="57"/>
  <c r="F28" i="57"/>
  <c r="G28" i="57"/>
  <c r="H28" i="57"/>
  <c r="D29" i="57"/>
  <c r="E29" i="57"/>
  <c r="F29" i="57"/>
  <c r="G29" i="57"/>
  <c r="H29" i="57"/>
  <c r="D30" i="57"/>
  <c r="E30" i="57"/>
  <c r="F30" i="57"/>
  <c r="G30" i="57"/>
  <c r="H30" i="57"/>
  <c r="D31" i="57"/>
  <c r="E31" i="57"/>
  <c r="F31" i="57"/>
  <c r="G31" i="57"/>
  <c r="H31" i="57"/>
  <c r="D32" i="57"/>
  <c r="E32" i="57"/>
  <c r="F32" i="57"/>
  <c r="G32" i="57"/>
  <c r="H32" i="57"/>
  <c r="D33" i="57"/>
  <c r="E33" i="57"/>
  <c r="F33" i="57"/>
  <c r="G33" i="57"/>
  <c r="H33" i="57"/>
  <c r="D34" i="57"/>
  <c r="E34" i="57"/>
  <c r="F34" i="57"/>
  <c r="G34" i="57"/>
  <c r="H34" i="57"/>
  <c r="D35" i="57"/>
  <c r="E35" i="57"/>
  <c r="F35" i="57"/>
  <c r="G35" i="57"/>
  <c r="H35" i="57"/>
  <c r="D36" i="57"/>
  <c r="E36" i="57"/>
  <c r="F36" i="57"/>
  <c r="G36" i="57"/>
  <c r="H36" i="57"/>
  <c r="D37" i="57"/>
  <c r="E37" i="57"/>
  <c r="F37" i="57"/>
  <c r="G37" i="57"/>
  <c r="H37" i="57"/>
  <c r="D38" i="57"/>
  <c r="E38" i="57"/>
  <c r="F38" i="57"/>
  <c r="G38" i="57"/>
  <c r="H38" i="57"/>
  <c r="D39" i="57"/>
  <c r="E39" i="57"/>
  <c r="F39" i="57"/>
  <c r="G39" i="57"/>
  <c r="H39" i="57"/>
  <c r="D40" i="57"/>
  <c r="E40" i="57"/>
  <c r="F40" i="57"/>
  <c r="G40" i="57"/>
  <c r="H40" i="57"/>
  <c r="D41" i="57"/>
  <c r="E41" i="57"/>
  <c r="F41" i="57"/>
  <c r="G41" i="57"/>
  <c r="H41" i="57"/>
  <c r="D42" i="57"/>
  <c r="E42" i="57"/>
  <c r="F42" i="57"/>
  <c r="G42" i="57"/>
  <c r="H42" i="57"/>
  <c r="D43" i="57"/>
  <c r="E43" i="57"/>
  <c r="F43" i="57"/>
  <c r="G43" i="57"/>
  <c r="H43" i="57"/>
  <c r="D44" i="57"/>
  <c r="E44" i="57"/>
  <c r="F44" i="57"/>
  <c r="G44" i="57"/>
  <c r="H44" i="57"/>
  <c r="D45" i="57"/>
  <c r="E45" i="57"/>
  <c r="F45" i="57"/>
  <c r="G45" i="57"/>
  <c r="H45" i="57"/>
  <c r="D46" i="57"/>
  <c r="E46" i="57"/>
  <c r="F46" i="57"/>
  <c r="G46" i="57"/>
  <c r="H46" i="57"/>
  <c r="D6" i="58"/>
  <c r="E17" i="58"/>
  <c r="F17" i="58"/>
  <c r="G17" i="58"/>
  <c r="H17" i="58"/>
  <c r="E18" i="58"/>
  <c r="F18" i="58"/>
  <c r="G18" i="58"/>
  <c r="H18" i="58"/>
  <c r="E19" i="58"/>
  <c r="F19" i="58"/>
  <c r="G19" i="58"/>
  <c r="H19" i="58"/>
  <c r="E20" i="58"/>
  <c r="F20" i="58"/>
  <c r="G20" i="58"/>
  <c r="H20" i="58"/>
  <c r="E21" i="58"/>
  <c r="F21" i="58"/>
  <c r="G21" i="58"/>
  <c r="H21" i="58"/>
  <c r="E22" i="58"/>
  <c r="F22" i="58"/>
  <c r="G22" i="58"/>
  <c r="H22" i="58"/>
  <c r="E23" i="58"/>
  <c r="F23" i="58"/>
  <c r="G23" i="58"/>
  <c r="H23" i="58"/>
  <c r="E24" i="58"/>
  <c r="F24" i="58"/>
  <c r="G24" i="58"/>
  <c r="H24" i="58"/>
  <c r="E25" i="58"/>
  <c r="F25" i="58"/>
  <c r="G25" i="58"/>
  <c r="H25" i="58"/>
  <c r="E26" i="58"/>
  <c r="F26" i="58"/>
  <c r="G26" i="58"/>
  <c r="H26" i="58"/>
  <c r="E27" i="58"/>
  <c r="F27" i="58"/>
  <c r="G27" i="58"/>
  <c r="H27" i="58"/>
  <c r="E28" i="58"/>
  <c r="F28" i="58"/>
  <c r="G28" i="58"/>
  <c r="H28" i="58"/>
  <c r="E29" i="58"/>
  <c r="F29" i="58"/>
  <c r="G29" i="58"/>
  <c r="H29" i="58"/>
  <c r="E30" i="58"/>
  <c r="F30" i="58"/>
  <c r="G30" i="58"/>
  <c r="H30" i="58"/>
  <c r="E31" i="58"/>
  <c r="F31" i="58"/>
  <c r="G31" i="58"/>
  <c r="H31" i="58"/>
  <c r="E32" i="58"/>
  <c r="F32" i="58"/>
  <c r="G32" i="58"/>
  <c r="H32" i="58"/>
  <c r="E33" i="58"/>
  <c r="F33" i="58"/>
  <c r="G33" i="58"/>
  <c r="H33" i="58"/>
  <c r="E34" i="58"/>
  <c r="F34" i="58"/>
  <c r="G34" i="58"/>
  <c r="H34" i="58"/>
  <c r="E35" i="58"/>
  <c r="F35" i="58"/>
  <c r="G35" i="58"/>
  <c r="H35" i="58"/>
  <c r="E36" i="58"/>
  <c r="F36" i="58"/>
  <c r="G36" i="58"/>
  <c r="H36" i="58"/>
  <c r="E37" i="58"/>
  <c r="F37" i="58"/>
  <c r="G37" i="58"/>
  <c r="H37" i="58"/>
  <c r="E38" i="58"/>
  <c r="F38" i="58"/>
  <c r="G38" i="58"/>
  <c r="H38" i="58"/>
  <c r="E39" i="58"/>
  <c r="F39" i="58"/>
  <c r="G39" i="58"/>
  <c r="H39" i="58"/>
  <c r="E40" i="58"/>
  <c r="F40" i="58"/>
  <c r="G40" i="58"/>
  <c r="H40" i="58"/>
  <c r="E41" i="58"/>
  <c r="F41" i="58"/>
  <c r="G41" i="58"/>
  <c r="H41" i="58"/>
  <c r="E42" i="58"/>
  <c r="F42" i="58"/>
  <c r="G42" i="58"/>
  <c r="H42" i="58"/>
  <c r="E43" i="58"/>
  <c r="F43" i="58"/>
  <c r="G43" i="58"/>
  <c r="H43" i="58"/>
  <c r="E44" i="58"/>
  <c r="F44" i="58"/>
  <c r="G44" i="58"/>
  <c r="H44" i="58"/>
  <c r="E45" i="58"/>
  <c r="F45" i="58"/>
  <c r="G45" i="58"/>
  <c r="H45" i="58"/>
  <c r="E46" i="58"/>
  <c r="F46" i="58"/>
  <c r="G46" i="58"/>
  <c r="H46" i="58"/>
  <c r="E47" i="58"/>
  <c r="F47" i="58"/>
  <c r="G47" i="58"/>
  <c r="H47" i="58"/>
  <c r="E48" i="58"/>
  <c r="F48" i="58"/>
  <c r="G48" i="58"/>
  <c r="H48" i="58"/>
  <c r="E49" i="58"/>
  <c r="F49" i="58"/>
  <c r="G49" i="58"/>
  <c r="H49" i="58"/>
  <c r="E50" i="58"/>
  <c r="F50" i="58"/>
  <c r="G50" i="58"/>
  <c r="H50" i="58"/>
  <c r="E51" i="58"/>
  <c r="F51" i="58"/>
  <c r="G51" i="58"/>
  <c r="H51" i="58"/>
  <c r="E52" i="58"/>
  <c r="F52" i="58"/>
  <c r="G52" i="58"/>
  <c r="H52" i="58"/>
  <c r="E53" i="58"/>
  <c r="F53" i="58"/>
  <c r="G53" i="58"/>
  <c r="H53" i="58"/>
  <c r="E54" i="58"/>
  <c r="F54" i="58"/>
  <c r="G54" i="58"/>
  <c r="H54" i="58"/>
  <c r="E55" i="58"/>
  <c r="F55" i="58"/>
  <c r="G55" i="58"/>
  <c r="H55" i="58"/>
  <c r="E56" i="58"/>
  <c r="F56" i="58"/>
  <c r="G56" i="58"/>
  <c r="H56" i="58"/>
  <c r="E57" i="58"/>
  <c r="F57" i="58"/>
  <c r="G57" i="58"/>
  <c r="H57" i="58"/>
  <c r="E58" i="58"/>
  <c r="F58" i="58"/>
  <c r="G58" i="58"/>
  <c r="H58" i="58"/>
  <c r="E59" i="58"/>
  <c r="F59" i="58"/>
  <c r="G59" i="58"/>
  <c r="H59" i="58"/>
  <c r="E60" i="58"/>
  <c r="F60" i="58"/>
  <c r="G60" i="58"/>
  <c r="H60" i="58"/>
  <c r="E61" i="58"/>
  <c r="F61" i="58"/>
  <c r="G61" i="58"/>
  <c r="H61" i="58"/>
  <c r="E62" i="58"/>
  <c r="F62" i="58"/>
  <c r="G62" i="58"/>
  <c r="H62" i="58"/>
  <c r="E63" i="58"/>
  <c r="F63" i="58"/>
  <c r="G63" i="58"/>
  <c r="H63" i="58"/>
  <c r="E64" i="58"/>
  <c r="F64" i="58"/>
  <c r="G64" i="58"/>
  <c r="H64" i="58"/>
  <c r="E65" i="58"/>
  <c r="F65" i="58"/>
  <c r="G65" i="58"/>
  <c r="H65" i="58"/>
  <c r="E66" i="58"/>
  <c r="F66" i="58"/>
  <c r="G66" i="58"/>
  <c r="H66" i="58"/>
  <c r="E67" i="58"/>
  <c r="F67" i="58"/>
  <c r="G67" i="58"/>
  <c r="H67" i="58"/>
  <c r="E68" i="58"/>
  <c r="F68" i="58"/>
  <c r="G68" i="58"/>
  <c r="H68" i="58"/>
  <c r="E69" i="58"/>
  <c r="F69" i="58"/>
  <c r="G69" i="58"/>
  <c r="H69" i="58"/>
  <c r="E70" i="58"/>
  <c r="F70" i="58"/>
  <c r="G70" i="58"/>
  <c r="H70" i="58"/>
  <c r="E71" i="58"/>
  <c r="F71" i="58"/>
  <c r="G71" i="58"/>
  <c r="H71" i="58"/>
  <c r="E72" i="58"/>
  <c r="F72" i="58"/>
  <c r="G72" i="58"/>
  <c r="H72" i="58"/>
  <c r="E73" i="58"/>
  <c r="F73" i="58"/>
  <c r="G73" i="58"/>
  <c r="H73" i="58"/>
  <c r="E74" i="58"/>
  <c r="F74" i="58"/>
  <c r="G74" i="58"/>
  <c r="H74" i="58"/>
  <c r="E75" i="58"/>
  <c r="F75" i="58"/>
  <c r="G75" i="58"/>
  <c r="H75" i="58"/>
  <c r="E76" i="58"/>
  <c r="F76" i="58"/>
  <c r="G76" i="58"/>
  <c r="H76" i="58"/>
  <c r="E77" i="58"/>
  <c r="F77" i="58"/>
  <c r="G77" i="58"/>
  <c r="H77" i="58"/>
  <c r="E78" i="58"/>
  <c r="F78" i="58"/>
  <c r="G78" i="58"/>
  <c r="H78" i="58"/>
  <c r="E79" i="58"/>
  <c r="F79" i="58"/>
  <c r="G79" i="58"/>
  <c r="H79" i="58"/>
  <c r="E80" i="58"/>
  <c r="F80" i="58"/>
  <c r="G80" i="58"/>
  <c r="H80" i="58"/>
  <c r="E81" i="58"/>
  <c r="F81" i="58"/>
  <c r="G81" i="58"/>
  <c r="H81" i="58"/>
  <c r="E82" i="58"/>
  <c r="F82" i="58"/>
  <c r="G82" i="58"/>
  <c r="H82" i="58"/>
  <c r="E83" i="58"/>
  <c r="F83" i="58"/>
  <c r="G83" i="58"/>
  <c r="H83" i="58"/>
  <c r="E84" i="58"/>
  <c r="F84" i="58"/>
  <c r="G84" i="58"/>
  <c r="H84" i="58"/>
  <c r="E85" i="58"/>
  <c r="F85" i="58"/>
  <c r="G85" i="58"/>
  <c r="H85" i="58"/>
  <c r="E86" i="58"/>
  <c r="F86" i="58"/>
  <c r="G86" i="58"/>
  <c r="H86" i="58"/>
  <c r="E87" i="58"/>
  <c r="F87" i="58"/>
  <c r="G87" i="58"/>
  <c r="H87" i="58"/>
  <c r="E88" i="58"/>
  <c r="F88" i="58"/>
  <c r="G88" i="58"/>
  <c r="H88" i="58"/>
  <c r="E89" i="58"/>
  <c r="F89" i="58"/>
  <c r="G89" i="58"/>
  <c r="H89" i="58"/>
  <c r="E90" i="58"/>
  <c r="F90" i="58"/>
  <c r="G90" i="58"/>
  <c r="H90" i="58"/>
  <c r="E91" i="58"/>
  <c r="F91" i="58"/>
  <c r="G91" i="58"/>
  <c r="H91" i="58"/>
  <c r="E92" i="58"/>
  <c r="F92" i="58"/>
  <c r="G92" i="58"/>
  <c r="H92" i="58"/>
  <c r="E93" i="58"/>
  <c r="F93" i="58"/>
  <c r="G93" i="58"/>
  <c r="H93" i="58"/>
  <c r="E94" i="58"/>
  <c r="F94" i="58"/>
  <c r="G94" i="58"/>
  <c r="H94" i="58"/>
  <c r="E95" i="58"/>
  <c r="F95" i="58"/>
  <c r="G95" i="58"/>
  <c r="H95" i="58"/>
  <c r="E96" i="58"/>
  <c r="F96" i="58"/>
  <c r="G96" i="58"/>
  <c r="H96" i="58"/>
  <c r="E97" i="58"/>
  <c r="F97" i="58"/>
  <c r="G97" i="58"/>
  <c r="H97" i="58"/>
  <c r="E98" i="58"/>
  <c r="F98" i="58"/>
  <c r="G98" i="58"/>
  <c r="H98" i="58"/>
  <c r="E99" i="58"/>
  <c r="F99" i="58"/>
  <c r="G99" i="58"/>
  <c r="H99" i="58"/>
  <c r="E100" i="58"/>
  <c r="F100" i="58"/>
  <c r="G100" i="58"/>
  <c r="H100" i="58"/>
  <c r="E101" i="58"/>
  <c r="F101" i="58"/>
  <c r="G101" i="58"/>
  <c r="H101" i="58"/>
  <c r="E102" i="58"/>
  <c r="F102" i="58"/>
  <c r="G102" i="58"/>
  <c r="H102" i="58"/>
  <c r="E103" i="58"/>
  <c r="F103" i="58"/>
  <c r="G103" i="58"/>
  <c r="H103" i="58"/>
  <c r="E104" i="58"/>
  <c r="F104" i="58"/>
  <c r="G104" i="58"/>
  <c r="H104" i="58"/>
  <c r="E105" i="58"/>
  <c r="F105" i="58"/>
  <c r="G105" i="58"/>
  <c r="H105" i="58"/>
  <c r="E106" i="58"/>
  <c r="F106" i="58"/>
  <c r="G106" i="58"/>
  <c r="H106" i="58"/>
  <c r="E107" i="58"/>
  <c r="F107" i="58"/>
  <c r="G107" i="58"/>
  <c r="H107" i="58"/>
  <c r="E108" i="58"/>
  <c r="F108" i="58"/>
  <c r="G108" i="58"/>
  <c r="H108" i="58"/>
  <c r="E109" i="58"/>
  <c r="F109" i="58"/>
  <c r="G109" i="58"/>
  <c r="H109" i="58"/>
  <c r="E110" i="58"/>
  <c r="F110" i="58"/>
  <c r="G110" i="58"/>
  <c r="H110" i="58"/>
  <c r="E111" i="58"/>
  <c r="F111" i="58"/>
  <c r="G111" i="58"/>
  <c r="H111" i="58"/>
  <c r="E112" i="58"/>
  <c r="F112" i="58"/>
  <c r="G112" i="58"/>
  <c r="H112" i="58"/>
  <c r="E113" i="58"/>
  <c r="F113" i="58"/>
  <c r="G113" i="58"/>
  <c r="H113" i="58"/>
  <c r="E114" i="58"/>
  <c r="F114" i="58"/>
  <c r="G114" i="58"/>
  <c r="H114" i="58"/>
  <c r="E115" i="58"/>
  <c r="F115" i="58"/>
  <c r="G115" i="58"/>
  <c r="H115" i="58"/>
  <c r="E116" i="58"/>
  <c r="F116" i="58"/>
  <c r="G116" i="58"/>
  <c r="H116" i="58"/>
  <c r="E117" i="58"/>
  <c r="F117" i="58"/>
  <c r="G117" i="58"/>
  <c r="H117" i="58"/>
  <c r="E118" i="58"/>
  <c r="F118" i="58"/>
  <c r="G118" i="58"/>
  <c r="H118" i="58"/>
  <c r="E119" i="58"/>
  <c r="F119" i="58"/>
  <c r="G119" i="58"/>
  <c r="H119" i="58"/>
  <c r="E120" i="58"/>
  <c r="F120" i="58"/>
  <c r="G120" i="58"/>
  <c r="H120" i="58"/>
  <c r="E121" i="58"/>
  <c r="F121" i="58"/>
  <c r="G121" i="58"/>
  <c r="H121" i="58"/>
  <c r="E122" i="58"/>
  <c r="F122" i="58"/>
  <c r="G122" i="58"/>
  <c r="H122" i="58"/>
  <c r="E123" i="58"/>
  <c r="F123" i="58"/>
  <c r="G123" i="58"/>
  <c r="H123" i="58"/>
  <c r="E124" i="58"/>
  <c r="F124" i="58"/>
  <c r="G124" i="58"/>
  <c r="H124" i="58"/>
  <c r="E125" i="58"/>
  <c r="F125" i="58"/>
  <c r="G125" i="58"/>
  <c r="H125" i="58"/>
  <c r="E126" i="58"/>
  <c r="F126" i="58"/>
  <c r="G126" i="58"/>
  <c r="H126" i="58"/>
  <c r="E127" i="58"/>
  <c r="F127" i="58"/>
  <c r="G127" i="58"/>
  <c r="H127" i="58"/>
  <c r="E128" i="58"/>
  <c r="F128" i="58"/>
  <c r="G128" i="58"/>
  <c r="H128" i="58"/>
  <c r="E129" i="58"/>
  <c r="F129" i="58"/>
  <c r="G129" i="58"/>
  <c r="H129" i="58"/>
  <c r="E130" i="58"/>
  <c r="F130" i="58"/>
  <c r="G130" i="58"/>
  <c r="H130" i="58"/>
  <c r="E131" i="58"/>
  <c r="F131" i="58"/>
  <c r="G131" i="58"/>
  <c r="H131" i="58"/>
  <c r="E132" i="58"/>
  <c r="F132" i="58"/>
  <c r="G132" i="58"/>
  <c r="H132" i="58"/>
  <c r="E133" i="58"/>
  <c r="F133" i="58"/>
  <c r="G133" i="58"/>
  <c r="H133" i="58"/>
  <c r="E134" i="58"/>
  <c r="F134" i="58"/>
  <c r="G134" i="58"/>
  <c r="H134" i="58"/>
  <c r="E135" i="58"/>
  <c r="F135" i="58"/>
  <c r="G135" i="58"/>
  <c r="H135" i="58"/>
  <c r="E136" i="58"/>
  <c r="F136" i="58"/>
  <c r="G136" i="58"/>
  <c r="H136" i="58"/>
  <c r="E137" i="58"/>
  <c r="F137" i="58"/>
  <c r="G137" i="58"/>
  <c r="H137" i="58"/>
  <c r="E138" i="58"/>
  <c r="F138" i="58"/>
  <c r="G138" i="58"/>
  <c r="H138" i="58"/>
  <c r="E139" i="58"/>
  <c r="F139" i="58"/>
  <c r="G139" i="58"/>
  <c r="H139" i="58"/>
  <c r="E140" i="58"/>
  <c r="F140" i="58"/>
  <c r="G140" i="58"/>
  <c r="H140" i="58"/>
  <c r="E141" i="58"/>
  <c r="F141" i="58"/>
  <c r="G141" i="58"/>
  <c r="H141" i="58"/>
  <c r="E142" i="58"/>
  <c r="F142" i="58"/>
  <c r="G142" i="58"/>
  <c r="H142" i="58"/>
  <c r="E143" i="58"/>
  <c r="F143" i="58"/>
  <c r="G143" i="58"/>
  <c r="H143" i="58"/>
  <c r="E144" i="58"/>
  <c r="F144" i="58"/>
  <c r="G144" i="58"/>
  <c r="H144" i="58"/>
  <c r="E145" i="58"/>
  <c r="F145" i="58"/>
  <c r="G145" i="58"/>
  <c r="H145" i="58"/>
  <c r="E146" i="58"/>
  <c r="F146" i="58"/>
  <c r="G146" i="58"/>
  <c r="H146" i="58"/>
  <c r="E147" i="58"/>
  <c r="F147" i="58"/>
  <c r="G147" i="58"/>
  <c r="H147" i="58"/>
  <c r="E148" i="58"/>
  <c r="F148" i="58"/>
  <c r="G148" i="58"/>
  <c r="H148" i="58"/>
  <c r="E149" i="58"/>
  <c r="F149" i="58"/>
  <c r="G149" i="58"/>
  <c r="H149" i="58"/>
  <c r="E150" i="58"/>
  <c r="F150" i="58"/>
  <c r="G150" i="58"/>
  <c r="H150" i="58"/>
  <c r="E151" i="58"/>
  <c r="F151" i="58"/>
  <c r="G151" i="58"/>
  <c r="H151" i="58"/>
  <c r="E152" i="58"/>
  <c r="F152" i="58"/>
  <c r="G152" i="58"/>
  <c r="H152" i="58"/>
  <c r="E153" i="58"/>
  <c r="F153" i="58"/>
  <c r="G153" i="58"/>
  <c r="H153" i="58"/>
  <c r="E154" i="58"/>
  <c r="F154" i="58"/>
  <c r="G154" i="58"/>
  <c r="H154" i="58"/>
  <c r="E155" i="58"/>
  <c r="F155" i="58"/>
  <c r="G155" i="58"/>
  <c r="H155" i="58"/>
  <c r="E156" i="58"/>
  <c r="F156" i="58"/>
  <c r="G156" i="58"/>
  <c r="H156" i="58"/>
  <c r="E157" i="58"/>
  <c r="F157" i="58"/>
  <c r="G157" i="58"/>
  <c r="H157" i="58"/>
  <c r="E158" i="58"/>
  <c r="F158" i="58"/>
  <c r="G158" i="58"/>
  <c r="H158" i="58"/>
  <c r="E159" i="58"/>
  <c r="F159" i="58"/>
  <c r="G159" i="58"/>
  <c r="H159" i="58"/>
  <c r="E160" i="58"/>
  <c r="F160" i="58"/>
  <c r="G160" i="58"/>
  <c r="H160" i="58"/>
  <c r="E161" i="58"/>
  <c r="F161" i="58"/>
  <c r="G161" i="58"/>
  <c r="H161" i="58"/>
  <c r="E162" i="58"/>
  <c r="F162" i="58"/>
  <c r="G162" i="58"/>
  <c r="H162" i="58"/>
  <c r="E163" i="58"/>
  <c r="F163" i="58"/>
  <c r="G163" i="58"/>
  <c r="H163" i="58"/>
  <c r="E164" i="58"/>
  <c r="F164" i="58"/>
  <c r="G164" i="58"/>
  <c r="H164" i="58"/>
  <c r="E165" i="58"/>
  <c r="F165" i="58"/>
  <c r="G165" i="58"/>
  <c r="H165" i="58"/>
  <c r="E166" i="58"/>
  <c r="F166" i="58"/>
  <c r="G166" i="58"/>
  <c r="H166" i="58"/>
  <c r="E167" i="58"/>
  <c r="F167" i="58"/>
  <c r="G167" i="58"/>
  <c r="H167" i="58"/>
  <c r="E168" i="58"/>
  <c r="F168" i="58"/>
  <c r="G168" i="58"/>
  <c r="H168" i="58"/>
  <c r="E169" i="58"/>
  <c r="F169" i="58"/>
  <c r="G169" i="58"/>
  <c r="H169" i="58"/>
  <c r="E170" i="58"/>
  <c r="F170" i="58"/>
  <c r="G170" i="58"/>
  <c r="H170" i="58"/>
  <c r="E171" i="58"/>
  <c r="F171" i="58"/>
  <c r="G171" i="58"/>
  <c r="H171" i="58"/>
  <c r="E172" i="58"/>
  <c r="F172" i="58"/>
  <c r="G172" i="58"/>
  <c r="H172" i="58"/>
  <c r="E173" i="58"/>
  <c r="F173" i="58"/>
  <c r="G173" i="58"/>
  <c r="H173" i="58"/>
  <c r="E174" i="58"/>
  <c r="F174" i="58"/>
  <c r="G174" i="58"/>
  <c r="H174" i="58"/>
  <c r="E175" i="58"/>
  <c r="F175" i="58"/>
  <c r="G175" i="58"/>
  <c r="H175" i="58"/>
  <c r="E176" i="58"/>
  <c r="F176" i="58"/>
  <c r="G176" i="58"/>
  <c r="H176" i="58"/>
  <c r="E177" i="58"/>
  <c r="F177" i="58"/>
  <c r="G177" i="58"/>
  <c r="H177" i="58"/>
  <c r="E178" i="58"/>
  <c r="F178" i="58"/>
  <c r="G178" i="58"/>
  <c r="H178" i="58"/>
  <c r="E179" i="58"/>
  <c r="F179" i="58"/>
  <c r="G179" i="58"/>
  <c r="H179" i="58"/>
  <c r="E180" i="58"/>
  <c r="F180" i="58"/>
  <c r="G180" i="58"/>
  <c r="H180" i="58"/>
  <c r="E181" i="58"/>
  <c r="F181" i="58"/>
  <c r="G181" i="58"/>
  <c r="H181" i="58"/>
  <c r="E182" i="58"/>
  <c r="F182" i="58"/>
  <c r="G182" i="58"/>
  <c r="H182" i="58"/>
  <c r="E183" i="58"/>
  <c r="F183" i="58"/>
  <c r="G183" i="58"/>
  <c r="H183" i="58"/>
  <c r="E184" i="58"/>
  <c r="F184" i="58"/>
  <c r="G184" i="58"/>
  <c r="H184" i="58"/>
  <c r="E185" i="58"/>
  <c r="F185" i="58"/>
  <c r="G185" i="58"/>
  <c r="H185" i="58"/>
  <c r="E186" i="58"/>
  <c r="F186" i="58"/>
  <c r="G186" i="58"/>
  <c r="H186" i="58"/>
  <c r="E187" i="58"/>
  <c r="F187" i="58"/>
  <c r="G187" i="58"/>
  <c r="H187" i="58"/>
  <c r="E188" i="58"/>
  <c r="F188" i="58"/>
  <c r="G188" i="58"/>
  <c r="H188" i="58"/>
  <c r="E189" i="58"/>
  <c r="F189" i="58"/>
  <c r="G189" i="58"/>
  <c r="H189" i="58"/>
  <c r="E190" i="58"/>
  <c r="F190" i="58"/>
  <c r="G190" i="58"/>
  <c r="H190" i="58"/>
  <c r="E191" i="58"/>
  <c r="F191" i="58"/>
  <c r="G191" i="58"/>
  <c r="H191" i="58"/>
  <c r="E192" i="58"/>
  <c r="F192" i="58"/>
  <c r="G192" i="58"/>
  <c r="H192" i="58"/>
  <c r="E193" i="58"/>
  <c r="F193" i="58"/>
  <c r="G193" i="58"/>
  <c r="H193" i="58"/>
  <c r="E194" i="58"/>
  <c r="F194" i="58"/>
  <c r="G194" i="58"/>
  <c r="H194" i="58"/>
  <c r="E195" i="58"/>
  <c r="F195" i="58"/>
  <c r="G195" i="58"/>
  <c r="H195" i="58"/>
  <c r="E196" i="58"/>
  <c r="F196" i="58"/>
  <c r="G196" i="58"/>
  <c r="H196" i="58"/>
  <c r="E197" i="58"/>
  <c r="F197" i="58"/>
  <c r="G197" i="58"/>
  <c r="H197" i="58"/>
  <c r="E198" i="58"/>
  <c r="F198" i="58"/>
  <c r="G198" i="58"/>
  <c r="H198" i="58"/>
  <c r="E199" i="58"/>
  <c r="F199" i="58"/>
  <c r="G199" i="58"/>
  <c r="H199" i="58"/>
  <c r="E200" i="58"/>
  <c r="F200" i="58"/>
  <c r="G200" i="58"/>
  <c r="H200" i="58"/>
  <c r="E201" i="58"/>
  <c r="F201" i="58"/>
  <c r="G201" i="58"/>
  <c r="H201" i="58"/>
  <c r="E202" i="58"/>
  <c r="F202" i="58"/>
  <c r="G202" i="58"/>
  <c r="H202" i="58"/>
  <c r="E203" i="58"/>
  <c r="F203" i="58"/>
  <c r="G203" i="58"/>
  <c r="H203" i="58"/>
  <c r="E204" i="58"/>
  <c r="F204" i="58"/>
  <c r="G204" i="58"/>
  <c r="H204" i="58"/>
  <c r="E205" i="58"/>
  <c r="F205" i="58"/>
  <c r="G205" i="58"/>
  <c r="H205" i="58"/>
  <c r="E206" i="58"/>
  <c r="F206" i="58"/>
  <c r="G206" i="58"/>
  <c r="H206" i="58"/>
  <c r="E207" i="58"/>
  <c r="F207" i="58"/>
  <c r="G207" i="58"/>
  <c r="H207" i="58"/>
  <c r="E208" i="58"/>
  <c r="F208" i="58"/>
  <c r="G208" i="58"/>
  <c r="H208" i="58"/>
  <c r="E209" i="58"/>
  <c r="F209" i="58"/>
  <c r="G209" i="58"/>
  <c r="H209" i="58"/>
  <c r="E210" i="58"/>
  <c r="F210" i="58"/>
  <c r="G210" i="58"/>
  <c r="H210" i="58"/>
  <c r="E211" i="58"/>
  <c r="F211" i="58"/>
  <c r="G211" i="58"/>
  <c r="H211" i="58"/>
  <c r="E212" i="58"/>
  <c r="F212" i="58"/>
  <c r="G212" i="58"/>
  <c r="H212" i="58"/>
  <c r="E213" i="58"/>
  <c r="F213" i="58"/>
  <c r="G213" i="58"/>
  <c r="H213" i="58"/>
  <c r="E214" i="58"/>
  <c r="F214" i="58"/>
  <c r="G214" i="58"/>
  <c r="H214" i="58"/>
  <c r="E215" i="58"/>
  <c r="F215" i="58"/>
  <c r="G215" i="58"/>
  <c r="H215" i="58"/>
  <c r="E216" i="58"/>
  <c r="F216" i="58"/>
  <c r="G216" i="58"/>
  <c r="H216" i="58"/>
  <c r="E217" i="58"/>
  <c r="F217" i="58"/>
  <c r="G217" i="58"/>
  <c r="H217" i="58"/>
  <c r="E218" i="58"/>
  <c r="F218" i="58"/>
  <c r="G218" i="58"/>
  <c r="H218" i="58"/>
  <c r="E219" i="58"/>
  <c r="F219" i="58"/>
  <c r="G219" i="58"/>
  <c r="H219" i="58"/>
  <c r="E220" i="58"/>
  <c r="F220" i="58"/>
  <c r="G220" i="58"/>
  <c r="H220" i="58"/>
  <c r="E221" i="58"/>
  <c r="F221" i="58"/>
  <c r="G221" i="58"/>
  <c r="H221" i="58"/>
  <c r="E222" i="58"/>
  <c r="F222" i="58"/>
  <c r="G222" i="58"/>
  <c r="H222" i="58"/>
  <c r="E223" i="58"/>
  <c r="F223" i="58"/>
  <c r="G223" i="58"/>
  <c r="H223" i="58"/>
  <c r="E224" i="58"/>
  <c r="F224" i="58"/>
  <c r="G224" i="58"/>
  <c r="H224" i="58"/>
  <c r="E225" i="58"/>
  <c r="F225" i="58"/>
  <c r="G225" i="58"/>
  <c r="H225" i="58"/>
  <c r="E226" i="58"/>
  <c r="F226" i="58"/>
  <c r="G226" i="58"/>
  <c r="H226" i="58"/>
  <c r="E227" i="58"/>
  <c r="F227" i="58"/>
  <c r="G227" i="58"/>
  <c r="H227" i="58"/>
  <c r="E228" i="58"/>
  <c r="F228" i="58"/>
  <c r="G228" i="58"/>
  <c r="H228" i="58"/>
  <c r="E229" i="58"/>
  <c r="F229" i="58"/>
  <c r="G229" i="58"/>
  <c r="H229" i="58"/>
  <c r="E230" i="58"/>
  <c r="F230" i="58"/>
  <c r="G230" i="58"/>
  <c r="H230" i="58"/>
  <c r="E231" i="58"/>
  <c r="F231" i="58"/>
  <c r="G231" i="58"/>
  <c r="H231" i="58"/>
  <c r="E232" i="58"/>
  <c r="F232" i="58"/>
  <c r="G232" i="58"/>
  <c r="H232" i="58"/>
  <c r="E233" i="58"/>
  <c r="F233" i="58"/>
  <c r="G233" i="58"/>
  <c r="H233" i="58"/>
  <c r="E234" i="58"/>
  <c r="F234" i="58"/>
  <c r="G234" i="58"/>
  <c r="H234" i="58"/>
  <c r="E235" i="58"/>
  <c r="F235" i="58"/>
  <c r="G235" i="58"/>
  <c r="H235" i="58"/>
  <c r="E236" i="58"/>
  <c r="F236" i="58"/>
  <c r="G236" i="58"/>
  <c r="H236" i="58"/>
  <c r="E237" i="58"/>
  <c r="F237" i="58"/>
  <c r="G237" i="58"/>
  <c r="H237" i="58"/>
  <c r="E238" i="58"/>
  <c r="F238" i="58"/>
  <c r="G238" i="58"/>
  <c r="H238" i="58"/>
  <c r="E239" i="58"/>
  <c r="F239" i="58"/>
  <c r="G239" i="58"/>
  <c r="H239" i="58"/>
  <c r="E240" i="58"/>
  <c r="F240" i="58"/>
  <c r="G240" i="58"/>
  <c r="H240" i="58"/>
  <c r="E241" i="58"/>
  <c r="F241" i="58"/>
  <c r="G241" i="58"/>
  <c r="H241" i="58"/>
  <c r="E242" i="58"/>
  <c r="F242" i="58"/>
  <c r="G242" i="58"/>
  <c r="H242" i="58"/>
  <c r="E243" i="58"/>
  <c r="F243" i="58"/>
  <c r="G243" i="58"/>
  <c r="H243" i="58"/>
  <c r="E244" i="58"/>
  <c r="F244" i="58"/>
  <c r="G244" i="58"/>
  <c r="H244" i="58"/>
  <c r="E245" i="58"/>
  <c r="F245" i="58"/>
  <c r="G245" i="58"/>
  <c r="H245" i="58"/>
  <c r="E246" i="58"/>
  <c r="F246" i="58"/>
  <c r="G246" i="58"/>
  <c r="H246" i="58"/>
  <c r="E247" i="58"/>
  <c r="F247" i="58"/>
  <c r="G247" i="58"/>
  <c r="H247" i="58"/>
  <c r="E248" i="58"/>
  <c r="F248" i="58"/>
  <c r="G248" i="58"/>
  <c r="H248" i="58"/>
  <c r="E249" i="58"/>
  <c r="F249" i="58"/>
  <c r="G249" i="58"/>
  <c r="H249" i="58"/>
  <c r="E250" i="58"/>
  <c r="F250" i="58"/>
  <c r="G250" i="58"/>
  <c r="H250" i="58"/>
  <c r="E251" i="58"/>
  <c r="F251" i="58"/>
  <c r="G251" i="58"/>
  <c r="H251" i="58"/>
  <c r="E252" i="58"/>
  <c r="F252" i="58"/>
  <c r="G252" i="58"/>
  <c r="H252" i="58"/>
  <c r="E253" i="58"/>
  <c r="F253" i="58"/>
  <c r="G253" i="58"/>
  <c r="H253" i="58"/>
  <c r="E254" i="58"/>
  <c r="F254" i="58"/>
  <c r="G254" i="58"/>
  <c r="H254" i="58"/>
  <c r="E255" i="58"/>
  <c r="F255" i="58"/>
  <c r="G255" i="58"/>
  <c r="H255" i="58"/>
  <c r="E256" i="58"/>
  <c r="F256" i="58"/>
  <c r="G256" i="58"/>
  <c r="H256" i="58"/>
  <c r="E257" i="58"/>
  <c r="F257" i="58"/>
  <c r="G257" i="58"/>
  <c r="H257" i="58"/>
  <c r="E258" i="58"/>
  <c r="F258" i="58"/>
  <c r="G258" i="58"/>
  <c r="H258" i="58"/>
  <c r="E259" i="58"/>
  <c r="F259" i="58"/>
  <c r="G259" i="58"/>
  <c r="H259" i="58"/>
  <c r="E260" i="58"/>
  <c r="F260" i="58"/>
  <c r="G260" i="58"/>
  <c r="H260" i="58"/>
  <c r="E261" i="58"/>
  <c r="F261" i="58"/>
  <c r="G261" i="58"/>
  <c r="H261" i="58"/>
  <c r="E262" i="58"/>
  <c r="F262" i="58"/>
  <c r="G262" i="58"/>
  <c r="H262" i="58"/>
  <c r="E263" i="58"/>
  <c r="F263" i="58"/>
  <c r="G263" i="58"/>
  <c r="H263" i="58"/>
  <c r="E264" i="58"/>
  <c r="F264" i="58"/>
  <c r="G264" i="58"/>
  <c r="H264" i="58"/>
  <c r="E265" i="58"/>
  <c r="F265" i="58"/>
  <c r="G265" i="58"/>
  <c r="H265" i="58"/>
  <c r="E266" i="58"/>
  <c r="F266" i="58"/>
  <c r="G266" i="58"/>
  <c r="H266" i="58"/>
  <c r="E267" i="58"/>
  <c r="F267" i="58"/>
  <c r="G267" i="58"/>
  <c r="H267" i="58"/>
  <c r="E268" i="58"/>
  <c r="F268" i="58"/>
  <c r="G268" i="58"/>
  <c r="H268" i="58"/>
  <c r="E269" i="58"/>
  <c r="F269" i="58"/>
  <c r="G269" i="58"/>
  <c r="H269" i="58"/>
  <c r="E270" i="58"/>
  <c r="F270" i="58"/>
  <c r="G270" i="58"/>
  <c r="H270" i="58"/>
  <c r="E271" i="58"/>
  <c r="F271" i="58"/>
  <c r="G271" i="58"/>
  <c r="H271" i="58"/>
  <c r="E272" i="58"/>
  <c r="F272" i="58"/>
  <c r="G272" i="58"/>
  <c r="H272" i="58"/>
  <c r="E273" i="58"/>
  <c r="F273" i="58"/>
  <c r="G273" i="58"/>
  <c r="H273" i="58"/>
  <c r="E274" i="58"/>
  <c r="F274" i="58"/>
  <c r="G274" i="58"/>
  <c r="H274" i="58"/>
  <c r="E275" i="58"/>
  <c r="F275" i="58"/>
  <c r="G275" i="58"/>
  <c r="H275" i="58"/>
  <c r="E276" i="58"/>
  <c r="F276" i="58"/>
  <c r="G276" i="58"/>
  <c r="H276" i="58"/>
  <c r="E277" i="58"/>
  <c r="F277" i="58"/>
  <c r="G277" i="58"/>
  <c r="H277" i="58"/>
  <c r="E278" i="58"/>
  <c r="F278" i="58"/>
  <c r="G278" i="58"/>
  <c r="H278" i="58"/>
  <c r="E279" i="58"/>
  <c r="F279" i="58"/>
  <c r="G279" i="58"/>
  <c r="H279" i="58"/>
  <c r="E280" i="58"/>
  <c r="F280" i="58"/>
  <c r="G280" i="58"/>
  <c r="H280" i="58"/>
  <c r="E281" i="58"/>
  <c r="F281" i="58"/>
  <c r="G281" i="58"/>
  <c r="H281" i="58"/>
  <c r="E282" i="58"/>
  <c r="F282" i="58"/>
  <c r="G282" i="58"/>
  <c r="H282" i="58"/>
  <c r="E283" i="58"/>
  <c r="F283" i="58"/>
  <c r="G283" i="58"/>
  <c r="H283" i="58"/>
  <c r="E284" i="58"/>
  <c r="F284" i="58"/>
  <c r="G284" i="58"/>
  <c r="H284" i="58"/>
  <c r="E285" i="58"/>
  <c r="F285" i="58"/>
  <c r="G285" i="58"/>
  <c r="H285" i="58"/>
  <c r="E286" i="58"/>
  <c r="F286" i="58"/>
  <c r="G286" i="58"/>
  <c r="H286" i="58"/>
  <c r="E287" i="58"/>
  <c r="F287" i="58"/>
  <c r="G287" i="58"/>
  <c r="H287" i="58"/>
  <c r="E288" i="58"/>
  <c r="F288" i="58"/>
  <c r="G288" i="58"/>
  <c r="H288" i="58"/>
  <c r="E289" i="58"/>
  <c r="F289" i="58"/>
  <c r="G289" i="58"/>
  <c r="H289" i="58"/>
  <c r="E290" i="58"/>
  <c r="F290" i="58"/>
  <c r="G290" i="58"/>
  <c r="H290" i="58"/>
  <c r="E291" i="58"/>
  <c r="F291" i="58"/>
  <c r="G291" i="58"/>
  <c r="H291" i="58"/>
  <c r="E292" i="58"/>
  <c r="F292" i="58"/>
  <c r="G292" i="58"/>
  <c r="H292" i="58"/>
  <c r="E293" i="58"/>
  <c r="F293" i="58"/>
  <c r="G293" i="58"/>
  <c r="H293" i="58"/>
  <c r="E294" i="58"/>
  <c r="F294" i="58"/>
  <c r="G294" i="58"/>
  <c r="H294" i="58"/>
  <c r="E295" i="58"/>
  <c r="F295" i="58"/>
  <c r="G295" i="58"/>
  <c r="H295" i="58"/>
  <c r="E296" i="58"/>
  <c r="F296" i="58"/>
  <c r="G296" i="58"/>
  <c r="H296" i="58"/>
  <c r="E297" i="58"/>
  <c r="F297" i="58"/>
  <c r="G297" i="58"/>
  <c r="H297" i="58"/>
  <c r="E298" i="58"/>
  <c r="F298" i="58"/>
  <c r="G298" i="58"/>
  <c r="H298" i="58"/>
  <c r="E299" i="58"/>
  <c r="F299" i="58"/>
  <c r="G299" i="58"/>
  <c r="H299" i="58"/>
  <c r="E300" i="58"/>
  <c r="F300" i="58"/>
  <c r="G300" i="58"/>
  <c r="H300" i="58"/>
  <c r="E301" i="58"/>
  <c r="F301" i="58"/>
  <c r="G301" i="58"/>
  <c r="H301" i="58"/>
  <c r="E302" i="58"/>
  <c r="F302" i="58"/>
  <c r="G302" i="58"/>
  <c r="H302" i="58"/>
  <c r="E303" i="58"/>
  <c r="F303" i="58"/>
  <c r="G303" i="58"/>
  <c r="H303" i="58"/>
  <c r="E304" i="58"/>
  <c r="F304" i="58"/>
  <c r="G304" i="58"/>
  <c r="H304" i="58"/>
  <c r="E305" i="58"/>
  <c r="F305" i="58"/>
  <c r="G305" i="58"/>
  <c r="H305" i="58"/>
  <c r="E306" i="58"/>
  <c r="F306" i="58"/>
  <c r="G306" i="58"/>
  <c r="H306" i="58"/>
  <c r="E307" i="58"/>
  <c r="F307" i="58"/>
  <c r="G307" i="58"/>
  <c r="H307" i="58"/>
  <c r="E308" i="58"/>
  <c r="F308" i="58"/>
  <c r="G308" i="58"/>
  <c r="H308" i="58"/>
  <c r="E309" i="58"/>
  <c r="F309" i="58"/>
  <c r="G309" i="58"/>
  <c r="H309" i="58"/>
  <c r="E310" i="58"/>
  <c r="F310" i="58"/>
  <c r="G310" i="58"/>
  <c r="H310" i="58"/>
  <c r="E311" i="58"/>
  <c r="F311" i="58"/>
  <c r="G311" i="58"/>
  <c r="H311" i="58"/>
  <c r="E312" i="58"/>
  <c r="F312" i="58"/>
  <c r="G312" i="58"/>
  <c r="H312" i="58"/>
  <c r="E313" i="58"/>
  <c r="F313" i="58"/>
  <c r="G313" i="58"/>
  <c r="H313" i="58"/>
  <c r="E314" i="58"/>
  <c r="F314" i="58"/>
  <c r="G314" i="58"/>
  <c r="H314" i="58"/>
  <c r="E315" i="58"/>
  <c r="F315" i="58"/>
  <c r="G315" i="58"/>
  <c r="H315" i="58"/>
  <c r="E316" i="58"/>
  <c r="F316" i="58"/>
  <c r="G316" i="58"/>
  <c r="H316" i="58"/>
  <c r="E317" i="58"/>
  <c r="F317" i="58"/>
  <c r="G317" i="58"/>
  <c r="H317" i="58"/>
  <c r="E318" i="58"/>
  <c r="F318" i="58"/>
  <c r="G318" i="58"/>
  <c r="H318" i="58"/>
  <c r="E319" i="58"/>
  <c r="F319" i="58"/>
  <c r="G319" i="58"/>
  <c r="H319" i="58"/>
  <c r="E320" i="58"/>
  <c r="F320" i="58"/>
  <c r="G320" i="58"/>
  <c r="H320" i="58"/>
  <c r="E321" i="58"/>
  <c r="F321" i="58"/>
  <c r="G321" i="58"/>
  <c r="H321" i="58"/>
  <c r="E322" i="58"/>
  <c r="F322" i="58"/>
  <c r="G322" i="58"/>
  <c r="H322" i="58"/>
  <c r="E323" i="58"/>
  <c r="F323" i="58"/>
  <c r="G323" i="58"/>
  <c r="H323" i="58"/>
  <c r="E324" i="58"/>
  <c r="F324" i="58"/>
  <c r="G324" i="58"/>
  <c r="H324" i="58"/>
  <c r="E325" i="58"/>
  <c r="F325" i="58"/>
  <c r="G325" i="58"/>
  <c r="H325" i="58"/>
  <c r="E326" i="58"/>
  <c r="F326" i="58"/>
  <c r="G326" i="58"/>
  <c r="H326" i="58"/>
  <c r="E327" i="58"/>
  <c r="F327" i="58"/>
  <c r="G327" i="58"/>
  <c r="H327" i="58"/>
  <c r="E328" i="58"/>
  <c r="F328" i="58"/>
  <c r="G328" i="58"/>
  <c r="H328" i="58"/>
  <c r="E329" i="58"/>
  <c r="F329" i="58"/>
  <c r="G329" i="58"/>
  <c r="H329" i="58"/>
  <c r="E330" i="58"/>
  <c r="F330" i="58"/>
  <c r="G330" i="58"/>
  <c r="H330" i="58"/>
  <c r="E331" i="58"/>
  <c r="F331" i="58"/>
  <c r="G331" i="58"/>
  <c r="H331" i="58"/>
  <c r="E332" i="58"/>
  <c r="F332" i="58"/>
  <c r="G332" i="58"/>
  <c r="H332" i="58"/>
  <c r="E333" i="58"/>
  <c r="F333" i="58"/>
  <c r="G333" i="58"/>
  <c r="H333" i="58"/>
  <c r="E334" i="58"/>
  <c r="F334" i="58"/>
  <c r="G334" i="58"/>
  <c r="H334" i="58"/>
  <c r="E335" i="58"/>
  <c r="F335" i="58"/>
  <c r="G335" i="58"/>
  <c r="H335" i="58"/>
  <c r="E336" i="58"/>
  <c r="F336" i="58"/>
  <c r="G336" i="58"/>
  <c r="H336" i="58"/>
  <c r="E337" i="58"/>
  <c r="F337" i="58"/>
  <c r="G337" i="58"/>
  <c r="H337" i="58"/>
  <c r="E338" i="58"/>
  <c r="F338" i="58"/>
  <c r="G338" i="58"/>
  <c r="H338" i="58"/>
  <c r="E339" i="58"/>
  <c r="F339" i="58"/>
  <c r="G339" i="58"/>
  <c r="H339" i="58"/>
  <c r="E340" i="58"/>
  <c r="F340" i="58"/>
  <c r="G340" i="58"/>
  <c r="H340" i="58"/>
  <c r="E341" i="58"/>
  <c r="F341" i="58"/>
  <c r="G341" i="58"/>
  <c r="H341" i="58"/>
  <c r="E342" i="58"/>
  <c r="F342" i="58"/>
  <c r="G342" i="58"/>
  <c r="H342" i="58"/>
  <c r="E343" i="58"/>
  <c r="F343" i="58"/>
  <c r="G343" i="58"/>
  <c r="H343" i="58"/>
  <c r="E344" i="58"/>
  <c r="F344" i="58"/>
  <c r="G344" i="58"/>
  <c r="H344" i="58"/>
  <c r="E345" i="58"/>
  <c r="F345" i="58"/>
  <c r="G345" i="58"/>
  <c r="H345" i="58"/>
  <c r="E346" i="58"/>
  <c r="F346" i="58"/>
  <c r="G346" i="58"/>
  <c r="H346" i="58"/>
  <c r="E347" i="58"/>
  <c r="F347" i="58"/>
  <c r="G347" i="58"/>
  <c r="H347" i="58"/>
  <c r="E348" i="58"/>
  <c r="F348" i="58"/>
  <c r="G348" i="58"/>
  <c r="H348" i="58"/>
  <c r="E349" i="58"/>
  <c r="F349" i="58"/>
  <c r="G349" i="58"/>
  <c r="H349" i="58"/>
  <c r="E350" i="58"/>
  <c r="F350" i="58"/>
  <c r="G350" i="58"/>
  <c r="H350" i="58"/>
  <c r="E351" i="58"/>
  <c r="F351" i="58"/>
  <c r="G351" i="58"/>
  <c r="H351" i="58"/>
  <c r="E352" i="58"/>
  <c r="F352" i="58"/>
  <c r="G352" i="58"/>
  <c r="H352" i="58"/>
  <c r="E353" i="58"/>
  <c r="F353" i="58"/>
  <c r="G353" i="58"/>
  <c r="H353" i="58"/>
  <c r="E354" i="58"/>
  <c r="F354" i="58"/>
  <c r="G354" i="58"/>
  <c r="H354" i="58"/>
  <c r="E355" i="58"/>
  <c r="F355" i="58"/>
  <c r="G355" i="58"/>
  <c r="H355" i="58"/>
  <c r="E356" i="58"/>
  <c r="F356" i="58"/>
  <c r="G356" i="58"/>
  <c r="H356" i="58"/>
  <c r="E357" i="58"/>
  <c r="F357" i="58"/>
  <c r="G357" i="58"/>
  <c r="H357" i="58"/>
  <c r="E358" i="58"/>
  <c r="F358" i="58"/>
  <c r="G358" i="58"/>
  <c r="H358" i="58"/>
  <c r="E359" i="58"/>
  <c r="F359" i="58"/>
  <c r="G359" i="58"/>
  <c r="H359" i="58"/>
  <c r="E360" i="58"/>
  <c r="F360" i="58"/>
  <c r="G360" i="58"/>
  <c r="H360" i="58"/>
  <c r="E361" i="58"/>
  <c r="F361" i="58"/>
  <c r="G361" i="58"/>
  <c r="H361" i="58"/>
  <c r="E362" i="58"/>
  <c r="F362" i="58"/>
  <c r="G362" i="58"/>
  <c r="H362" i="58"/>
  <c r="E363" i="58"/>
  <c r="F363" i="58"/>
  <c r="G363" i="58"/>
  <c r="H363" i="58"/>
  <c r="E364" i="58"/>
  <c r="F364" i="58"/>
  <c r="G364" i="58"/>
  <c r="H364" i="58"/>
  <c r="E365" i="58"/>
  <c r="F365" i="58"/>
  <c r="G365" i="58"/>
  <c r="H365" i="58"/>
  <c r="E366" i="58"/>
  <c r="F366" i="58"/>
  <c r="G366" i="58"/>
  <c r="H366" i="58"/>
  <c r="E367" i="58"/>
  <c r="F367" i="58"/>
  <c r="G367" i="58"/>
  <c r="H367" i="58"/>
  <c r="E368" i="58"/>
  <c r="F368" i="58"/>
  <c r="G368" i="58"/>
  <c r="H368" i="58"/>
  <c r="E369" i="58"/>
  <c r="F369" i="58"/>
  <c r="G369" i="58"/>
  <c r="H369" i="58"/>
  <c r="E370" i="58"/>
  <c r="F370" i="58"/>
  <c r="G370" i="58"/>
  <c r="H370" i="58"/>
  <c r="E371" i="58"/>
  <c r="F371" i="58"/>
  <c r="G371" i="58"/>
  <c r="H371" i="58"/>
  <c r="E372" i="58"/>
  <c r="F372" i="58"/>
  <c r="G372" i="58"/>
  <c r="H372" i="58"/>
  <c r="E373" i="58"/>
  <c r="F373" i="58"/>
  <c r="G373" i="58"/>
  <c r="H373" i="58"/>
  <c r="E374" i="58"/>
  <c r="F374" i="58"/>
  <c r="G374" i="58"/>
  <c r="H374" i="58"/>
  <c r="E375" i="58"/>
  <c r="F375" i="58"/>
  <c r="G375" i="58"/>
  <c r="H375" i="58"/>
  <c r="E376" i="58"/>
  <c r="F376" i="58"/>
  <c r="G376" i="58"/>
  <c r="H376" i="58"/>
  <c r="E377" i="58"/>
  <c r="F377" i="58"/>
  <c r="G377" i="58"/>
  <c r="H377" i="58"/>
  <c r="E378" i="58"/>
  <c r="F378" i="58"/>
  <c r="G378" i="58"/>
  <c r="H378" i="58"/>
  <c r="E379" i="58"/>
  <c r="F379" i="58"/>
  <c r="G379" i="58"/>
  <c r="H379" i="58"/>
  <c r="E380" i="58"/>
  <c r="F380" i="58"/>
  <c r="G380" i="58"/>
  <c r="H380" i="58"/>
  <c r="E381" i="58"/>
  <c r="F381" i="58"/>
  <c r="G381" i="58"/>
  <c r="H381" i="58"/>
  <c r="E382" i="58"/>
  <c r="F382" i="58"/>
  <c r="G382" i="58"/>
  <c r="H382" i="58"/>
  <c r="E383" i="58"/>
  <c r="F383" i="58"/>
  <c r="G383" i="58"/>
  <c r="H383" i="58"/>
  <c r="E384" i="58"/>
  <c r="F384" i="58"/>
  <c r="G384" i="58"/>
  <c r="H384" i="58"/>
  <c r="E385" i="58"/>
  <c r="F385" i="58"/>
  <c r="G385" i="58"/>
  <c r="H385" i="58"/>
  <c r="E386" i="58"/>
  <c r="F386" i="58"/>
  <c r="G386" i="58"/>
  <c r="H386" i="58"/>
  <c r="E387" i="58"/>
  <c r="F387" i="58"/>
  <c r="G387" i="58"/>
  <c r="H387" i="58"/>
  <c r="E388" i="58"/>
  <c r="F388" i="58"/>
  <c r="G388" i="58"/>
  <c r="H388" i="58"/>
  <c r="E389" i="58"/>
  <c r="F389" i="58"/>
  <c r="G389" i="58"/>
  <c r="H389" i="58"/>
  <c r="E390" i="58"/>
  <c r="F390" i="58"/>
  <c r="G390" i="58"/>
  <c r="H390" i="58"/>
  <c r="E391" i="58"/>
  <c r="F391" i="58"/>
  <c r="G391" i="58"/>
  <c r="H391" i="58"/>
  <c r="E392" i="58"/>
  <c r="F392" i="58"/>
  <c r="G392" i="58"/>
  <c r="H392" i="58"/>
  <c r="E393" i="58"/>
  <c r="F393" i="58"/>
  <c r="G393" i="58"/>
  <c r="H393" i="58"/>
  <c r="E394" i="58"/>
  <c r="F394" i="58"/>
  <c r="G394" i="58"/>
  <c r="H394" i="58"/>
  <c r="E395" i="58"/>
  <c r="F395" i="58"/>
  <c r="G395" i="58"/>
  <c r="H395" i="58"/>
  <c r="E396" i="58"/>
  <c r="F396" i="58"/>
  <c r="G396" i="58"/>
  <c r="H396" i="58"/>
  <c r="E397" i="58"/>
  <c r="F397" i="58"/>
  <c r="G397" i="58"/>
  <c r="H397" i="58"/>
  <c r="E398" i="58"/>
  <c r="F398" i="58"/>
  <c r="G398" i="58"/>
  <c r="H398" i="58"/>
  <c r="E399" i="58"/>
  <c r="F399" i="58"/>
  <c r="G399" i="58"/>
  <c r="H399" i="58"/>
  <c r="E400" i="58"/>
  <c r="F400" i="58"/>
  <c r="G400" i="58"/>
  <c r="H400" i="58"/>
  <c r="E401" i="58"/>
  <c r="F401" i="58"/>
  <c r="G401" i="58"/>
  <c r="H401" i="58"/>
  <c r="D9" i="59"/>
  <c r="E9" i="59"/>
  <c r="F9" i="59"/>
  <c r="D10" i="59"/>
  <c r="E10" i="59"/>
  <c r="F10" i="59"/>
  <c r="D11" i="59"/>
  <c r="E11" i="59"/>
  <c r="F11" i="59"/>
  <c r="D12" i="59"/>
  <c r="E12" i="59"/>
  <c r="F12" i="59"/>
  <c r="D13" i="59"/>
  <c r="E13" i="59"/>
  <c r="F13" i="59"/>
  <c r="D14" i="59"/>
  <c r="E14" i="59"/>
  <c r="F14" i="59"/>
  <c r="D15" i="59"/>
  <c r="E15" i="59"/>
  <c r="F15" i="59"/>
  <c r="D16" i="59"/>
  <c r="E16" i="59"/>
  <c r="F16" i="59"/>
  <c r="D17" i="59"/>
  <c r="E17" i="59"/>
  <c r="F17" i="59"/>
  <c r="D18" i="59"/>
  <c r="E18" i="59"/>
  <c r="F18" i="59"/>
  <c r="D19" i="59"/>
  <c r="E19" i="59"/>
  <c r="F19" i="59"/>
  <c r="D20" i="59"/>
  <c r="E20" i="59"/>
  <c r="F20" i="59"/>
  <c r="D21" i="59"/>
  <c r="E21" i="59"/>
  <c r="F21" i="59"/>
  <c r="D22" i="59"/>
  <c r="E22" i="59"/>
  <c r="F22" i="59"/>
  <c r="D23" i="59"/>
  <c r="E23" i="59"/>
  <c r="F23" i="59"/>
  <c r="D24" i="59"/>
  <c r="E24" i="59"/>
  <c r="F24" i="59"/>
  <c r="D25" i="59"/>
  <c r="E25" i="59"/>
  <c r="F25" i="59"/>
  <c r="D26" i="59"/>
  <c r="E26" i="59"/>
  <c r="F26" i="59"/>
  <c r="D27" i="59"/>
  <c r="E27" i="59"/>
  <c r="F27" i="59"/>
  <c r="D28" i="59"/>
  <c r="E28" i="59"/>
  <c r="F28" i="59"/>
  <c r="D29" i="59"/>
  <c r="E29" i="59"/>
  <c r="F29" i="59"/>
  <c r="D30" i="59"/>
  <c r="E30" i="59"/>
  <c r="F30" i="59"/>
  <c r="D31" i="59"/>
  <c r="E31" i="59"/>
  <c r="F31" i="59"/>
  <c r="D32" i="59"/>
  <c r="E32" i="59"/>
  <c r="F32" i="59"/>
  <c r="D33" i="59"/>
  <c r="E33" i="59"/>
  <c r="F33" i="59"/>
  <c r="D34" i="59"/>
  <c r="E34" i="59"/>
  <c r="F34" i="59"/>
  <c r="D35" i="59"/>
  <c r="E35" i="59"/>
  <c r="F35" i="59"/>
  <c r="D36" i="59"/>
  <c r="E36" i="59"/>
  <c r="F36" i="59"/>
  <c r="D37" i="59"/>
  <c r="E37" i="59"/>
  <c r="F37" i="59"/>
  <c r="D38" i="59"/>
  <c r="E38" i="59"/>
  <c r="F38" i="59"/>
  <c r="D39" i="59"/>
  <c r="E39" i="59"/>
  <c r="F39" i="59"/>
  <c r="D40" i="59"/>
  <c r="E40" i="59"/>
  <c r="F40" i="59"/>
  <c r="D41" i="59"/>
  <c r="E41" i="59"/>
  <c r="F41" i="59"/>
  <c r="E14" i="60"/>
  <c r="F14" i="60"/>
  <c r="G14" i="60"/>
  <c r="H14" i="60"/>
  <c r="I14" i="60"/>
  <c r="K14" i="60"/>
  <c r="L14" i="60"/>
  <c r="E15" i="60"/>
  <c r="F15" i="60"/>
  <c r="G15" i="60"/>
  <c r="H15" i="60"/>
  <c r="I15" i="60"/>
  <c r="K15" i="60"/>
  <c r="L15" i="60"/>
  <c r="E16" i="60"/>
  <c r="F16" i="60"/>
  <c r="G16" i="60"/>
  <c r="H16" i="60"/>
  <c r="I16" i="60"/>
  <c r="J16" i="60"/>
  <c r="K16" i="60"/>
  <c r="L16" i="60"/>
  <c r="M16" i="60"/>
  <c r="E17" i="60"/>
  <c r="F17" i="60"/>
  <c r="G17" i="60"/>
  <c r="H17" i="60"/>
  <c r="I17" i="60"/>
  <c r="J17" i="60"/>
  <c r="K17" i="60"/>
  <c r="L17" i="60"/>
  <c r="M17" i="60"/>
  <c r="E18" i="60"/>
  <c r="F18" i="60"/>
  <c r="G18" i="60"/>
  <c r="H18" i="60"/>
  <c r="I18" i="60"/>
  <c r="J18" i="60"/>
  <c r="K18" i="60"/>
  <c r="L18" i="60"/>
  <c r="M18" i="60"/>
  <c r="N18" i="60"/>
  <c r="O18" i="60"/>
  <c r="E19" i="60"/>
  <c r="F19" i="60"/>
  <c r="G19" i="60"/>
  <c r="H19" i="60"/>
  <c r="I19" i="60"/>
  <c r="J19" i="60"/>
  <c r="K19" i="60"/>
  <c r="L19" i="60"/>
  <c r="M19" i="60"/>
  <c r="N19" i="60"/>
  <c r="O19" i="60"/>
  <c r="E20" i="60"/>
  <c r="F20" i="60"/>
  <c r="G20" i="60"/>
  <c r="H20" i="60"/>
  <c r="I20" i="60"/>
  <c r="J20" i="60"/>
  <c r="K20" i="60"/>
  <c r="L20" i="60"/>
  <c r="M20" i="60"/>
  <c r="N20" i="60"/>
  <c r="O20" i="60"/>
  <c r="E21" i="60"/>
  <c r="F21" i="60"/>
  <c r="G21" i="60"/>
  <c r="H21" i="60"/>
  <c r="I21" i="60"/>
  <c r="J21" i="60"/>
  <c r="K21" i="60"/>
  <c r="L21" i="60"/>
  <c r="M21" i="60"/>
  <c r="N21" i="60"/>
  <c r="O21" i="60"/>
  <c r="E22" i="60"/>
  <c r="F22" i="60"/>
  <c r="G22" i="60"/>
  <c r="H22" i="60"/>
  <c r="I22" i="60"/>
  <c r="J22" i="60"/>
  <c r="K22" i="60"/>
  <c r="L22" i="60"/>
  <c r="M22" i="60"/>
  <c r="N22" i="60"/>
  <c r="O22" i="60"/>
  <c r="E23" i="60"/>
  <c r="F23" i="60"/>
  <c r="G23" i="60"/>
  <c r="H23" i="60"/>
  <c r="I23" i="60"/>
  <c r="J23" i="60"/>
  <c r="K23" i="60"/>
  <c r="L23" i="60"/>
  <c r="M23" i="60"/>
  <c r="N23" i="60"/>
  <c r="O23" i="60"/>
  <c r="E24" i="60"/>
  <c r="F24" i="60"/>
  <c r="G24" i="60"/>
  <c r="H24" i="60"/>
  <c r="I24" i="60"/>
  <c r="J24" i="60"/>
  <c r="K24" i="60"/>
  <c r="L24" i="60"/>
  <c r="M24" i="60"/>
  <c r="N24" i="60"/>
  <c r="O24" i="60"/>
  <c r="E25" i="60"/>
  <c r="F25" i="60"/>
  <c r="G25" i="60"/>
  <c r="H25" i="60"/>
  <c r="I25" i="60"/>
  <c r="J25" i="60"/>
  <c r="K25" i="60"/>
  <c r="L25" i="60"/>
  <c r="M25" i="60"/>
  <c r="N25" i="60"/>
  <c r="O25" i="60"/>
  <c r="E26" i="60"/>
  <c r="F26" i="60"/>
  <c r="G26" i="60"/>
  <c r="H26" i="60"/>
  <c r="I26" i="60"/>
  <c r="J26" i="60"/>
  <c r="K26" i="60"/>
  <c r="L26" i="60"/>
  <c r="M26" i="60"/>
  <c r="N26" i="60"/>
  <c r="O26" i="60"/>
  <c r="E27" i="60"/>
  <c r="F27" i="60"/>
  <c r="G27" i="60"/>
  <c r="H27" i="60"/>
  <c r="I27" i="60"/>
  <c r="J27" i="60"/>
  <c r="K27" i="60"/>
  <c r="L27" i="60"/>
  <c r="M27" i="60"/>
  <c r="N27" i="60"/>
  <c r="O27" i="60"/>
  <c r="E28" i="60"/>
  <c r="F28" i="60"/>
  <c r="G28" i="60"/>
  <c r="H28" i="60"/>
  <c r="I28" i="60"/>
  <c r="J28" i="60"/>
  <c r="K28" i="60"/>
  <c r="L28" i="60"/>
  <c r="M28" i="60"/>
  <c r="N28" i="60"/>
  <c r="O28" i="60"/>
  <c r="E29" i="60"/>
  <c r="F29" i="60"/>
  <c r="G29" i="60"/>
  <c r="H29" i="60"/>
  <c r="I29" i="60"/>
  <c r="J29" i="60"/>
  <c r="K29" i="60"/>
  <c r="L29" i="60"/>
  <c r="M29" i="60"/>
  <c r="N29" i="60"/>
  <c r="O29" i="60"/>
  <c r="E30" i="60"/>
  <c r="F30" i="60"/>
  <c r="G30" i="60"/>
  <c r="H30" i="60"/>
  <c r="I30" i="60"/>
  <c r="J30" i="60"/>
  <c r="K30" i="60"/>
  <c r="L30" i="60"/>
  <c r="M30" i="60"/>
  <c r="N30" i="60"/>
  <c r="O30" i="60"/>
  <c r="E31" i="60"/>
  <c r="F31" i="60"/>
  <c r="G31" i="60"/>
  <c r="H31" i="60"/>
  <c r="I31" i="60"/>
  <c r="J31" i="60"/>
  <c r="K31" i="60"/>
  <c r="L31" i="60"/>
  <c r="M31" i="60"/>
  <c r="N31" i="60"/>
  <c r="O31" i="60"/>
  <c r="E32" i="60"/>
  <c r="F32" i="60"/>
  <c r="G32" i="60"/>
  <c r="H32" i="60"/>
  <c r="I32" i="60"/>
  <c r="J32" i="60"/>
  <c r="K32" i="60"/>
  <c r="L32" i="60"/>
  <c r="M32" i="60"/>
  <c r="N32" i="60"/>
  <c r="O32" i="60"/>
  <c r="E33" i="60"/>
  <c r="F33" i="60"/>
  <c r="G33" i="60"/>
  <c r="H33" i="60"/>
  <c r="I33" i="60"/>
  <c r="J33" i="60"/>
  <c r="K33" i="60"/>
  <c r="L33" i="60"/>
  <c r="M33" i="60"/>
  <c r="N33" i="60"/>
  <c r="O33" i="60"/>
  <c r="E34" i="60"/>
  <c r="F34" i="60"/>
  <c r="G34" i="60"/>
  <c r="H34" i="60"/>
  <c r="I34" i="60"/>
  <c r="J34" i="60"/>
  <c r="K34" i="60"/>
  <c r="L34" i="60"/>
  <c r="M34" i="60"/>
  <c r="N34" i="60"/>
  <c r="O34" i="60"/>
  <c r="E35" i="60"/>
  <c r="F35" i="60"/>
  <c r="G35" i="60"/>
  <c r="H35" i="60"/>
  <c r="I35" i="60"/>
  <c r="J35" i="60"/>
  <c r="K35" i="60"/>
  <c r="L35" i="60"/>
  <c r="M35" i="60"/>
  <c r="N35" i="60"/>
  <c r="O35" i="60"/>
  <c r="E36" i="60"/>
  <c r="F36" i="60"/>
  <c r="G36" i="60"/>
  <c r="H36" i="60"/>
  <c r="I36" i="60"/>
  <c r="J36" i="60"/>
  <c r="K36" i="60"/>
  <c r="L36" i="60"/>
  <c r="M36" i="60"/>
  <c r="N36" i="60"/>
  <c r="O36" i="60"/>
  <c r="E37" i="60"/>
  <c r="F37" i="60"/>
  <c r="G37" i="60"/>
  <c r="H37" i="60"/>
  <c r="I37" i="60"/>
  <c r="J37" i="60"/>
  <c r="K37" i="60"/>
  <c r="L37" i="60"/>
  <c r="M37" i="60"/>
  <c r="N37" i="60"/>
  <c r="O37" i="60"/>
  <c r="E38" i="60"/>
  <c r="F38" i="60"/>
  <c r="G38" i="60"/>
  <c r="H38" i="60"/>
  <c r="I38" i="60"/>
  <c r="J38" i="60"/>
  <c r="K38" i="60"/>
  <c r="L38" i="60"/>
  <c r="M38" i="60"/>
  <c r="N38" i="60"/>
  <c r="O38" i="60"/>
  <c r="E39" i="60"/>
  <c r="F39" i="60"/>
  <c r="G39" i="60"/>
  <c r="H39" i="60"/>
  <c r="I39" i="60"/>
  <c r="J39" i="60"/>
  <c r="K39" i="60"/>
  <c r="L39" i="60"/>
  <c r="M39" i="60"/>
  <c r="N39" i="60"/>
  <c r="O39" i="60"/>
  <c r="E40" i="60"/>
  <c r="F40" i="60"/>
  <c r="G40" i="60"/>
  <c r="H40" i="60"/>
  <c r="I40" i="60"/>
  <c r="J40" i="60"/>
  <c r="K40" i="60"/>
  <c r="L40" i="60"/>
  <c r="M40" i="60"/>
  <c r="N40" i="60"/>
  <c r="O40" i="60"/>
  <c r="E41" i="60"/>
  <c r="F41" i="60"/>
  <c r="G41" i="60"/>
  <c r="H41" i="60"/>
  <c r="I41" i="60"/>
  <c r="J41" i="60"/>
  <c r="K41" i="60"/>
  <c r="L41" i="60"/>
  <c r="M41" i="60"/>
  <c r="N41" i="60"/>
  <c r="O41" i="60"/>
  <c r="E42" i="60"/>
  <c r="F42" i="60"/>
  <c r="G42" i="60"/>
  <c r="H42" i="60"/>
  <c r="I42" i="60"/>
  <c r="J42" i="60"/>
  <c r="K42" i="60"/>
  <c r="L42" i="60"/>
  <c r="M42" i="60"/>
  <c r="N42" i="60"/>
  <c r="O42" i="60"/>
  <c r="E43" i="60"/>
  <c r="F43" i="60"/>
  <c r="G43" i="60"/>
  <c r="H43" i="60"/>
  <c r="I43" i="60"/>
  <c r="J43" i="60"/>
  <c r="K43" i="60"/>
  <c r="L43" i="60"/>
  <c r="M43" i="60"/>
  <c r="N43" i="60"/>
  <c r="O43" i="60"/>
  <c r="E44" i="60"/>
  <c r="F44" i="60"/>
  <c r="G44" i="60"/>
  <c r="H44" i="60"/>
  <c r="I44" i="60"/>
  <c r="J44" i="60"/>
  <c r="K44" i="60"/>
  <c r="L44" i="60"/>
  <c r="M44" i="60"/>
  <c r="N44" i="60"/>
  <c r="O44" i="60"/>
  <c r="E45" i="60"/>
  <c r="F45" i="60"/>
  <c r="G45" i="60"/>
  <c r="H45" i="60"/>
  <c r="I45" i="60"/>
  <c r="J45" i="60"/>
  <c r="K45" i="60"/>
  <c r="L45" i="60"/>
  <c r="M45" i="60"/>
  <c r="N45" i="60"/>
  <c r="O45" i="60"/>
  <c r="E46" i="60"/>
  <c r="F46" i="60"/>
  <c r="G46" i="60"/>
  <c r="H46" i="60"/>
  <c r="I46" i="60"/>
  <c r="J46" i="60"/>
  <c r="K46" i="60"/>
  <c r="L46" i="60"/>
  <c r="M46" i="60"/>
  <c r="N46" i="60"/>
  <c r="O46" i="60"/>
  <c r="E47" i="60"/>
  <c r="F47" i="60"/>
  <c r="G47" i="60"/>
  <c r="H47" i="60"/>
  <c r="I47" i="60"/>
  <c r="J47" i="60"/>
  <c r="K47" i="60"/>
  <c r="L47" i="60"/>
  <c r="M47" i="60"/>
  <c r="N47" i="60"/>
  <c r="O47" i="60"/>
  <c r="E48" i="60"/>
  <c r="F48" i="60"/>
  <c r="G48" i="60"/>
  <c r="H48" i="60"/>
  <c r="I48" i="60"/>
  <c r="J48" i="60"/>
  <c r="K48" i="60"/>
  <c r="L48" i="60"/>
  <c r="M48" i="60"/>
  <c r="N48" i="60"/>
  <c r="O48" i="60"/>
  <c r="E49" i="60"/>
  <c r="F49" i="60"/>
  <c r="G49" i="60"/>
  <c r="H49" i="60"/>
  <c r="I49" i="60"/>
  <c r="J49" i="60"/>
  <c r="K49" i="60"/>
  <c r="L49" i="60"/>
  <c r="M49" i="60"/>
  <c r="N49" i="60"/>
  <c r="O49" i="60"/>
  <c r="E50" i="60"/>
  <c r="F50" i="60"/>
  <c r="G50" i="60"/>
  <c r="H50" i="60"/>
  <c r="I50" i="60"/>
  <c r="J50" i="60"/>
  <c r="K50" i="60"/>
  <c r="L50" i="60"/>
  <c r="M50" i="60"/>
  <c r="N50" i="60"/>
  <c r="O50" i="60"/>
  <c r="E51" i="60"/>
  <c r="F51" i="60"/>
  <c r="G51" i="60"/>
  <c r="H51" i="60"/>
  <c r="I51" i="60"/>
  <c r="J51" i="60"/>
  <c r="K51" i="60"/>
  <c r="L51" i="60"/>
  <c r="M51" i="60"/>
  <c r="N51" i="60"/>
  <c r="O51" i="60"/>
  <c r="E52" i="60"/>
  <c r="F52" i="60"/>
  <c r="G52" i="60"/>
  <c r="H52" i="60"/>
  <c r="I52" i="60"/>
  <c r="J52" i="60"/>
  <c r="K52" i="60"/>
  <c r="L52" i="60"/>
  <c r="M52" i="60"/>
  <c r="N52" i="60"/>
  <c r="O52" i="60"/>
  <c r="E53" i="60"/>
  <c r="F53" i="60"/>
  <c r="G53" i="60"/>
  <c r="H53" i="60"/>
  <c r="I53" i="60"/>
  <c r="J53" i="60"/>
  <c r="K53" i="60"/>
  <c r="L53" i="60"/>
  <c r="M53" i="60"/>
  <c r="N53" i="60"/>
  <c r="O53" i="60"/>
  <c r="E54" i="60"/>
  <c r="F54" i="60"/>
  <c r="G54" i="60"/>
  <c r="H54" i="60"/>
  <c r="I54" i="60"/>
  <c r="J54" i="60"/>
  <c r="K54" i="60"/>
  <c r="L54" i="60"/>
  <c r="M54" i="60"/>
  <c r="N54" i="60"/>
  <c r="O54" i="60"/>
  <c r="E55" i="60"/>
  <c r="F55" i="60"/>
  <c r="G55" i="60"/>
  <c r="H55" i="60"/>
  <c r="I55" i="60"/>
  <c r="J55" i="60"/>
  <c r="K55" i="60"/>
  <c r="L55" i="60"/>
  <c r="M55" i="60"/>
  <c r="N55" i="60"/>
  <c r="O55" i="60"/>
  <c r="E56" i="60"/>
  <c r="F56" i="60"/>
  <c r="G56" i="60"/>
  <c r="H56" i="60"/>
  <c r="I56" i="60"/>
  <c r="J56" i="60"/>
  <c r="K56" i="60"/>
  <c r="L56" i="60"/>
  <c r="M56" i="60"/>
  <c r="N56" i="60"/>
  <c r="O56" i="60"/>
  <c r="E57" i="60"/>
  <c r="F57" i="60"/>
  <c r="G57" i="60"/>
  <c r="H57" i="60"/>
  <c r="I57" i="60"/>
  <c r="J57" i="60"/>
  <c r="K57" i="60"/>
  <c r="L57" i="60"/>
  <c r="M57" i="60"/>
  <c r="N57" i="60"/>
  <c r="O57" i="60"/>
  <c r="E58" i="60"/>
  <c r="F58" i="60"/>
  <c r="G58" i="60"/>
  <c r="H58" i="60"/>
  <c r="I58" i="60"/>
  <c r="J58" i="60"/>
  <c r="K58" i="60"/>
  <c r="L58" i="60"/>
  <c r="M58" i="60"/>
  <c r="N58" i="60"/>
  <c r="O58" i="60"/>
  <c r="E59" i="60"/>
  <c r="F59" i="60"/>
  <c r="G59" i="60"/>
  <c r="H59" i="60"/>
  <c r="I59" i="60"/>
  <c r="J59" i="60"/>
  <c r="K59" i="60"/>
  <c r="L59" i="60"/>
  <c r="M59" i="60"/>
  <c r="N59" i="60"/>
  <c r="O59" i="60"/>
  <c r="E60" i="60"/>
  <c r="F60" i="60"/>
  <c r="G60" i="60"/>
  <c r="H60" i="60"/>
  <c r="I60" i="60"/>
  <c r="J60" i="60"/>
  <c r="K60" i="60"/>
  <c r="L60" i="60"/>
  <c r="M60" i="60"/>
  <c r="N60" i="60"/>
  <c r="O60" i="60"/>
  <c r="E61" i="60"/>
  <c r="F61" i="60"/>
  <c r="G61" i="60"/>
  <c r="H61" i="60"/>
  <c r="I61" i="60"/>
  <c r="J61" i="60"/>
  <c r="K61" i="60"/>
  <c r="L61" i="60"/>
  <c r="M61" i="60"/>
  <c r="N61" i="60"/>
  <c r="O61" i="60"/>
  <c r="E62" i="60"/>
  <c r="F62" i="60"/>
  <c r="G62" i="60"/>
  <c r="H62" i="60"/>
  <c r="I62" i="60"/>
  <c r="J62" i="60"/>
  <c r="K62" i="60"/>
  <c r="L62" i="60"/>
  <c r="M62" i="60"/>
  <c r="N62" i="60"/>
  <c r="O62" i="60"/>
  <c r="E63" i="60"/>
  <c r="F63" i="60"/>
  <c r="G63" i="60"/>
  <c r="H63" i="60"/>
  <c r="I63" i="60"/>
  <c r="J63" i="60"/>
  <c r="K63" i="60"/>
  <c r="L63" i="60"/>
  <c r="M63" i="60"/>
  <c r="N63" i="60"/>
  <c r="O63" i="60"/>
  <c r="E64" i="60"/>
  <c r="F64" i="60"/>
  <c r="G64" i="60"/>
  <c r="H64" i="60"/>
  <c r="I64" i="60"/>
  <c r="J64" i="60"/>
  <c r="K64" i="60"/>
  <c r="L64" i="60"/>
  <c r="M64" i="60"/>
  <c r="N64" i="60"/>
  <c r="O64" i="60"/>
  <c r="E65" i="60"/>
  <c r="F65" i="60"/>
  <c r="G65" i="60"/>
  <c r="H65" i="60"/>
  <c r="I65" i="60"/>
  <c r="J65" i="60"/>
  <c r="K65" i="60"/>
  <c r="L65" i="60"/>
  <c r="M65" i="60"/>
  <c r="N65" i="60"/>
  <c r="O65" i="60"/>
  <c r="E26" i="85"/>
  <c r="F26" i="85"/>
  <c r="G26" i="85"/>
  <c r="H26" i="85"/>
  <c r="E27" i="85"/>
  <c r="F27" i="85"/>
  <c r="G27" i="85"/>
  <c r="H27" i="85"/>
  <c r="E28" i="85"/>
  <c r="F28" i="85"/>
  <c r="G28" i="85"/>
  <c r="H28" i="85"/>
  <c r="I28" i="85"/>
  <c r="J28" i="85"/>
  <c r="K28" i="85"/>
  <c r="E29" i="85"/>
  <c r="F29" i="85"/>
  <c r="G29" i="85"/>
  <c r="H29" i="85"/>
  <c r="I29" i="85"/>
  <c r="J29" i="85"/>
  <c r="K29" i="85"/>
  <c r="E30" i="85"/>
  <c r="F30" i="85"/>
  <c r="G30" i="85"/>
  <c r="H30" i="85"/>
  <c r="I30" i="85"/>
  <c r="J30" i="85"/>
  <c r="K30" i="85"/>
  <c r="L30" i="85"/>
  <c r="E31" i="85"/>
  <c r="F31" i="85"/>
  <c r="G31" i="85"/>
  <c r="H31" i="85"/>
  <c r="I31" i="85"/>
  <c r="J31" i="85"/>
  <c r="K31" i="85"/>
  <c r="L31" i="85"/>
  <c r="E32" i="85"/>
  <c r="F32" i="85"/>
  <c r="G32" i="85"/>
  <c r="H32" i="85"/>
  <c r="I32" i="85"/>
  <c r="J32" i="85"/>
  <c r="K32" i="85"/>
  <c r="L32" i="85"/>
  <c r="E33" i="85"/>
  <c r="F33" i="85"/>
  <c r="G33" i="85"/>
  <c r="H33" i="85"/>
  <c r="I33" i="85"/>
  <c r="J33" i="85"/>
  <c r="K33" i="85"/>
  <c r="L33" i="85"/>
  <c r="E34" i="85"/>
  <c r="F34" i="85"/>
  <c r="G34" i="85"/>
  <c r="H34" i="85"/>
  <c r="I34" i="85"/>
  <c r="J34" i="85"/>
  <c r="K34" i="85"/>
  <c r="L34" i="85"/>
  <c r="E35" i="85"/>
  <c r="F35" i="85"/>
  <c r="G35" i="85"/>
  <c r="H35" i="85"/>
  <c r="I35" i="85"/>
  <c r="J35" i="85"/>
  <c r="K35" i="85"/>
  <c r="L35" i="85"/>
  <c r="E36" i="85"/>
  <c r="F36" i="85"/>
  <c r="G36" i="85"/>
  <c r="H36" i="85"/>
  <c r="I36" i="85"/>
  <c r="J36" i="85"/>
  <c r="K36" i="85"/>
  <c r="L36" i="85"/>
  <c r="E37" i="85"/>
  <c r="F37" i="85"/>
  <c r="G37" i="85"/>
  <c r="H37" i="85"/>
  <c r="I37" i="85"/>
  <c r="J37" i="85"/>
  <c r="K37" i="85"/>
  <c r="L37" i="85"/>
  <c r="E38" i="85"/>
  <c r="F38" i="85"/>
  <c r="G38" i="85"/>
  <c r="H38" i="85"/>
  <c r="I38" i="85"/>
  <c r="J38" i="85"/>
  <c r="K38" i="85"/>
  <c r="L38" i="85"/>
  <c r="E39" i="85"/>
  <c r="F39" i="85"/>
  <c r="G39" i="85"/>
  <c r="H39" i="85"/>
  <c r="I39" i="85"/>
  <c r="J39" i="85"/>
  <c r="K39" i="85"/>
  <c r="L39" i="85"/>
  <c r="E40" i="85"/>
  <c r="F40" i="85"/>
  <c r="G40" i="85"/>
  <c r="H40" i="85"/>
  <c r="I40" i="85"/>
  <c r="J40" i="85"/>
  <c r="K40" i="85"/>
  <c r="L40" i="85"/>
  <c r="E41" i="85"/>
  <c r="F41" i="85"/>
  <c r="G41" i="85"/>
  <c r="H41" i="85"/>
  <c r="I41" i="85"/>
  <c r="J41" i="85"/>
  <c r="K41" i="85"/>
  <c r="L41" i="85"/>
  <c r="E42" i="85"/>
  <c r="F42" i="85"/>
  <c r="G42" i="85"/>
  <c r="H42" i="85"/>
  <c r="I42" i="85"/>
  <c r="J42" i="85"/>
  <c r="K42" i="85"/>
  <c r="L42" i="85"/>
  <c r="E43" i="85"/>
  <c r="F43" i="85"/>
  <c r="G43" i="85"/>
  <c r="H43" i="85"/>
  <c r="I43" i="85"/>
  <c r="J43" i="85"/>
  <c r="K43" i="85"/>
  <c r="L43" i="85"/>
  <c r="E44" i="85"/>
  <c r="F44" i="85"/>
  <c r="G44" i="85"/>
  <c r="H44" i="85"/>
  <c r="I44" i="85"/>
  <c r="J44" i="85"/>
  <c r="K44" i="85"/>
  <c r="L44" i="85"/>
  <c r="E45" i="85"/>
  <c r="F45" i="85"/>
  <c r="G45" i="85"/>
  <c r="H45" i="85"/>
  <c r="I45" i="85"/>
  <c r="J45" i="85"/>
  <c r="K45" i="85"/>
  <c r="L45" i="85"/>
  <c r="E46" i="85"/>
  <c r="F46" i="85"/>
  <c r="G46" i="85"/>
  <c r="H46" i="85"/>
  <c r="I46" i="85"/>
  <c r="J46" i="85"/>
  <c r="K46" i="85"/>
  <c r="L46" i="85"/>
  <c r="E47" i="85"/>
  <c r="F47" i="85"/>
  <c r="G47" i="85"/>
  <c r="H47" i="85"/>
  <c r="I47" i="85"/>
  <c r="J47" i="85"/>
  <c r="K47" i="85"/>
  <c r="L47" i="85"/>
  <c r="E48" i="85"/>
  <c r="F48" i="85"/>
  <c r="G48" i="85"/>
  <c r="H48" i="85"/>
  <c r="I48" i="85"/>
  <c r="J48" i="85"/>
  <c r="K48" i="85"/>
  <c r="L48" i="85"/>
  <c r="E49" i="85"/>
  <c r="F49" i="85"/>
  <c r="G49" i="85"/>
  <c r="H49" i="85"/>
  <c r="I49" i="85"/>
  <c r="J49" i="85"/>
  <c r="K49" i="85"/>
  <c r="L49" i="85"/>
  <c r="E50" i="85"/>
  <c r="F50" i="85"/>
  <c r="G50" i="85"/>
  <c r="H50" i="85"/>
  <c r="I50" i="85"/>
  <c r="J50" i="85"/>
  <c r="K50" i="85"/>
  <c r="L50" i="85"/>
  <c r="E51" i="85"/>
  <c r="F51" i="85"/>
  <c r="G51" i="85"/>
  <c r="H51" i="85"/>
  <c r="I51" i="85"/>
  <c r="J51" i="85"/>
  <c r="K51" i="85"/>
  <c r="L51" i="85"/>
  <c r="E52" i="85"/>
  <c r="F52" i="85"/>
  <c r="G52" i="85"/>
  <c r="H52" i="85"/>
  <c r="I52" i="85"/>
  <c r="J52" i="85"/>
  <c r="K52" i="85"/>
  <c r="L52" i="85"/>
  <c r="E53" i="85"/>
  <c r="F53" i="85"/>
  <c r="G53" i="85"/>
  <c r="H53" i="85"/>
  <c r="I53" i="85"/>
  <c r="J53" i="85"/>
  <c r="K53" i="85"/>
  <c r="L53" i="85"/>
  <c r="E54" i="85"/>
  <c r="F54" i="85"/>
  <c r="G54" i="85"/>
  <c r="H54" i="85"/>
  <c r="I54" i="85"/>
  <c r="J54" i="85"/>
  <c r="K54" i="85"/>
  <c r="L54" i="85"/>
  <c r="E55" i="85"/>
  <c r="F55" i="85"/>
  <c r="G55" i="85"/>
  <c r="H55" i="85"/>
  <c r="I55" i="85"/>
  <c r="J55" i="85"/>
  <c r="K55" i="85"/>
  <c r="L55" i="85"/>
  <c r="E56" i="85"/>
  <c r="F56" i="85"/>
  <c r="G56" i="85"/>
  <c r="H56" i="85"/>
  <c r="I56" i="85"/>
  <c r="J56" i="85"/>
  <c r="K56" i="85"/>
  <c r="L56" i="85"/>
  <c r="E57" i="85"/>
  <c r="F57" i="85"/>
  <c r="G57" i="85"/>
  <c r="H57" i="85"/>
  <c r="I57" i="85"/>
  <c r="J57" i="85"/>
  <c r="K57" i="85"/>
  <c r="L57" i="85"/>
  <c r="E58" i="85"/>
  <c r="F58" i="85"/>
  <c r="G58" i="85"/>
  <c r="H58" i="85"/>
  <c r="I58" i="85"/>
  <c r="J58" i="85"/>
  <c r="K58" i="85"/>
  <c r="L58" i="85"/>
  <c r="E59" i="85"/>
  <c r="F59" i="85"/>
  <c r="G59" i="85"/>
  <c r="H59" i="85"/>
  <c r="I59" i="85"/>
  <c r="J59" i="85"/>
  <c r="K59" i="85"/>
  <c r="L59" i="85"/>
  <c r="E60" i="85"/>
  <c r="F60" i="85"/>
  <c r="G60" i="85"/>
  <c r="H60" i="85"/>
  <c r="I60" i="85"/>
  <c r="J60" i="85"/>
  <c r="K60" i="85"/>
  <c r="L60" i="85"/>
  <c r="E61" i="85"/>
  <c r="F61" i="85"/>
  <c r="G61" i="85"/>
  <c r="H61" i="85"/>
  <c r="I61" i="85"/>
  <c r="J61" i="85"/>
  <c r="K61" i="85"/>
  <c r="L61" i="85"/>
  <c r="E62" i="85"/>
  <c r="F62" i="85"/>
  <c r="G62" i="85"/>
  <c r="H62" i="85"/>
  <c r="I62" i="85"/>
  <c r="J62" i="85"/>
  <c r="K62" i="85"/>
  <c r="L62" i="85"/>
  <c r="E63" i="85"/>
  <c r="F63" i="85"/>
  <c r="G63" i="85"/>
  <c r="H63" i="85"/>
  <c r="I63" i="85"/>
  <c r="J63" i="85"/>
  <c r="K63" i="85"/>
  <c r="L63" i="85"/>
  <c r="E64" i="85"/>
  <c r="F64" i="85"/>
  <c r="G64" i="85"/>
  <c r="H64" i="85"/>
  <c r="I64" i="85"/>
  <c r="J64" i="85"/>
  <c r="K64" i="85"/>
  <c r="L64" i="85"/>
  <c r="E65" i="85"/>
  <c r="F65" i="85"/>
  <c r="G65" i="85"/>
  <c r="H65" i="85"/>
  <c r="I65" i="85"/>
  <c r="J65" i="85"/>
  <c r="K65" i="85"/>
  <c r="L65" i="85"/>
  <c r="E66" i="85"/>
  <c r="F66" i="85"/>
  <c r="G66" i="85"/>
  <c r="H66" i="85"/>
  <c r="I66" i="85"/>
  <c r="J66" i="85"/>
  <c r="K66" i="85"/>
  <c r="L66" i="85"/>
  <c r="E67" i="85"/>
  <c r="F67" i="85"/>
  <c r="G67" i="85"/>
  <c r="H67" i="85"/>
  <c r="I67" i="85"/>
  <c r="J67" i="85"/>
  <c r="K67" i="85"/>
  <c r="L67" i="85"/>
  <c r="E68" i="85"/>
  <c r="F68" i="85"/>
  <c r="G68" i="85"/>
  <c r="H68" i="85"/>
  <c r="I68" i="85"/>
  <c r="J68" i="85"/>
  <c r="K68" i="85"/>
  <c r="L68" i="85"/>
  <c r="E69" i="85"/>
  <c r="F69" i="85"/>
  <c r="G69" i="85"/>
  <c r="H69" i="85"/>
  <c r="I69" i="85"/>
  <c r="J69" i="85"/>
  <c r="K69" i="85"/>
  <c r="L69" i="85"/>
  <c r="E70" i="85"/>
  <c r="F70" i="85"/>
  <c r="G70" i="85"/>
  <c r="H70" i="85"/>
  <c r="I70" i="85"/>
  <c r="J70" i="85"/>
  <c r="K70" i="85"/>
  <c r="L70" i="85"/>
  <c r="E71" i="85"/>
  <c r="F71" i="85"/>
  <c r="G71" i="85"/>
  <c r="H71" i="85"/>
  <c r="I71" i="85"/>
  <c r="J71" i="85"/>
  <c r="K71" i="85"/>
  <c r="L71" i="85"/>
  <c r="E72" i="85"/>
  <c r="F72" i="85"/>
  <c r="G72" i="85"/>
  <c r="H72" i="85"/>
  <c r="I72" i="85"/>
  <c r="J72" i="85"/>
  <c r="K72" i="85"/>
  <c r="L72" i="85"/>
  <c r="E73" i="85"/>
  <c r="F73" i="85"/>
  <c r="G73" i="85"/>
  <c r="H73" i="85"/>
  <c r="I73" i="85"/>
  <c r="J73" i="85"/>
  <c r="K73" i="85"/>
  <c r="L73" i="85"/>
  <c r="E74" i="85"/>
  <c r="F74" i="85"/>
  <c r="G74" i="85"/>
  <c r="H74" i="85"/>
  <c r="I74" i="85"/>
  <c r="J74" i="85"/>
  <c r="K74" i="85"/>
  <c r="L74" i="85"/>
  <c r="E75" i="85"/>
  <c r="F75" i="85"/>
  <c r="G75" i="85"/>
  <c r="H75" i="85"/>
  <c r="I75" i="85"/>
  <c r="J75" i="85"/>
  <c r="K75" i="85"/>
  <c r="L75" i="85"/>
  <c r="E76" i="85"/>
  <c r="F76" i="85"/>
  <c r="G76" i="85"/>
  <c r="H76" i="85"/>
  <c r="I76" i="85"/>
  <c r="J76" i="85"/>
  <c r="K76" i="85"/>
  <c r="L76" i="85"/>
  <c r="E77" i="85"/>
  <c r="F77" i="85"/>
  <c r="G77" i="85"/>
  <c r="H77" i="85"/>
  <c r="I77" i="85"/>
  <c r="J77" i="85"/>
  <c r="K77" i="85"/>
  <c r="L77" i="85"/>
  <c r="F19" i="90"/>
  <c r="G19" i="90"/>
  <c r="H19" i="90"/>
  <c r="I19" i="90"/>
  <c r="J19" i="90"/>
  <c r="K19" i="90"/>
  <c r="L19" i="90"/>
  <c r="M19" i="90"/>
  <c r="N19" i="90"/>
  <c r="O19" i="90"/>
  <c r="Q19" i="90"/>
  <c r="R19" i="90"/>
  <c r="F20" i="90"/>
  <c r="G20" i="90"/>
  <c r="H20" i="90"/>
  <c r="I20" i="90"/>
  <c r="J20" i="90"/>
  <c r="K20" i="90"/>
  <c r="L20" i="90"/>
  <c r="M20" i="90"/>
  <c r="N20" i="90"/>
  <c r="O20" i="90"/>
  <c r="Q20" i="90"/>
  <c r="R20" i="90"/>
  <c r="F21" i="90"/>
  <c r="G21" i="90"/>
  <c r="H21" i="90"/>
  <c r="I21" i="90"/>
  <c r="J21" i="90"/>
  <c r="K21" i="90"/>
  <c r="L21" i="90"/>
  <c r="M21" i="90"/>
  <c r="N21" i="90"/>
  <c r="O21" i="90"/>
  <c r="Q21" i="90"/>
  <c r="R21" i="90"/>
  <c r="F22" i="90"/>
  <c r="G22" i="90"/>
  <c r="H22" i="90"/>
  <c r="I22" i="90"/>
  <c r="J22" i="90"/>
  <c r="K22" i="90"/>
  <c r="L22" i="90"/>
  <c r="M22" i="90"/>
  <c r="N22" i="90"/>
  <c r="O22" i="90"/>
  <c r="Q22" i="90"/>
  <c r="R22" i="90"/>
  <c r="F23" i="90"/>
  <c r="G23" i="90"/>
  <c r="H23" i="90"/>
  <c r="I23" i="90"/>
  <c r="J23" i="90"/>
  <c r="K23" i="90"/>
  <c r="L23" i="90"/>
  <c r="M23" i="90"/>
  <c r="N23" i="90"/>
  <c r="O23" i="90"/>
  <c r="Q23" i="90"/>
  <c r="R23" i="90"/>
  <c r="F24" i="90"/>
  <c r="G24" i="90"/>
  <c r="H24" i="90"/>
  <c r="I24" i="90"/>
  <c r="J24" i="90"/>
  <c r="K24" i="90"/>
  <c r="L24" i="90"/>
  <c r="M24" i="90"/>
  <c r="N24" i="90"/>
  <c r="O24" i="90"/>
  <c r="Q24" i="90"/>
  <c r="R24" i="90"/>
  <c r="F25" i="90"/>
  <c r="G25" i="90"/>
  <c r="H25" i="90"/>
  <c r="I25" i="90"/>
  <c r="J25" i="90"/>
  <c r="K25" i="90"/>
  <c r="L25" i="90"/>
  <c r="M25" i="90"/>
  <c r="N25" i="90"/>
  <c r="O25" i="90"/>
  <c r="Q25" i="90"/>
  <c r="R25" i="90"/>
  <c r="F26" i="90"/>
  <c r="G26" i="90"/>
  <c r="H26" i="90"/>
  <c r="I26" i="90"/>
  <c r="J26" i="90"/>
  <c r="K26" i="90"/>
  <c r="L26" i="90"/>
  <c r="M26" i="90"/>
  <c r="N26" i="90"/>
  <c r="O26" i="90"/>
  <c r="Q26" i="90"/>
  <c r="R26" i="90"/>
  <c r="F27" i="90"/>
  <c r="G27" i="90"/>
  <c r="H27" i="90"/>
  <c r="I27" i="90"/>
  <c r="J27" i="90"/>
  <c r="K27" i="90"/>
  <c r="L27" i="90"/>
  <c r="M27" i="90"/>
  <c r="N27" i="90"/>
  <c r="O27" i="90"/>
  <c r="Q27" i="90"/>
  <c r="R27" i="90"/>
  <c r="F28" i="90"/>
  <c r="G28" i="90"/>
  <c r="H28" i="90"/>
  <c r="I28" i="90"/>
  <c r="J28" i="90"/>
  <c r="K28" i="90"/>
  <c r="L28" i="90"/>
  <c r="M28" i="90"/>
  <c r="N28" i="90"/>
  <c r="O28" i="90"/>
  <c r="Q28" i="90"/>
  <c r="R28" i="90"/>
  <c r="F29" i="90"/>
  <c r="G29" i="90"/>
  <c r="H29" i="90"/>
  <c r="I29" i="90"/>
  <c r="J29" i="90"/>
  <c r="K29" i="90"/>
  <c r="L29" i="90"/>
  <c r="M29" i="90"/>
  <c r="N29" i="90"/>
  <c r="O29" i="90"/>
  <c r="Q29" i="90"/>
  <c r="R29" i="90"/>
  <c r="F30" i="90"/>
  <c r="G30" i="90"/>
  <c r="H30" i="90"/>
  <c r="I30" i="90"/>
  <c r="J30" i="90"/>
  <c r="K30" i="90"/>
  <c r="L30" i="90"/>
  <c r="M30" i="90"/>
  <c r="N30" i="90"/>
  <c r="O30" i="90"/>
  <c r="Q30" i="90"/>
  <c r="R30" i="90"/>
  <c r="F31" i="90"/>
  <c r="G31" i="90"/>
  <c r="H31" i="90"/>
  <c r="I31" i="90"/>
  <c r="J31" i="90"/>
  <c r="K31" i="90"/>
  <c r="L31" i="90"/>
  <c r="M31" i="90"/>
  <c r="N31" i="90"/>
  <c r="O31" i="90"/>
  <c r="Q31" i="90"/>
  <c r="R31" i="90"/>
  <c r="F32" i="90"/>
  <c r="G32" i="90"/>
  <c r="H32" i="90"/>
  <c r="I32" i="90"/>
  <c r="J32" i="90"/>
  <c r="K32" i="90"/>
  <c r="L32" i="90"/>
  <c r="M32" i="90"/>
  <c r="N32" i="90"/>
  <c r="O32" i="90"/>
  <c r="Q32" i="90"/>
  <c r="R32" i="90"/>
  <c r="F33" i="90"/>
  <c r="G33" i="90"/>
  <c r="H33" i="90"/>
  <c r="I33" i="90"/>
  <c r="J33" i="90"/>
  <c r="K33" i="90"/>
  <c r="L33" i="90"/>
  <c r="M33" i="90"/>
  <c r="N33" i="90"/>
  <c r="O33" i="90"/>
  <c r="Q33" i="90"/>
  <c r="R33" i="90"/>
  <c r="F34" i="90"/>
  <c r="G34" i="90"/>
  <c r="H34" i="90"/>
  <c r="I34" i="90"/>
  <c r="J34" i="90"/>
  <c r="K34" i="90"/>
  <c r="L34" i="90"/>
  <c r="M34" i="90"/>
  <c r="N34" i="90"/>
  <c r="O34" i="90"/>
  <c r="Q34" i="90"/>
  <c r="R34" i="90"/>
  <c r="F35" i="90"/>
  <c r="G35" i="90"/>
  <c r="H35" i="90"/>
  <c r="I35" i="90"/>
  <c r="J35" i="90"/>
  <c r="K35" i="90"/>
  <c r="L35" i="90"/>
  <c r="M35" i="90"/>
  <c r="N35" i="90"/>
  <c r="O35" i="90"/>
  <c r="Q35" i="90"/>
  <c r="R35" i="90"/>
  <c r="F36" i="90"/>
  <c r="G36" i="90"/>
  <c r="H36" i="90"/>
  <c r="I36" i="90"/>
  <c r="J36" i="90"/>
  <c r="K36" i="90"/>
  <c r="L36" i="90"/>
  <c r="M36" i="90"/>
  <c r="N36" i="90"/>
  <c r="O36" i="90"/>
  <c r="Q36" i="90"/>
  <c r="R36" i="90"/>
  <c r="F37" i="90"/>
  <c r="G37" i="90"/>
  <c r="H37" i="90"/>
  <c r="I37" i="90"/>
  <c r="J37" i="90"/>
  <c r="K37" i="90"/>
  <c r="L37" i="90"/>
  <c r="M37" i="90"/>
  <c r="N37" i="90"/>
  <c r="O37" i="90"/>
  <c r="Q37" i="90"/>
  <c r="R37" i="90"/>
  <c r="F38" i="90"/>
  <c r="G38" i="90"/>
  <c r="H38" i="90"/>
  <c r="I38" i="90"/>
  <c r="J38" i="90"/>
  <c r="K38" i="90"/>
  <c r="L38" i="90"/>
  <c r="M38" i="90"/>
  <c r="N38" i="90"/>
  <c r="O38" i="90"/>
  <c r="Q38" i="90"/>
  <c r="R38" i="90"/>
  <c r="F39" i="90"/>
  <c r="G39" i="90"/>
  <c r="H39" i="90"/>
  <c r="I39" i="90"/>
  <c r="J39" i="90"/>
  <c r="K39" i="90"/>
  <c r="L39" i="90"/>
  <c r="M39" i="90"/>
  <c r="N39" i="90"/>
  <c r="O39" i="90"/>
  <c r="Q39" i="90"/>
  <c r="R39" i="90"/>
  <c r="F40" i="90"/>
  <c r="G40" i="90"/>
  <c r="H40" i="90"/>
  <c r="I40" i="90"/>
  <c r="J40" i="90"/>
  <c r="K40" i="90"/>
  <c r="L40" i="90"/>
  <c r="M40" i="90"/>
  <c r="N40" i="90"/>
  <c r="O40" i="90"/>
  <c r="Q40" i="90"/>
  <c r="R40" i="90"/>
  <c r="F41" i="90"/>
  <c r="G41" i="90"/>
  <c r="H41" i="90"/>
  <c r="I41" i="90"/>
  <c r="J41" i="90"/>
  <c r="K41" i="90"/>
  <c r="L41" i="90"/>
  <c r="M41" i="90"/>
  <c r="N41" i="90"/>
  <c r="O41" i="90"/>
  <c r="Q41" i="90"/>
  <c r="R41" i="90"/>
  <c r="F42" i="90"/>
  <c r="G42" i="90"/>
  <c r="H42" i="90"/>
  <c r="I42" i="90"/>
  <c r="J42" i="90"/>
  <c r="K42" i="90"/>
  <c r="L42" i="90"/>
  <c r="M42" i="90"/>
  <c r="N42" i="90"/>
  <c r="O42" i="90"/>
  <c r="Q42" i="90"/>
  <c r="R42" i="90"/>
  <c r="F43" i="90"/>
  <c r="G43" i="90"/>
  <c r="H43" i="90"/>
  <c r="I43" i="90"/>
  <c r="J43" i="90"/>
  <c r="K43" i="90"/>
  <c r="L43" i="90"/>
  <c r="M43" i="90"/>
  <c r="N43" i="90"/>
  <c r="O43" i="90"/>
  <c r="Q43" i="90"/>
  <c r="R43" i="90"/>
  <c r="F44" i="90"/>
  <c r="G44" i="90"/>
  <c r="H44" i="90"/>
  <c r="I44" i="90"/>
  <c r="J44" i="90"/>
  <c r="K44" i="90"/>
  <c r="L44" i="90"/>
  <c r="M44" i="90"/>
  <c r="N44" i="90"/>
  <c r="O44" i="90"/>
  <c r="Q44" i="90"/>
  <c r="R44" i="90"/>
  <c r="F45" i="90"/>
  <c r="G45" i="90"/>
  <c r="H45" i="90"/>
  <c r="I45" i="90"/>
  <c r="J45" i="90"/>
  <c r="K45" i="90"/>
  <c r="L45" i="90"/>
  <c r="M45" i="90"/>
  <c r="N45" i="90"/>
  <c r="O45" i="90"/>
  <c r="Q45" i="90"/>
  <c r="R45" i="90"/>
  <c r="F46" i="90"/>
  <c r="G46" i="90"/>
  <c r="H46" i="90"/>
  <c r="I46" i="90"/>
  <c r="J46" i="90"/>
  <c r="K46" i="90"/>
  <c r="L46" i="90"/>
  <c r="M46" i="90"/>
  <c r="N46" i="90"/>
  <c r="O46" i="90"/>
  <c r="Q46" i="90"/>
  <c r="R46" i="90"/>
  <c r="F47" i="90"/>
  <c r="G47" i="90"/>
  <c r="H47" i="90"/>
  <c r="I47" i="90"/>
  <c r="J47" i="90"/>
  <c r="K47" i="90"/>
  <c r="L47" i="90"/>
  <c r="M47" i="90"/>
  <c r="N47" i="90"/>
  <c r="O47" i="90"/>
  <c r="Q47" i="90"/>
  <c r="R47" i="90"/>
  <c r="F48" i="90"/>
  <c r="G48" i="90"/>
  <c r="H48" i="90"/>
  <c r="I48" i="90"/>
  <c r="J48" i="90"/>
  <c r="K48" i="90"/>
  <c r="L48" i="90"/>
  <c r="M48" i="90"/>
  <c r="N48" i="90"/>
  <c r="O48" i="90"/>
  <c r="Q48" i="90"/>
  <c r="R48" i="90"/>
  <c r="F49" i="90"/>
  <c r="G49" i="90"/>
  <c r="H49" i="90"/>
  <c r="I49" i="90"/>
  <c r="J49" i="90"/>
  <c r="K49" i="90"/>
  <c r="L49" i="90"/>
  <c r="M49" i="90"/>
  <c r="N49" i="90"/>
  <c r="O49" i="90"/>
  <c r="Q49" i="90"/>
  <c r="R49" i="90"/>
  <c r="F50" i="90"/>
  <c r="G50" i="90"/>
  <c r="H50" i="90"/>
  <c r="I50" i="90"/>
  <c r="J50" i="90"/>
  <c r="K50" i="90"/>
  <c r="L50" i="90"/>
  <c r="M50" i="90"/>
  <c r="N50" i="90"/>
  <c r="O50" i="90"/>
  <c r="Q50" i="90"/>
  <c r="R50" i="90"/>
  <c r="F51" i="90"/>
  <c r="G51" i="90"/>
  <c r="H51" i="90"/>
  <c r="I51" i="90"/>
  <c r="J51" i="90"/>
  <c r="K51" i="90"/>
  <c r="L51" i="90"/>
  <c r="M51" i="90"/>
  <c r="N51" i="90"/>
  <c r="O51" i="90"/>
  <c r="Q51" i="90"/>
  <c r="R51" i="90"/>
  <c r="F52" i="90"/>
  <c r="G52" i="90"/>
  <c r="H52" i="90"/>
  <c r="I52" i="90"/>
  <c r="J52" i="90"/>
  <c r="K52" i="90"/>
  <c r="L52" i="90"/>
  <c r="M52" i="90"/>
  <c r="N52" i="90"/>
  <c r="O52" i="90"/>
  <c r="Q52" i="90"/>
  <c r="R52" i="90"/>
  <c r="F53" i="90"/>
  <c r="G53" i="90"/>
  <c r="H53" i="90"/>
  <c r="I53" i="90"/>
  <c r="J53" i="90"/>
  <c r="K53" i="90"/>
  <c r="L53" i="90"/>
  <c r="M53" i="90"/>
  <c r="N53" i="90"/>
  <c r="O53" i="90"/>
  <c r="Q53" i="90"/>
  <c r="R53" i="90"/>
  <c r="F54" i="90"/>
  <c r="G54" i="90"/>
  <c r="H54" i="90"/>
  <c r="I54" i="90"/>
  <c r="J54" i="90"/>
  <c r="K54" i="90"/>
  <c r="L54" i="90"/>
  <c r="M54" i="90"/>
  <c r="N54" i="90"/>
  <c r="O54" i="90"/>
  <c r="Q54" i="90"/>
  <c r="R54" i="90"/>
  <c r="F55" i="90"/>
  <c r="G55" i="90"/>
  <c r="H55" i="90"/>
  <c r="I55" i="90"/>
  <c r="J55" i="90"/>
  <c r="K55" i="90"/>
  <c r="L55" i="90"/>
  <c r="M55" i="90"/>
  <c r="N55" i="90"/>
  <c r="O55" i="90"/>
  <c r="Q55" i="90"/>
  <c r="R55" i="90"/>
  <c r="F56" i="90"/>
  <c r="G56" i="90"/>
  <c r="H56" i="90"/>
  <c r="I56" i="90"/>
  <c r="J56" i="90"/>
  <c r="K56" i="90"/>
  <c r="L56" i="90"/>
  <c r="M56" i="90"/>
  <c r="N56" i="90"/>
  <c r="O56" i="90"/>
  <c r="Q56" i="90"/>
  <c r="R56" i="90"/>
  <c r="F57" i="90"/>
  <c r="G57" i="90"/>
  <c r="H57" i="90"/>
  <c r="I57" i="90"/>
  <c r="J57" i="90"/>
  <c r="K57" i="90"/>
  <c r="L57" i="90"/>
  <c r="M57" i="90"/>
  <c r="N57" i="90"/>
  <c r="O57" i="90"/>
  <c r="Q57" i="90"/>
  <c r="R57" i="90"/>
  <c r="F58" i="90"/>
  <c r="G58" i="90"/>
  <c r="H58" i="90"/>
  <c r="I58" i="90"/>
  <c r="J58" i="90"/>
  <c r="K58" i="90"/>
  <c r="L58" i="90"/>
  <c r="M58" i="90"/>
  <c r="N58" i="90"/>
  <c r="O58" i="90"/>
  <c r="Q58" i="90"/>
  <c r="R58" i="90"/>
  <c r="F59" i="90"/>
  <c r="G59" i="90"/>
  <c r="H59" i="90"/>
  <c r="I59" i="90"/>
  <c r="J59" i="90"/>
  <c r="K59" i="90"/>
  <c r="L59" i="90"/>
  <c r="M59" i="90"/>
  <c r="N59" i="90"/>
  <c r="O59" i="90"/>
  <c r="Q59" i="90"/>
  <c r="R59" i="90"/>
  <c r="F60" i="90"/>
  <c r="G60" i="90"/>
  <c r="H60" i="90"/>
  <c r="I60" i="90"/>
  <c r="J60" i="90"/>
  <c r="K60" i="90"/>
  <c r="L60" i="90"/>
  <c r="M60" i="90"/>
  <c r="N60" i="90"/>
  <c r="O60" i="90"/>
  <c r="Q60" i="90"/>
  <c r="R60" i="90"/>
  <c r="F61" i="90"/>
  <c r="G61" i="90"/>
  <c r="H61" i="90"/>
  <c r="I61" i="90"/>
  <c r="J61" i="90"/>
  <c r="K61" i="90"/>
  <c r="L61" i="90"/>
  <c r="M61" i="90"/>
  <c r="N61" i="90"/>
  <c r="O61" i="90"/>
  <c r="Q61" i="90"/>
  <c r="R61" i="90"/>
  <c r="F62" i="90"/>
  <c r="G62" i="90"/>
  <c r="H62" i="90"/>
  <c r="I62" i="90"/>
  <c r="J62" i="90"/>
  <c r="K62" i="90"/>
  <c r="L62" i="90"/>
  <c r="M62" i="90"/>
  <c r="N62" i="90"/>
  <c r="O62" i="90"/>
  <c r="Q62" i="90"/>
  <c r="R62" i="90"/>
  <c r="F63" i="90"/>
  <c r="G63" i="90"/>
  <c r="H63" i="90"/>
  <c r="I63" i="90"/>
  <c r="J63" i="90"/>
  <c r="K63" i="90"/>
  <c r="L63" i="90"/>
  <c r="M63" i="90"/>
  <c r="N63" i="90"/>
  <c r="O63" i="90"/>
  <c r="Q63" i="90"/>
  <c r="R63" i="90"/>
  <c r="F64" i="90"/>
  <c r="G64" i="90"/>
  <c r="H64" i="90"/>
  <c r="I64" i="90"/>
  <c r="J64" i="90"/>
  <c r="K64" i="90"/>
  <c r="L64" i="90"/>
  <c r="M64" i="90"/>
  <c r="N64" i="90"/>
  <c r="O64" i="90"/>
  <c r="Q64" i="90"/>
  <c r="R64" i="90"/>
  <c r="F65" i="90"/>
  <c r="G65" i="90"/>
  <c r="H65" i="90"/>
  <c r="I65" i="90"/>
  <c r="J65" i="90"/>
  <c r="K65" i="90"/>
  <c r="L65" i="90"/>
  <c r="M65" i="90"/>
  <c r="N65" i="90"/>
  <c r="O65" i="90"/>
  <c r="Q65" i="90"/>
  <c r="R65" i="90"/>
  <c r="F66" i="90"/>
  <c r="G66" i="90"/>
  <c r="H66" i="90"/>
  <c r="I66" i="90"/>
  <c r="J66" i="90"/>
  <c r="K66" i="90"/>
  <c r="L66" i="90"/>
  <c r="M66" i="90"/>
  <c r="N66" i="90"/>
  <c r="O66" i="90"/>
  <c r="Q66" i="90"/>
  <c r="R66" i="90"/>
  <c r="F67" i="90"/>
  <c r="G67" i="90"/>
  <c r="H67" i="90"/>
  <c r="I67" i="90"/>
  <c r="J67" i="90"/>
  <c r="K67" i="90"/>
  <c r="L67" i="90"/>
  <c r="M67" i="90"/>
  <c r="N67" i="90"/>
  <c r="O67" i="90"/>
  <c r="Q67" i="90"/>
  <c r="R67" i="90"/>
  <c r="D57" i="79"/>
  <c r="E57" i="79"/>
  <c r="F57" i="79"/>
  <c r="G57" i="79"/>
  <c r="D58" i="79"/>
  <c r="E58" i="79"/>
  <c r="F58" i="79"/>
  <c r="G58" i="79"/>
  <c r="D59" i="79"/>
  <c r="E59" i="79"/>
  <c r="F59" i="79"/>
  <c r="G59" i="79"/>
  <c r="D60" i="79"/>
  <c r="E60" i="79"/>
  <c r="F60" i="79"/>
  <c r="G60" i="79"/>
  <c r="D61" i="79"/>
  <c r="E61" i="79"/>
  <c r="F61" i="79"/>
  <c r="G61" i="79"/>
  <c r="D62" i="79"/>
  <c r="E62" i="79"/>
  <c r="F62" i="79"/>
  <c r="G62" i="79"/>
  <c r="D63" i="79"/>
  <c r="E63" i="79"/>
  <c r="F63" i="79"/>
  <c r="G63" i="79"/>
  <c r="D7" i="61"/>
  <c r="D8" i="61"/>
  <c r="D9" i="61"/>
  <c r="D10" i="61"/>
  <c r="D11" i="61"/>
  <c r="D12" i="61"/>
  <c r="D13" i="61"/>
  <c r="D14" i="61"/>
  <c r="D15" i="61"/>
  <c r="D16" i="61"/>
  <c r="D17" i="61"/>
  <c r="D18" i="61"/>
  <c r="D19" i="61"/>
  <c r="D20" i="61"/>
  <c r="D21" i="61"/>
  <c r="D22" i="61"/>
  <c r="D23" i="61"/>
  <c r="D24" i="61"/>
  <c r="D25" i="61"/>
  <c r="D26" i="61"/>
  <c r="D27" i="61"/>
  <c r="D28" i="61"/>
  <c r="D29" i="61"/>
  <c r="D30" i="61"/>
  <c r="D31" i="61"/>
  <c r="D32" i="61"/>
  <c r="D33" i="61"/>
  <c r="D34" i="61"/>
  <c r="D35" i="61"/>
  <c r="D36" i="61"/>
  <c r="D37" i="61"/>
  <c r="D38" i="61"/>
  <c r="D39" i="61"/>
  <c r="D40" i="61"/>
  <c r="D41" i="61"/>
  <c r="D42" i="61"/>
  <c r="D43" i="61"/>
  <c r="D44" i="61"/>
  <c r="D45" i="61"/>
  <c r="D46" i="61"/>
  <c r="D47" i="61"/>
  <c r="D48" i="61"/>
  <c r="D49" i="61"/>
  <c r="D50" i="61"/>
  <c r="D51" i="61"/>
  <c r="D52" i="61"/>
  <c r="D53" i="61"/>
  <c r="D54" i="61"/>
  <c r="D55" i="61"/>
  <c r="D56" i="61"/>
  <c r="D57" i="61"/>
  <c r="D58" i="61"/>
  <c r="D59" i="61"/>
  <c r="D13" i="78"/>
  <c r="D14" i="78"/>
  <c r="D15" i="78"/>
  <c r="E15" i="78"/>
  <c r="D16" i="78"/>
  <c r="E16" i="78"/>
  <c r="D17" i="78"/>
  <c r="E17" i="78"/>
  <c r="F17" i="78"/>
  <c r="D18" i="78"/>
  <c r="E18" i="78"/>
  <c r="F18" i="78"/>
  <c r="D19" i="78"/>
  <c r="E19" i="78"/>
  <c r="F19" i="78"/>
  <c r="D20" i="78"/>
  <c r="E20" i="78"/>
  <c r="F20" i="78"/>
  <c r="G20" i="78"/>
  <c r="D21" i="78"/>
  <c r="E21" i="78"/>
  <c r="F21" i="78"/>
  <c r="G21" i="78"/>
  <c r="D22" i="78"/>
  <c r="E22" i="78"/>
  <c r="F22" i="78"/>
  <c r="G22" i="78"/>
  <c r="D23" i="78"/>
  <c r="E23" i="78"/>
  <c r="F23" i="78"/>
  <c r="G23" i="78"/>
  <c r="D24" i="78"/>
  <c r="E24" i="78"/>
  <c r="F24" i="78"/>
  <c r="G24" i="78"/>
  <c r="D25" i="78"/>
  <c r="E25" i="78"/>
  <c r="F25" i="78"/>
  <c r="G25" i="78"/>
  <c r="D26" i="78"/>
  <c r="E26" i="78"/>
  <c r="F26" i="78"/>
  <c r="G26" i="78"/>
  <c r="D27" i="78"/>
  <c r="E27" i="78"/>
  <c r="F27" i="78"/>
  <c r="G27" i="78"/>
  <c r="D28" i="78"/>
  <c r="E28" i="78"/>
  <c r="F28" i="78"/>
  <c r="G28" i="78"/>
  <c r="D29" i="78"/>
  <c r="E29" i="78"/>
  <c r="F29" i="78"/>
  <c r="G29" i="78"/>
  <c r="D30" i="78"/>
  <c r="E30" i="78"/>
  <c r="F30" i="78"/>
  <c r="G30" i="78"/>
  <c r="D31" i="78"/>
  <c r="E31" i="78"/>
  <c r="F31" i="78"/>
  <c r="G31" i="78"/>
  <c r="D32" i="78"/>
  <c r="E32" i="78"/>
  <c r="F32" i="78"/>
  <c r="G32" i="78"/>
  <c r="D33" i="78"/>
  <c r="E33" i="78"/>
  <c r="F33" i="78"/>
  <c r="G33" i="78"/>
  <c r="D34" i="78"/>
  <c r="E34" i="78"/>
  <c r="F34" i="78"/>
  <c r="G34" i="78"/>
  <c r="D35" i="78"/>
  <c r="E35" i="78"/>
  <c r="F35" i="78"/>
  <c r="G35" i="78"/>
  <c r="D36" i="78"/>
  <c r="E36" i="78"/>
  <c r="F36" i="78"/>
  <c r="G36" i="78"/>
  <c r="D37" i="78"/>
  <c r="E37" i="78"/>
  <c r="F37" i="78"/>
  <c r="G37" i="78"/>
  <c r="D38" i="78"/>
  <c r="E38" i="78"/>
  <c r="F38" i="78"/>
  <c r="G38" i="78"/>
  <c r="D39" i="78"/>
  <c r="E39" i="78"/>
  <c r="F39" i="78"/>
  <c r="G39" i="78"/>
  <c r="D40" i="78"/>
  <c r="E40" i="78"/>
  <c r="F40" i="78"/>
  <c r="G40" i="78"/>
  <c r="D41" i="78"/>
  <c r="E41" i="78"/>
  <c r="F41" i="78"/>
  <c r="G41" i="78"/>
  <c r="D42" i="78"/>
  <c r="E42" i="78"/>
  <c r="F42" i="78"/>
  <c r="G42" i="78"/>
  <c r="D43" i="78"/>
  <c r="E43" i="78"/>
  <c r="F43" i="78"/>
  <c r="G43" i="78"/>
  <c r="D44" i="78"/>
  <c r="E44" i="78"/>
  <c r="F44" i="78"/>
  <c r="G44" i="78"/>
  <c r="D45" i="78"/>
  <c r="E45" i="78"/>
  <c r="F45" i="78"/>
  <c r="G45" i="78"/>
  <c r="D46" i="78"/>
  <c r="E46" i="78"/>
  <c r="F46" i="78"/>
  <c r="G46" i="78"/>
  <c r="D47" i="78"/>
  <c r="E47" i="78"/>
  <c r="F47" i="78"/>
  <c r="G47" i="78"/>
  <c r="D48" i="78"/>
  <c r="E48" i="78"/>
  <c r="F48" i="78"/>
  <c r="G48" i="78"/>
  <c r="D49" i="78"/>
  <c r="E49" i="78"/>
  <c r="F49" i="78"/>
  <c r="G49" i="78"/>
  <c r="D50" i="78"/>
  <c r="E50" i="78"/>
  <c r="F50" i="78"/>
  <c r="G50" i="78"/>
  <c r="D51" i="78"/>
  <c r="E51" i="78"/>
  <c r="F51" i="78"/>
  <c r="G51" i="78"/>
  <c r="D52" i="78"/>
  <c r="E52" i="78"/>
  <c r="F52" i="78"/>
  <c r="G52" i="78"/>
  <c r="D53" i="78"/>
  <c r="E53" i="78"/>
  <c r="F53" i="78"/>
  <c r="G53" i="78"/>
  <c r="D54" i="78"/>
  <c r="E54" i="78"/>
  <c r="F54" i="78"/>
  <c r="G54" i="78"/>
  <c r="D55" i="78"/>
  <c r="E55" i="78"/>
  <c r="F55" i="78"/>
  <c r="G55" i="78"/>
  <c r="D56" i="78"/>
  <c r="E56" i="78"/>
  <c r="F56" i="78"/>
  <c r="G56" i="78"/>
  <c r="D57" i="78"/>
  <c r="E57" i="78"/>
  <c r="F57" i="78"/>
  <c r="G57" i="78"/>
  <c r="D58" i="78"/>
  <c r="E58" i="78"/>
  <c r="F58" i="78"/>
  <c r="G58" i="78"/>
  <c r="D59" i="78"/>
  <c r="E59" i="78"/>
  <c r="F59" i="78"/>
  <c r="G59" i="78"/>
  <c r="D60" i="78"/>
  <c r="E60" i="78"/>
  <c r="F60" i="78"/>
  <c r="G60" i="78"/>
  <c r="D61" i="78"/>
  <c r="E61" i="78"/>
  <c r="F61" i="78"/>
  <c r="G61" i="78"/>
  <c r="D62" i="78"/>
  <c r="E62" i="78"/>
  <c r="F62" i="78"/>
  <c r="G62" i="78"/>
  <c r="D63" i="78"/>
  <c r="E63" i="78"/>
  <c r="F63" i="78"/>
  <c r="G63" i="78"/>
  <c r="D64" i="78"/>
  <c r="E64" i="78"/>
  <c r="F64" i="78"/>
  <c r="G64" i="78"/>
  <c r="D65" i="78"/>
  <c r="E65" i="78"/>
  <c r="F65" i="78"/>
  <c r="G65" i="78"/>
  <c r="D66" i="78"/>
  <c r="E66" i="78"/>
  <c r="F66" i="78"/>
  <c r="G66" i="78"/>
  <c r="E8" i="62"/>
  <c r="F8" i="62"/>
  <c r="E9" i="62"/>
  <c r="F9" i="62"/>
  <c r="E10" i="62"/>
  <c r="F10" i="62"/>
  <c r="E11" i="62"/>
  <c r="F11" i="62"/>
  <c r="E12" i="62"/>
  <c r="F12" i="62"/>
  <c r="E13" i="62"/>
  <c r="F13" i="62"/>
  <c r="E14" i="62"/>
  <c r="F14" i="62"/>
  <c r="E15" i="62"/>
  <c r="F15" i="62"/>
  <c r="E16" i="62"/>
  <c r="F16" i="62"/>
  <c r="E17" i="62"/>
  <c r="F17" i="62"/>
  <c r="E18" i="62"/>
  <c r="F18" i="62"/>
  <c r="E19" i="62"/>
  <c r="F19" i="62"/>
  <c r="E20" i="62"/>
  <c r="F20" i="62"/>
  <c r="E21" i="62"/>
  <c r="F21" i="62"/>
  <c r="E22" i="62"/>
  <c r="F22" i="62"/>
  <c r="E23" i="62"/>
  <c r="F23" i="62"/>
  <c r="E24" i="62"/>
  <c r="F24" i="62"/>
  <c r="E25" i="62"/>
  <c r="F25" i="62"/>
  <c r="E26" i="62"/>
  <c r="F26" i="62"/>
  <c r="E27" i="62"/>
  <c r="F27" i="62"/>
  <c r="E28" i="62"/>
  <c r="F28" i="62"/>
  <c r="E29" i="62"/>
  <c r="F29" i="62"/>
  <c r="E30" i="62"/>
  <c r="F30" i="62"/>
  <c r="E31" i="62"/>
  <c r="F31" i="62"/>
  <c r="E32" i="62"/>
  <c r="F32" i="62"/>
  <c r="E33" i="62"/>
  <c r="F33" i="62"/>
  <c r="E34" i="62"/>
  <c r="F34" i="62"/>
  <c r="E35" i="62"/>
  <c r="F35" i="62"/>
  <c r="E36" i="62"/>
  <c r="F36" i="62"/>
  <c r="E37" i="62"/>
  <c r="F37" i="62"/>
  <c r="E38" i="62"/>
  <c r="F38" i="62"/>
  <c r="E39" i="62"/>
  <c r="F39" i="62"/>
  <c r="E40" i="62"/>
  <c r="F40" i="62"/>
  <c r="E41" i="62"/>
  <c r="F41" i="62"/>
  <c r="E42" i="62"/>
  <c r="F42" i="62"/>
  <c r="E43" i="62"/>
  <c r="F43" i="62"/>
  <c r="E44" i="62"/>
  <c r="F44" i="62"/>
  <c r="E45" i="62"/>
  <c r="F45" i="62"/>
  <c r="E46" i="62"/>
  <c r="F46" i="62"/>
  <c r="E47" i="62"/>
  <c r="F47" i="62"/>
  <c r="E48" i="62"/>
  <c r="F48" i="62"/>
  <c r="E49" i="62"/>
  <c r="F49" i="62"/>
  <c r="E50" i="62"/>
  <c r="F50" i="62"/>
  <c r="E51" i="62"/>
  <c r="F51" i="62"/>
  <c r="E52" i="62"/>
  <c r="F52" i="62"/>
  <c r="E13" i="104"/>
  <c r="F13" i="104"/>
  <c r="G13" i="104"/>
  <c r="I13" i="104"/>
  <c r="E14" i="104"/>
  <c r="F14" i="104"/>
  <c r="G14" i="104"/>
  <c r="I14" i="104"/>
  <c r="E15" i="104"/>
  <c r="F15" i="104"/>
  <c r="G15" i="104"/>
  <c r="I15" i="104"/>
  <c r="E16" i="104"/>
  <c r="F16" i="104"/>
  <c r="G16" i="104"/>
  <c r="I16" i="104"/>
  <c r="E17" i="104"/>
  <c r="F17" i="104"/>
  <c r="G17" i="104"/>
  <c r="I17" i="104"/>
  <c r="E18" i="104"/>
  <c r="F18" i="104"/>
  <c r="G18" i="104"/>
  <c r="I18" i="104"/>
  <c r="E19" i="104"/>
  <c r="F19" i="104"/>
  <c r="G19" i="104"/>
  <c r="H19" i="104"/>
  <c r="I19" i="104"/>
  <c r="J19" i="104"/>
  <c r="K19" i="104"/>
  <c r="E20" i="104"/>
  <c r="F20" i="104"/>
  <c r="G20" i="104"/>
  <c r="H20" i="104"/>
  <c r="I20" i="104"/>
  <c r="J20" i="104"/>
  <c r="K20" i="104"/>
  <c r="E21" i="104"/>
  <c r="F21" i="104"/>
  <c r="G21" i="104"/>
  <c r="H21" i="104"/>
  <c r="I21" i="104"/>
  <c r="J21" i="104"/>
  <c r="K21" i="104"/>
  <c r="E22" i="104"/>
  <c r="F22" i="104"/>
  <c r="G22" i="104"/>
  <c r="H22" i="104"/>
  <c r="I22" i="104"/>
  <c r="J22" i="104"/>
  <c r="K22" i="104"/>
  <c r="E23" i="104"/>
  <c r="F23" i="104"/>
  <c r="G23" i="104"/>
  <c r="H23" i="104"/>
  <c r="I23" i="104"/>
  <c r="J23" i="104"/>
  <c r="K23" i="104"/>
  <c r="E24" i="104"/>
  <c r="F24" i="104"/>
  <c r="G24" i="104"/>
  <c r="H24" i="104"/>
  <c r="I24" i="104"/>
  <c r="J24" i="104"/>
  <c r="K24" i="104"/>
  <c r="E25" i="104"/>
  <c r="F25" i="104"/>
  <c r="G25" i="104"/>
  <c r="H25" i="104"/>
  <c r="I25" i="104"/>
  <c r="J25" i="104"/>
  <c r="K25" i="104"/>
  <c r="E26" i="104"/>
  <c r="F26" i="104"/>
  <c r="G26" i="104"/>
  <c r="H26" i="104"/>
  <c r="I26" i="104"/>
  <c r="J26" i="104"/>
  <c r="K26" i="104"/>
  <c r="L26" i="104"/>
  <c r="M26" i="104"/>
  <c r="N26" i="104"/>
  <c r="E27" i="104"/>
  <c r="F27" i="104"/>
  <c r="G27" i="104"/>
  <c r="H27" i="104"/>
  <c r="I27" i="104"/>
  <c r="J27" i="104"/>
  <c r="K27" i="104"/>
  <c r="L27" i="104"/>
  <c r="M27" i="104"/>
  <c r="N27" i="104"/>
  <c r="E28" i="104"/>
  <c r="F28" i="104"/>
  <c r="G28" i="104"/>
  <c r="H28" i="104"/>
  <c r="I28" i="104"/>
  <c r="J28" i="104"/>
  <c r="K28" i="104"/>
  <c r="L28" i="104"/>
  <c r="M28" i="104"/>
  <c r="N28" i="104"/>
  <c r="E29" i="104"/>
  <c r="F29" i="104"/>
  <c r="G29" i="104"/>
  <c r="H29" i="104"/>
  <c r="I29" i="104"/>
  <c r="J29" i="104"/>
  <c r="K29" i="104"/>
  <c r="L29" i="104"/>
  <c r="M29" i="104"/>
  <c r="N29" i="104"/>
  <c r="E30" i="104"/>
  <c r="F30" i="104"/>
  <c r="G30" i="104"/>
  <c r="H30" i="104"/>
  <c r="I30" i="104"/>
  <c r="J30" i="104"/>
  <c r="K30" i="104"/>
  <c r="L30" i="104"/>
  <c r="M30" i="104"/>
  <c r="N30" i="104"/>
  <c r="E31" i="104"/>
  <c r="F31" i="104"/>
  <c r="G31" i="104"/>
  <c r="H31" i="104"/>
  <c r="I31" i="104"/>
  <c r="J31" i="104"/>
  <c r="K31" i="104"/>
  <c r="L31" i="104"/>
  <c r="M31" i="104"/>
  <c r="N31" i="104"/>
  <c r="E32" i="104"/>
  <c r="F32" i="104"/>
  <c r="G32" i="104"/>
  <c r="H32" i="104"/>
  <c r="I32" i="104"/>
  <c r="J32" i="104"/>
  <c r="K32" i="104"/>
  <c r="L32" i="104"/>
  <c r="M32" i="104"/>
  <c r="N32" i="104"/>
  <c r="E33" i="104"/>
  <c r="F33" i="104"/>
  <c r="G33" i="104"/>
  <c r="H33" i="104"/>
  <c r="I33" i="104"/>
  <c r="J33" i="104"/>
  <c r="K33" i="104"/>
  <c r="L33" i="104"/>
  <c r="M33" i="104"/>
  <c r="N33" i="104"/>
  <c r="E34" i="104"/>
  <c r="F34" i="104"/>
  <c r="G34" i="104"/>
  <c r="H34" i="104"/>
  <c r="I34" i="104"/>
  <c r="J34" i="104"/>
  <c r="K34" i="104"/>
  <c r="L34" i="104"/>
  <c r="M34" i="104"/>
  <c r="N34" i="104"/>
  <c r="E35" i="104"/>
  <c r="F35" i="104"/>
  <c r="G35" i="104"/>
  <c r="H35" i="104"/>
  <c r="I35" i="104"/>
  <c r="J35" i="104"/>
  <c r="K35" i="104"/>
  <c r="L35" i="104"/>
  <c r="M35" i="104"/>
  <c r="N35" i="104"/>
  <c r="E36" i="104"/>
  <c r="F36" i="104"/>
  <c r="G36" i="104"/>
  <c r="H36" i="104"/>
  <c r="I36" i="104"/>
  <c r="J36" i="104"/>
  <c r="K36" i="104"/>
  <c r="L36" i="104"/>
  <c r="M36" i="104"/>
  <c r="N36" i="104"/>
  <c r="E37" i="104"/>
  <c r="F37" i="104"/>
  <c r="G37" i="104"/>
  <c r="H37" i="104"/>
  <c r="I37" i="104"/>
  <c r="J37" i="104"/>
  <c r="K37" i="104"/>
  <c r="L37" i="104"/>
  <c r="M37" i="104"/>
  <c r="N37" i="104"/>
  <c r="E38" i="104"/>
  <c r="F38" i="104"/>
  <c r="G38" i="104"/>
  <c r="H38" i="104"/>
  <c r="I38" i="104"/>
  <c r="J38" i="104"/>
  <c r="K38" i="104"/>
  <c r="L38" i="104"/>
  <c r="M38" i="104"/>
  <c r="N38" i="104"/>
  <c r="E39" i="104"/>
  <c r="F39" i="104"/>
  <c r="G39" i="104"/>
  <c r="H39" i="104"/>
  <c r="I39" i="104"/>
  <c r="J39" i="104"/>
  <c r="K39" i="104"/>
  <c r="L39" i="104"/>
  <c r="M39" i="104"/>
  <c r="N39" i="104"/>
  <c r="E40" i="104"/>
  <c r="F40" i="104"/>
  <c r="G40" i="104"/>
  <c r="H40" i="104"/>
  <c r="I40" i="104"/>
  <c r="J40" i="104"/>
  <c r="K40" i="104"/>
  <c r="L40" i="104"/>
  <c r="M40" i="104"/>
  <c r="N40" i="104"/>
  <c r="O40" i="104"/>
  <c r="P40" i="104"/>
  <c r="Q40" i="104"/>
  <c r="R40" i="104"/>
  <c r="E41" i="104"/>
  <c r="F41" i="104"/>
  <c r="G41" i="104"/>
  <c r="H41" i="104"/>
  <c r="I41" i="104"/>
  <c r="J41" i="104"/>
  <c r="K41" i="104"/>
  <c r="L41" i="104"/>
  <c r="M41" i="104"/>
  <c r="N41" i="104"/>
  <c r="O41" i="104"/>
  <c r="P41" i="104"/>
  <c r="Q41" i="104"/>
  <c r="R41" i="104"/>
  <c r="E42" i="104"/>
  <c r="F42" i="104"/>
  <c r="G42" i="104"/>
  <c r="H42" i="104"/>
  <c r="I42" i="104"/>
  <c r="J42" i="104"/>
  <c r="K42" i="104"/>
  <c r="L42" i="104"/>
  <c r="M42" i="104"/>
  <c r="N42" i="104"/>
  <c r="O42" i="104"/>
  <c r="P42" i="104"/>
  <c r="Q42" i="104"/>
  <c r="R42" i="104"/>
  <c r="E43" i="104"/>
  <c r="F43" i="104"/>
  <c r="G43" i="104"/>
  <c r="H43" i="104"/>
  <c r="I43" i="104"/>
  <c r="J43" i="104"/>
  <c r="K43" i="104"/>
  <c r="L43" i="104"/>
  <c r="M43" i="104"/>
  <c r="N43" i="104"/>
  <c r="O43" i="104"/>
  <c r="P43" i="104"/>
  <c r="Q43" i="104"/>
  <c r="R43" i="104"/>
  <c r="E44" i="104"/>
  <c r="F44" i="104"/>
  <c r="G44" i="104"/>
  <c r="H44" i="104"/>
  <c r="I44" i="104"/>
  <c r="J44" i="104"/>
  <c r="K44" i="104"/>
  <c r="L44" i="104"/>
  <c r="M44" i="104"/>
  <c r="N44" i="104"/>
  <c r="O44" i="104"/>
  <c r="P44" i="104"/>
  <c r="Q44" i="104"/>
  <c r="R44" i="104"/>
  <c r="E45" i="104"/>
  <c r="F45" i="104"/>
  <c r="G45" i="104"/>
  <c r="H45" i="104"/>
  <c r="I45" i="104"/>
  <c r="J45" i="104"/>
  <c r="K45" i="104"/>
  <c r="L45" i="104"/>
  <c r="M45" i="104"/>
  <c r="N45" i="104"/>
  <c r="O45" i="104"/>
  <c r="P45" i="104"/>
  <c r="Q45" i="104"/>
  <c r="R45" i="104"/>
  <c r="E46" i="104"/>
  <c r="F46" i="104"/>
  <c r="G46" i="104"/>
  <c r="H46" i="104"/>
  <c r="I46" i="104"/>
  <c r="J46" i="104"/>
  <c r="K46" i="104"/>
  <c r="L46" i="104"/>
  <c r="M46" i="104"/>
  <c r="N46" i="104"/>
  <c r="O46" i="104"/>
  <c r="P46" i="104"/>
  <c r="Q46" i="104"/>
  <c r="R46" i="104"/>
  <c r="E47" i="104"/>
  <c r="F47" i="104"/>
  <c r="G47" i="104"/>
  <c r="H47" i="104"/>
  <c r="I47" i="104"/>
  <c r="J47" i="104"/>
  <c r="K47" i="104"/>
  <c r="L47" i="104"/>
  <c r="M47" i="104"/>
  <c r="N47" i="104"/>
  <c r="O47" i="104"/>
  <c r="P47" i="104"/>
  <c r="Q47" i="104"/>
  <c r="R47" i="104"/>
  <c r="E48" i="104"/>
  <c r="F48" i="104"/>
  <c r="G48" i="104"/>
  <c r="H48" i="104"/>
  <c r="I48" i="104"/>
  <c r="J48" i="104"/>
  <c r="K48" i="104"/>
  <c r="L48" i="104"/>
  <c r="M48" i="104"/>
  <c r="N48" i="104"/>
  <c r="O48" i="104"/>
  <c r="P48" i="104"/>
  <c r="Q48" i="104"/>
  <c r="R48" i="104"/>
  <c r="E49" i="104"/>
  <c r="F49" i="104"/>
  <c r="G49" i="104"/>
  <c r="H49" i="104"/>
  <c r="I49" i="104"/>
  <c r="J49" i="104"/>
  <c r="K49" i="104"/>
  <c r="L49" i="104"/>
  <c r="M49" i="104"/>
  <c r="N49" i="104"/>
  <c r="O49" i="104"/>
  <c r="P49" i="104"/>
  <c r="Q49" i="104"/>
  <c r="R49" i="104"/>
  <c r="E50" i="104"/>
  <c r="F50" i="104"/>
  <c r="G50" i="104"/>
  <c r="H50" i="104"/>
  <c r="I50" i="104"/>
  <c r="J50" i="104"/>
  <c r="K50" i="104"/>
  <c r="L50" i="104"/>
  <c r="M50" i="104"/>
  <c r="N50" i="104"/>
  <c r="O50" i="104"/>
  <c r="P50" i="104"/>
  <c r="Q50" i="104"/>
  <c r="R50" i="104"/>
  <c r="E51" i="104"/>
  <c r="F51" i="104"/>
  <c r="G51" i="104"/>
  <c r="H51" i="104"/>
  <c r="I51" i="104"/>
  <c r="J51" i="104"/>
  <c r="K51" i="104"/>
  <c r="L51" i="104"/>
  <c r="M51" i="104"/>
  <c r="N51" i="104"/>
  <c r="O51" i="104"/>
  <c r="P51" i="104"/>
  <c r="Q51" i="104"/>
  <c r="R51" i="104"/>
  <c r="D7" i="64"/>
  <c r="D8" i="64"/>
  <c r="D9" i="64"/>
  <c r="D10" i="64"/>
  <c r="D11" i="64"/>
  <c r="D12" i="64"/>
  <c r="D13" i="64"/>
  <c r="D14" i="64"/>
  <c r="D15" i="64"/>
  <c r="D16" i="64"/>
  <c r="D17" i="64"/>
  <c r="D18" i="64"/>
  <c r="D19" i="64"/>
  <c r="D20" i="64"/>
  <c r="D21" i="64"/>
  <c r="D22" i="64"/>
  <c r="D23" i="64"/>
  <c r="D24" i="64"/>
  <c r="D25" i="64"/>
  <c r="D26" i="64"/>
  <c r="D27" i="64"/>
  <c r="D28" i="64"/>
  <c r="D29" i="64"/>
  <c r="D30" i="64"/>
  <c r="D31" i="64"/>
  <c r="D32" i="64"/>
  <c r="D33" i="64"/>
  <c r="D34" i="64"/>
  <c r="D35" i="64"/>
  <c r="D36" i="64"/>
  <c r="D37" i="64"/>
  <c r="D38" i="64"/>
  <c r="D39" i="64"/>
  <c r="D7" i="63"/>
  <c r="D8" i="63"/>
  <c r="D9" i="63"/>
  <c r="D10" i="63"/>
  <c r="D11" i="63"/>
  <c r="D12" i="63"/>
  <c r="D13" i="63"/>
  <c r="D14" i="63"/>
  <c r="D15" i="63"/>
  <c r="D16" i="63"/>
  <c r="D17" i="63"/>
  <c r="D18" i="63"/>
  <c r="D19" i="63"/>
  <c r="D20" i="63"/>
  <c r="D21" i="63"/>
  <c r="D22" i="63"/>
  <c r="D23" i="63"/>
  <c r="D24" i="63"/>
  <c r="D25" i="63"/>
  <c r="D26" i="63"/>
  <c r="D27" i="63"/>
  <c r="D28" i="63"/>
  <c r="D29" i="63"/>
  <c r="D30" i="63"/>
  <c r="D31" i="63"/>
  <c r="D32" i="63"/>
  <c r="D33" i="63"/>
  <c r="D34" i="63"/>
  <c r="D35" i="63"/>
  <c r="D36" i="63"/>
  <c r="D37" i="63"/>
  <c r="D38" i="63"/>
  <c r="D39" i="63"/>
  <c r="F17" i="77"/>
  <c r="G17" i="77"/>
  <c r="F18" i="77"/>
  <c r="G18" i="77"/>
  <c r="F19" i="77"/>
  <c r="G19" i="77"/>
  <c r="F20" i="77"/>
  <c r="G20" i="77"/>
  <c r="C21" i="77"/>
  <c r="D21" i="77"/>
  <c r="E21" i="77"/>
  <c r="F21" i="77"/>
  <c r="G21" i="77"/>
  <c r="H21" i="77"/>
  <c r="I21" i="77"/>
  <c r="C22" i="77"/>
  <c r="D22" i="77"/>
  <c r="E22" i="77"/>
  <c r="F22" i="77"/>
  <c r="G22" i="77"/>
  <c r="H22" i="77"/>
  <c r="I22" i="77"/>
  <c r="C23" i="77"/>
  <c r="D23" i="77"/>
  <c r="E23" i="77"/>
  <c r="F23" i="77"/>
  <c r="G23" i="77"/>
  <c r="H23" i="77"/>
  <c r="I23" i="77"/>
  <c r="C24" i="77"/>
  <c r="D24" i="77"/>
  <c r="E24" i="77"/>
  <c r="F24" i="77"/>
  <c r="G24" i="77"/>
  <c r="H24" i="77"/>
  <c r="I24" i="77"/>
  <c r="C25" i="77"/>
  <c r="D25" i="77"/>
  <c r="E25" i="77"/>
  <c r="F25" i="77"/>
  <c r="G25" i="77"/>
  <c r="H25" i="77"/>
  <c r="I25" i="77"/>
  <c r="C26" i="77"/>
  <c r="D26" i="77"/>
  <c r="E26" i="77"/>
  <c r="F26" i="77"/>
  <c r="G26" i="77"/>
  <c r="H26" i="77"/>
  <c r="I26" i="77"/>
  <c r="C27" i="77"/>
  <c r="D27" i="77"/>
  <c r="E27" i="77"/>
  <c r="F27" i="77"/>
  <c r="G27" i="77"/>
  <c r="H27" i="77"/>
  <c r="I27" i="77"/>
  <c r="C28" i="77"/>
  <c r="D28" i="77"/>
  <c r="E28" i="77"/>
  <c r="F28" i="77"/>
  <c r="G28" i="77"/>
  <c r="H28" i="77"/>
  <c r="I28" i="77"/>
  <c r="C29" i="77"/>
  <c r="D29" i="77"/>
  <c r="E29" i="77"/>
  <c r="F29" i="77"/>
  <c r="G29" i="77"/>
  <c r="H29" i="77"/>
  <c r="I29" i="77"/>
  <c r="C30" i="77"/>
  <c r="D30" i="77"/>
  <c r="E30" i="77"/>
  <c r="F30" i="77"/>
  <c r="G30" i="77"/>
  <c r="H30" i="77"/>
  <c r="I30" i="77"/>
  <c r="C31" i="77"/>
  <c r="D31" i="77"/>
  <c r="E31" i="77"/>
  <c r="F31" i="77"/>
  <c r="G31" i="77"/>
  <c r="H31" i="77"/>
  <c r="I31" i="77"/>
  <c r="C32" i="77"/>
  <c r="D32" i="77"/>
  <c r="E32" i="77"/>
  <c r="F32" i="77"/>
  <c r="G32" i="77"/>
  <c r="H32" i="77"/>
  <c r="I32" i="77"/>
  <c r="C33" i="77"/>
  <c r="D33" i="77"/>
  <c r="E33" i="77"/>
  <c r="F33" i="77"/>
  <c r="G33" i="77"/>
  <c r="H33" i="77"/>
  <c r="I33" i="77"/>
  <c r="C34" i="77"/>
  <c r="D34" i="77"/>
  <c r="E34" i="77"/>
  <c r="F34" i="77"/>
  <c r="G34" i="77"/>
  <c r="H34" i="77"/>
  <c r="I34" i="77"/>
  <c r="C35" i="77"/>
  <c r="D35" i="77"/>
  <c r="E35" i="77"/>
  <c r="F35" i="77"/>
  <c r="G35" i="77"/>
  <c r="H35" i="77"/>
  <c r="I35" i="77"/>
  <c r="C36" i="77"/>
  <c r="D36" i="77"/>
  <c r="E36" i="77"/>
  <c r="F36" i="77"/>
  <c r="G36" i="77"/>
  <c r="H36" i="77"/>
  <c r="I36" i="77"/>
  <c r="C37" i="77"/>
  <c r="D37" i="77"/>
  <c r="E37" i="77"/>
  <c r="F37" i="77"/>
  <c r="G37" i="77"/>
  <c r="H37" i="77"/>
  <c r="I37" i="77"/>
  <c r="C38" i="77"/>
  <c r="D38" i="77"/>
  <c r="E38" i="77"/>
  <c r="F38" i="77"/>
  <c r="G38" i="77"/>
  <c r="H38" i="77"/>
  <c r="I38" i="77"/>
  <c r="C39" i="77"/>
  <c r="D39" i="77"/>
  <c r="E39" i="77"/>
  <c r="F39" i="77"/>
  <c r="G39" i="77"/>
  <c r="H39" i="77"/>
  <c r="I39" i="77"/>
  <c r="C40" i="77"/>
  <c r="D40" i="77"/>
  <c r="E40" i="77"/>
  <c r="F40" i="77"/>
  <c r="G40" i="77"/>
  <c r="H40" i="77"/>
  <c r="I40" i="77"/>
  <c r="C41" i="77"/>
  <c r="D41" i="77"/>
  <c r="E41" i="77"/>
  <c r="F41" i="77"/>
  <c r="G41" i="77"/>
  <c r="H41" i="77"/>
  <c r="I41" i="77"/>
  <c r="C42" i="77"/>
  <c r="D42" i="77"/>
  <c r="E42" i="77"/>
  <c r="F42" i="77"/>
  <c r="G42" i="77"/>
  <c r="H42" i="77"/>
  <c r="I42" i="77"/>
  <c r="C43" i="77"/>
  <c r="D43" i="77"/>
  <c r="E43" i="77"/>
  <c r="F43" i="77"/>
  <c r="G43" i="77"/>
  <c r="H43" i="77"/>
  <c r="I43" i="77"/>
  <c r="C44" i="77"/>
  <c r="D44" i="77"/>
  <c r="E44" i="77"/>
  <c r="F44" i="77"/>
  <c r="G44" i="77"/>
  <c r="H44" i="77"/>
  <c r="I44" i="77"/>
  <c r="C45" i="77"/>
  <c r="D45" i="77"/>
  <c r="E45" i="77"/>
  <c r="F45" i="77"/>
  <c r="G45" i="77"/>
  <c r="H45" i="77"/>
  <c r="I45" i="77"/>
  <c r="C46" i="77"/>
  <c r="D46" i="77"/>
  <c r="E46" i="77"/>
  <c r="F46" i="77"/>
  <c r="G46" i="77"/>
  <c r="H46" i="77"/>
  <c r="I46" i="77"/>
  <c r="C47" i="77"/>
  <c r="D47" i="77"/>
  <c r="E47" i="77"/>
  <c r="F47" i="77"/>
  <c r="G47" i="77"/>
  <c r="H47" i="77"/>
  <c r="I47" i="77"/>
  <c r="C48" i="77"/>
  <c r="D48" i="77"/>
  <c r="E48" i="77"/>
  <c r="F48" i="77"/>
  <c r="G48" i="77"/>
  <c r="H48" i="77"/>
  <c r="I48" i="77"/>
  <c r="C49" i="77"/>
  <c r="D49" i="77"/>
  <c r="E49" i="77"/>
  <c r="F49" i="77"/>
  <c r="G49" i="77"/>
  <c r="H49" i="77"/>
  <c r="I49" i="77"/>
  <c r="C50" i="77"/>
  <c r="D50" i="77"/>
  <c r="E50" i="77"/>
  <c r="F50" i="77"/>
  <c r="G50" i="77"/>
  <c r="H50" i="77"/>
  <c r="I50" i="77"/>
  <c r="C51" i="77"/>
  <c r="D51" i="77"/>
  <c r="E51" i="77"/>
  <c r="F51" i="77"/>
  <c r="G51" i="77"/>
  <c r="H51" i="77"/>
  <c r="I51" i="77"/>
  <c r="C52" i="77"/>
  <c r="D52" i="77"/>
  <c r="E52" i="77"/>
  <c r="F52" i="77"/>
  <c r="G52" i="77"/>
  <c r="H52" i="77"/>
  <c r="I52" i="77"/>
  <c r="C53" i="77"/>
  <c r="D53" i="77"/>
  <c r="E53" i="77"/>
  <c r="F53" i="77"/>
  <c r="G53" i="77"/>
  <c r="H53" i="77"/>
  <c r="I53" i="77"/>
  <c r="C54" i="77"/>
  <c r="D54" i="77"/>
  <c r="E54" i="77"/>
  <c r="F54" i="77"/>
  <c r="G54" i="77"/>
  <c r="H54" i="77"/>
  <c r="I54" i="77"/>
  <c r="C55" i="77"/>
  <c r="D55" i="77"/>
  <c r="E55" i="77"/>
  <c r="F55" i="77"/>
  <c r="G55" i="77"/>
  <c r="H55" i="77"/>
  <c r="I55" i="77"/>
  <c r="C56" i="77"/>
  <c r="D56" i="77"/>
  <c r="E56" i="77"/>
  <c r="F56" i="77"/>
  <c r="G56" i="77"/>
  <c r="H56" i="77"/>
  <c r="I56" i="77"/>
  <c r="C57" i="77"/>
  <c r="D57" i="77"/>
  <c r="E57" i="77"/>
  <c r="F57" i="77"/>
  <c r="G57" i="77"/>
  <c r="H57" i="77"/>
  <c r="I57" i="77"/>
  <c r="C58" i="77"/>
  <c r="D58" i="77"/>
  <c r="E58" i="77"/>
  <c r="F58" i="77"/>
  <c r="G58" i="77"/>
  <c r="H58" i="77"/>
  <c r="I58" i="77"/>
  <c r="C59" i="77"/>
  <c r="D59" i="77"/>
  <c r="E59" i="77"/>
  <c r="F59" i="77"/>
  <c r="G59" i="77"/>
  <c r="H59" i="77"/>
  <c r="I59" i="77"/>
  <c r="C60" i="77"/>
  <c r="D60" i="77"/>
  <c r="E60" i="77"/>
  <c r="F60" i="77"/>
  <c r="G60" i="77"/>
  <c r="H60" i="77"/>
  <c r="I60" i="77"/>
  <c r="C61" i="77"/>
  <c r="D61" i="77"/>
  <c r="E61" i="77"/>
  <c r="F61" i="77"/>
  <c r="G61" i="77"/>
  <c r="H61" i="77"/>
  <c r="I61" i="77"/>
  <c r="C62" i="77"/>
  <c r="D62" i="77"/>
  <c r="E62" i="77"/>
  <c r="F62" i="77"/>
  <c r="G62" i="77"/>
  <c r="H62" i="77"/>
  <c r="I62" i="77"/>
  <c r="C63" i="77"/>
  <c r="D63" i="77"/>
  <c r="E63" i="77"/>
  <c r="F63" i="77"/>
  <c r="G63" i="77"/>
  <c r="H63" i="77"/>
  <c r="I63" i="77"/>
  <c r="C64" i="77"/>
  <c r="D64" i="77"/>
  <c r="E64" i="77"/>
  <c r="F64" i="77"/>
  <c r="G64" i="77"/>
  <c r="H64" i="77"/>
  <c r="I64" i="77"/>
  <c r="C65" i="77"/>
  <c r="D65" i="77"/>
  <c r="E65" i="77"/>
  <c r="F65" i="77"/>
  <c r="G65" i="77"/>
  <c r="H65" i="77"/>
  <c r="I65" i="77"/>
  <c r="C66" i="77"/>
  <c r="D66" i="77"/>
  <c r="E66" i="77"/>
  <c r="F66" i="77"/>
  <c r="G66" i="77"/>
  <c r="H66" i="77"/>
  <c r="I66" i="77"/>
  <c r="C67" i="77"/>
  <c r="D67" i="77"/>
  <c r="E67" i="77"/>
  <c r="F67" i="77"/>
  <c r="G67" i="77"/>
  <c r="H67" i="77"/>
  <c r="I67" i="77"/>
  <c r="C68" i="77"/>
  <c r="D68" i="77"/>
  <c r="E68" i="77"/>
  <c r="F68" i="77"/>
  <c r="G68" i="77"/>
  <c r="H68" i="77"/>
  <c r="I68" i="77"/>
  <c r="C69" i="77"/>
  <c r="D69" i="77"/>
  <c r="E69" i="77"/>
  <c r="F69" i="77"/>
  <c r="G69" i="77"/>
  <c r="H69" i="77"/>
  <c r="I69" i="77"/>
  <c r="D11" i="65"/>
  <c r="E11" i="65"/>
  <c r="D12" i="65"/>
  <c r="E12" i="65"/>
  <c r="D13" i="65"/>
  <c r="E13" i="65"/>
  <c r="D14" i="65"/>
  <c r="E14" i="65"/>
  <c r="D15" i="65"/>
  <c r="E15" i="65"/>
  <c r="D16" i="65"/>
  <c r="E16" i="65"/>
  <c r="D17" i="65"/>
  <c r="E17" i="65"/>
  <c r="D18" i="65"/>
  <c r="E18" i="65"/>
  <c r="D19" i="65"/>
  <c r="E19" i="65"/>
  <c r="D20" i="65"/>
  <c r="E20" i="65"/>
  <c r="F20" i="65"/>
  <c r="G20" i="65"/>
  <c r="D21" i="65"/>
  <c r="E21" i="65"/>
  <c r="F21" i="65"/>
  <c r="G21" i="65"/>
  <c r="D22" i="65"/>
  <c r="E22" i="65"/>
  <c r="F22" i="65"/>
  <c r="G22" i="65"/>
  <c r="D23" i="65"/>
  <c r="E23" i="65"/>
  <c r="F23" i="65"/>
  <c r="G23" i="65"/>
  <c r="D24" i="65"/>
  <c r="E24" i="65"/>
  <c r="F24" i="65"/>
  <c r="G24" i="65"/>
  <c r="D25" i="65"/>
  <c r="E25" i="65"/>
  <c r="F25" i="65"/>
  <c r="G25" i="65"/>
  <c r="D26" i="65"/>
  <c r="E26" i="65"/>
  <c r="F26" i="65"/>
  <c r="G26" i="65"/>
  <c r="D27" i="65"/>
  <c r="E27" i="65"/>
  <c r="F27" i="65"/>
  <c r="G27" i="65"/>
  <c r="D28" i="65"/>
  <c r="E28" i="65"/>
  <c r="F28" i="65"/>
  <c r="G28" i="65"/>
  <c r="D29" i="65"/>
  <c r="E29" i="65"/>
  <c r="F29" i="65"/>
  <c r="G29" i="65"/>
  <c r="D30" i="65"/>
  <c r="E30" i="65"/>
  <c r="F30" i="65"/>
  <c r="G30" i="65"/>
  <c r="D31" i="65"/>
  <c r="E31" i="65"/>
  <c r="F31" i="65"/>
  <c r="G31" i="65"/>
  <c r="D32" i="65"/>
  <c r="E32" i="65"/>
  <c r="F32" i="65"/>
  <c r="G32" i="65"/>
  <c r="D33" i="65"/>
  <c r="E33" i="65"/>
  <c r="F33" i="65"/>
  <c r="G33" i="65"/>
  <c r="D34" i="65"/>
  <c r="E34" i="65"/>
  <c r="F34" i="65"/>
  <c r="G34" i="65"/>
  <c r="D35" i="65"/>
  <c r="E35" i="65"/>
  <c r="F35" i="65"/>
  <c r="G35" i="65"/>
  <c r="D36" i="65"/>
  <c r="E36" i="65"/>
  <c r="F36" i="65"/>
  <c r="G36" i="65"/>
  <c r="D37" i="65"/>
  <c r="E37" i="65"/>
  <c r="F37" i="65"/>
  <c r="G37" i="65"/>
  <c r="D38" i="65"/>
  <c r="E38" i="65"/>
  <c r="F38" i="65"/>
  <c r="G38" i="65"/>
  <c r="D39" i="65"/>
  <c r="E39" i="65"/>
  <c r="F39" i="65"/>
  <c r="G39" i="65"/>
  <c r="D40" i="65"/>
  <c r="E40" i="65"/>
  <c r="F40" i="65"/>
  <c r="G40" i="65"/>
  <c r="D41" i="65"/>
  <c r="E41" i="65"/>
  <c r="F41" i="65"/>
  <c r="G41" i="65"/>
  <c r="D42" i="65"/>
  <c r="E42" i="65"/>
  <c r="F42" i="65"/>
  <c r="G42" i="65"/>
  <c r="D43" i="65"/>
  <c r="E43" i="65"/>
  <c r="F43" i="65"/>
  <c r="G43" i="65"/>
  <c r="D44" i="65"/>
  <c r="E44" i="65"/>
  <c r="F44" i="65"/>
  <c r="G44" i="65"/>
  <c r="D45" i="65"/>
  <c r="E45" i="65"/>
  <c r="F45" i="65"/>
  <c r="G45" i="65"/>
  <c r="D46" i="65"/>
  <c r="E46" i="65"/>
  <c r="F46" i="65"/>
  <c r="G46" i="65"/>
  <c r="D47" i="65"/>
  <c r="E47" i="65"/>
  <c r="F47" i="65"/>
  <c r="G47" i="65"/>
  <c r="D48" i="65"/>
  <c r="E48" i="65"/>
  <c r="F48" i="65"/>
  <c r="G48" i="65"/>
  <c r="C12" i="66"/>
  <c r="C13" i="66"/>
  <c r="C14" i="66"/>
  <c r="C15" i="66"/>
  <c r="D15" i="66"/>
  <c r="E15" i="66"/>
  <c r="F15" i="66"/>
  <c r="C16" i="66"/>
  <c r="D16" i="66"/>
  <c r="E16" i="66"/>
  <c r="F16" i="66"/>
  <c r="C17" i="66"/>
  <c r="D17" i="66"/>
  <c r="E17" i="66"/>
  <c r="F17" i="66"/>
  <c r="C18" i="66"/>
  <c r="D18" i="66"/>
  <c r="E18" i="66"/>
  <c r="F18" i="66"/>
  <c r="C19" i="66"/>
  <c r="D19" i="66"/>
  <c r="E19" i="66"/>
  <c r="F19" i="66"/>
  <c r="C20" i="66"/>
  <c r="D20" i="66"/>
  <c r="E20" i="66"/>
  <c r="F20" i="66"/>
  <c r="C21" i="66"/>
  <c r="D21" i="66"/>
  <c r="E21" i="66"/>
  <c r="F21" i="66"/>
  <c r="C22" i="66"/>
  <c r="D22" i="66"/>
  <c r="E22" i="66"/>
  <c r="F22" i="66"/>
  <c r="C23" i="66"/>
  <c r="D23" i="66"/>
  <c r="E23" i="66"/>
  <c r="F23" i="66"/>
  <c r="C24" i="66"/>
  <c r="D24" i="66"/>
  <c r="E24" i="66"/>
  <c r="F24" i="66"/>
  <c r="C25" i="66"/>
  <c r="D25" i="66"/>
  <c r="E25" i="66"/>
  <c r="F25" i="66"/>
  <c r="C26" i="66"/>
  <c r="D26" i="66"/>
  <c r="E26" i="66"/>
  <c r="F26" i="66"/>
  <c r="C27" i="66"/>
  <c r="D27" i="66"/>
  <c r="E27" i="66"/>
  <c r="F27" i="66"/>
  <c r="C28" i="66"/>
  <c r="D28" i="66"/>
  <c r="E28" i="66"/>
  <c r="F28" i="66"/>
  <c r="C29" i="66"/>
  <c r="D29" i="66"/>
  <c r="E29" i="66"/>
  <c r="F29" i="66"/>
  <c r="C30" i="66"/>
  <c r="D30" i="66"/>
  <c r="E30" i="66"/>
  <c r="F30" i="66"/>
  <c r="C31" i="66"/>
  <c r="D31" i="66"/>
  <c r="E31" i="66"/>
  <c r="F31" i="66"/>
  <c r="C32" i="66"/>
  <c r="D32" i="66"/>
  <c r="E32" i="66"/>
  <c r="F32" i="66"/>
  <c r="C33" i="66"/>
  <c r="D33" i="66"/>
  <c r="E33" i="66"/>
  <c r="F33" i="66"/>
  <c r="C34" i="66"/>
  <c r="D34" i="66"/>
  <c r="E34" i="66"/>
  <c r="F34" i="66"/>
  <c r="C35" i="66"/>
  <c r="D35" i="66"/>
  <c r="E35" i="66"/>
  <c r="F35" i="66"/>
  <c r="C36" i="66"/>
  <c r="D36" i="66"/>
  <c r="E36" i="66"/>
  <c r="F36" i="66"/>
  <c r="C37" i="66"/>
  <c r="D37" i="66"/>
  <c r="E37" i="66"/>
  <c r="F37" i="66"/>
  <c r="C38" i="66"/>
  <c r="D38" i="66"/>
  <c r="E38" i="66"/>
  <c r="F38" i="66"/>
  <c r="C39" i="66"/>
  <c r="D39" i="66"/>
  <c r="E39" i="66"/>
  <c r="F39" i="66"/>
  <c r="C40" i="66"/>
  <c r="D40" i="66"/>
  <c r="E40" i="66"/>
  <c r="F40" i="66"/>
  <c r="C41" i="66"/>
  <c r="D41" i="66"/>
  <c r="E41" i="66"/>
  <c r="F41" i="66"/>
  <c r="C42" i="66"/>
  <c r="D42" i="66"/>
  <c r="E42" i="66"/>
  <c r="F42" i="66"/>
  <c r="C43" i="66"/>
  <c r="D43" i="66"/>
  <c r="E43" i="66"/>
  <c r="F43" i="66"/>
  <c r="C44" i="66"/>
  <c r="D44" i="66"/>
  <c r="E44" i="66"/>
  <c r="F44" i="66"/>
  <c r="C45" i="66"/>
  <c r="D45" i="66"/>
  <c r="E45" i="66"/>
  <c r="F45" i="66"/>
  <c r="C46" i="66"/>
  <c r="D46" i="66"/>
  <c r="E46" i="66"/>
  <c r="F46" i="66"/>
  <c r="C47" i="66"/>
  <c r="D47" i="66"/>
  <c r="E47" i="66"/>
  <c r="F47" i="66"/>
  <c r="C48" i="66"/>
  <c r="D48" i="66"/>
  <c r="E48" i="66"/>
  <c r="F48" i="66"/>
  <c r="C49" i="66"/>
  <c r="D49" i="66"/>
  <c r="E49" i="66"/>
  <c r="F49" i="66"/>
  <c r="C50" i="66"/>
  <c r="D50" i="66"/>
  <c r="E50" i="66"/>
  <c r="F50" i="66"/>
  <c r="C51" i="66"/>
  <c r="D51" i="66"/>
  <c r="E51" i="66"/>
  <c r="F51" i="66"/>
  <c r="C52" i="66"/>
  <c r="D52" i="66"/>
  <c r="E52" i="66"/>
  <c r="F52" i="66"/>
  <c r="C53" i="66"/>
  <c r="D53" i="66"/>
  <c r="E53" i="66"/>
  <c r="F53" i="66"/>
  <c r="C54" i="66"/>
  <c r="D54" i="66"/>
  <c r="E54" i="66"/>
  <c r="F54" i="66"/>
  <c r="C55" i="66"/>
  <c r="D55" i="66"/>
  <c r="E55" i="66"/>
  <c r="F55" i="66"/>
  <c r="C56" i="66"/>
  <c r="D56" i="66"/>
  <c r="E56" i="66"/>
  <c r="F56" i="66"/>
  <c r="C57" i="66"/>
  <c r="D57" i="66"/>
  <c r="E57" i="66"/>
  <c r="F57" i="66"/>
  <c r="C58" i="66"/>
  <c r="D58" i="66"/>
  <c r="E58" i="66"/>
  <c r="F58" i="66"/>
  <c r="C59" i="66"/>
  <c r="D59" i="66"/>
  <c r="E59" i="66"/>
  <c r="F59" i="66"/>
  <c r="C60" i="66"/>
  <c r="D60" i="66"/>
  <c r="E60" i="66"/>
  <c r="F60" i="66"/>
  <c r="C61" i="66"/>
  <c r="D61" i="66"/>
  <c r="E61" i="66"/>
  <c r="F61" i="66"/>
  <c r="C62" i="66"/>
  <c r="D62" i="66"/>
  <c r="E62" i="66"/>
  <c r="F62" i="66"/>
  <c r="C63" i="66"/>
  <c r="D63" i="66"/>
  <c r="E63" i="66"/>
  <c r="F63" i="66"/>
  <c r="C64" i="66"/>
  <c r="D64" i="66"/>
  <c r="E64" i="66"/>
  <c r="F64" i="66"/>
  <c r="C15" i="67"/>
  <c r="D15" i="67"/>
  <c r="E15" i="67"/>
  <c r="C16" i="67"/>
  <c r="D16" i="67"/>
  <c r="E16" i="67"/>
  <c r="C17" i="67"/>
  <c r="D17" i="67"/>
  <c r="E17" i="67"/>
  <c r="C18" i="67"/>
  <c r="D18" i="67"/>
  <c r="E18" i="67"/>
  <c r="C19" i="67"/>
  <c r="D19" i="67"/>
  <c r="E19" i="67"/>
  <c r="C20" i="67"/>
  <c r="D20" i="67"/>
  <c r="E20" i="67"/>
  <c r="C21" i="67"/>
  <c r="D21" i="67"/>
  <c r="E21" i="67"/>
  <c r="C22" i="67"/>
  <c r="D22" i="67"/>
  <c r="E22" i="67"/>
  <c r="C23" i="67"/>
  <c r="D23" i="67"/>
  <c r="E23" i="67"/>
  <c r="C24" i="67"/>
  <c r="D24" i="67"/>
  <c r="E24" i="67"/>
  <c r="C25" i="67"/>
  <c r="D25" i="67"/>
  <c r="E25" i="67"/>
  <c r="C26" i="67"/>
  <c r="D26" i="67"/>
  <c r="E26" i="67"/>
  <c r="C27" i="67"/>
  <c r="D27" i="67"/>
  <c r="E27" i="67"/>
  <c r="C28" i="67"/>
  <c r="D28" i="67"/>
  <c r="E28" i="67"/>
  <c r="C29" i="67"/>
  <c r="D29" i="67"/>
  <c r="E29" i="67"/>
  <c r="C30" i="67"/>
  <c r="D30" i="67"/>
  <c r="E30" i="67"/>
  <c r="C31" i="67"/>
  <c r="D31" i="67"/>
  <c r="E31" i="67"/>
  <c r="C32" i="67"/>
  <c r="D32" i="67"/>
  <c r="E32" i="67"/>
  <c r="C33" i="67"/>
  <c r="D33" i="67"/>
  <c r="E33" i="67"/>
  <c r="C34" i="67"/>
  <c r="D34" i="67"/>
  <c r="E34" i="67"/>
  <c r="C35" i="67"/>
  <c r="D35" i="67"/>
  <c r="E35" i="67"/>
  <c r="C36" i="67"/>
  <c r="D36" i="67"/>
  <c r="E36" i="67"/>
  <c r="C37" i="67"/>
  <c r="D37" i="67"/>
  <c r="E37" i="67"/>
  <c r="C38" i="67"/>
  <c r="D38" i="67"/>
  <c r="E38" i="67"/>
  <c r="C39" i="67"/>
  <c r="D39" i="67"/>
  <c r="E39" i="67"/>
  <c r="C40" i="67"/>
  <c r="D40" i="67"/>
  <c r="E40" i="67"/>
  <c r="C41" i="67"/>
  <c r="D41" i="67"/>
  <c r="E41" i="67"/>
  <c r="C42" i="67"/>
  <c r="D42" i="67"/>
  <c r="E42" i="67"/>
  <c r="C43" i="67"/>
  <c r="D43" i="67"/>
  <c r="E43" i="67"/>
  <c r="C44" i="67"/>
  <c r="D44" i="67"/>
  <c r="E44" i="67"/>
  <c r="C45" i="67"/>
  <c r="D45" i="67"/>
  <c r="E45" i="67"/>
  <c r="C46" i="67"/>
  <c r="D46" i="67"/>
  <c r="E46" i="67"/>
  <c r="C47" i="67"/>
  <c r="D47" i="67"/>
  <c r="E47" i="67"/>
  <c r="C48" i="67"/>
  <c r="D48" i="67"/>
  <c r="E48" i="67"/>
  <c r="C49" i="67"/>
  <c r="D49" i="67"/>
  <c r="E49" i="67"/>
  <c r="E8" i="68"/>
  <c r="F8" i="68"/>
  <c r="E9" i="68"/>
  <c r="F9" i="68"/>
  <c r="E10" i="68"/>
  <c r="F10" i="68"/>
  <c r="E11" i="68"/>
  <c r="F11" i="68"/>
  <c r="E12" i="68"/>
  <c r="F12" i="68"/>
  <c r="E13" i="68"/>
  <c r="F13" i="68"/>
  <c r="E14" i="68"/>
  <c r="F14" i="68"/>
  <c r="E15" i="68"/>
  <c r="F15" i="68"/>
  <c r="E16" i="68"/>
  <c r="F16" i="68"/>
  <c r="E17" i="68"/>
  <c r="F17" i="68"/>
  <c r="E18" i="68"/>
  <c r="F18" i="68"/>
  <c r="E19" i="68"/>
  <c r="F19" i="68"/>
  <c r="E20" i="68"/>
  <c r="F20" i="68"/>
  <c r="E21" i="68"/>
  <c r="F21" i="68"/>
  <c r="E22" i="68"/>
  <c r="F22" i="68"/>
  <c r="E23" i="68"/>
  <c r="F23" i="68"/>
  <c r="E24" i="68"/>
  <c r="F24" i="68"/>
  <c r="E25" i="68"/>
  <c r="F25" i="68"/>
  <c r="E26" i="68"/>
  <c r="F26" i="68"/>
  <c r="E27" i="68"/>
  <c r="F27" i="68"/>
  <c r="E28" i="68"/>
  <c r="F28" i="68"/>
  <c r="E29" i="68"/>
  <c r="F29" i="68"/>
  <c r="E30" i="68"/>
  <c r="F30" i="68"/>
  <c r="E31" i="68"/>
  <c r="F31" i="68"/>
  <c r="E32" i="68"/>
  <c r="F32" i="68"/>
  <c r="E33" i="68"/>
  <c r="F33" i="68"/>
  <c r="E34" i="68"/>
  <c r="F34" i="68"/>
  <c r="E35" i="68"/>
  <c r="F35" i="68"/>
  <c r="E36" i="68"/>
  <c r="F36" i="68"/>
  <c r="E37" i="68"/>
  <c r="F37" i="68"/>
  <c r="E38" i="68"/>
  <c r="F38" i="68"/>
  <c r="E39" i="68"/>
  <c r="F39" i="68"/>
  <c r="E40" i="68"/>
  <c r="F40" i="68"/>
  <c r="E41" i="68"/>
  <c r="F41" i="68"/>
  <c r="E42" i="68"/>
  <c r="F42" i="68"/>
  <c r="E43" i="68"/>
  <c r="F43" i="68"/>
  <c r="E44" i="68"/>
  <c r="F44" i="68"/>
  <c r="E45" i="68"/>
  <c r="F45" i="68"/>
  <c r="E13" i="69"/>
  <c r="C14" i="69"/>
  <c r="D14" i="69"/>
  <c r="E14" i="69"/>
  <c r="C15" i="69"/>
  <c r="D15" i="69"/>
  <c r="E15" i="69"/>
  <c r="C16" i="69"/>
  <c r="D16" i="69"/>
  <c r="E16" i="69"/>
  <c r="C17" i="69"/>
  <c r="D17" i="69"/>
  <c r="E17" i="69"/>
  <c r="C18" i="69"/>
  <c r="D18" i="69"/>
  <c r="E18" i="69"/>
  <c r="C19" i="69"/>
  <c r="D19" i="69"/>
  <c r="E19" i="69"/>
  <c r="C20" i="69"/>
  <c r="D20" i="69"/>
  <c r="E20" i="69"/>
  <c r="C21" i="69"/>
  <c r="D21" i="69"/>
  <c r="E21" i="69"/>
  <c r="C22" i="69"/>
  <c r="D22" i="69"/>
  <c r="E22" i="69"/>
  <c r="C23" i="69"/>
  <c r="D23" i="69"/>
  <c r="E23" i="69"/>
  <c r="C24" i="69"/>
  <c r="D24" i="69"/>
  <c r="E24" i="69"/>
  <c r="C25" i="69"/>
  <c r="D25" i="69"/>
  <c r="E25" i="69"/>
  <c r="C26" i="69"/>
  <c r="D26" i="69"/>
  <c r="E26" i="69"/>
  <c r="C27" i="69"/>
  <c r="D27" i="69"/>
  <c r="E27" i="69"/>
  <c r="C28" i="69"/>
  <c r="D28" i="69"/>
  <c r="E28" i="69"/>
  <c r="C29" i="69"/>
  <c r="D29" i="69"/>
  <c r="E29" i="69"/>
  <c r="C30" i="69"/>
  <c r="D30" i="69"/>
  <c r="E30" i="69"/>
  <c r="C31" i="69"/>
  <c r="D31" i="69"/>
  <c r="E31" i="69"/>
  <c r="C32" i="69"/>
  <c r="D32" i="69"/>
  <c r="E32" i="69"/>
  <c r="C33" i="69"/>
  <c r="D33" i="69"/>
  <c r="E33" i="69"/>
  <c r="C34" i="69"/>
  <c r="D34" i="69"/>
  <c r="E34" i="69"/>
  <c r="C35" i="69"/>
  <c r="D35" i="69"/>
  <c r="E35" i="69"/>
  <c r="C36" i="69"/>
  <c r="D36" i="69"/>
  <c r="E36" i="69"/>
  <c r="C37" i="69"/>
  <c r="D37" i="69"/>
  <c r="E37" i="69"/>
  <c r="C38" i="69"/>
  <c r="D38" i="69"/>
  <c r="E38" i="69"/>
  <c r="C39" i="69"/>
  <c r="D39" i="69"/>
  <c r="E39" i="69"/>
  <c r="C40" i="69"/>
  <c r="D40" i="69"/>
  <c r="E40" i="69"/>
  <c r="C41" i="69"/>
  <c r="D41" i="69"/>
  <c r="E41" i="69"/>
  <c r="C42" i="69"/>
  <c r="D42" i="69"/>
  <c r="E42" i="69"/>
  <c r="C43" i="69"/>
  <c r="D43" i="69"/>
  <c r="E43" i="69"/>
  <c r="C44" i="69"/>
  <c r="D44" i="69"/>
  <c r="E44" i="69"/>
  <c r="C45" i="69"/>
  <c r="D45" i="69"/>
  <c r="E45" i="69"/>
  <c r="C46" i="69"/>
  <c r="D46" i="69"/>
  <c r="E46" i="69"/>
  <c r="C47" i="69"/>
  <c r="D47" i="69"/>
  <c r="E47" i="69"/>
  <c r="C48" i="69"/>
  <c r="D48" i="69"/>
  <c r="E48" i="69"/>
  <c r="C49" i="69"/>
  <c r="D49" i="69"/>
  <c r="E49" i="69"/>
  <c r="C50" i="69"/>
  <c r="D50" i="69"/>
  <c r="E50" i="69"/>
  <c r="C51" i="69"/>
  <c r="D51" i="69"/>
  <c r="E51" i="69"/>
  <c r="C52" i="69"/>
  <c r="D52" i="69"/>
  <c r="E52" i="69"/>
  <c r="C53" i="69"/>
  <c r="D53" i="69"/>
  <c r="E53" i="69"/>
  <c r="C54" i="69"/>
  <c r="D54" i="69"/>
  <c r="E54" i="69"/>
  <c r="C55" i="69"/>
  <c r="D55" i="69"/>
  <c r="E55" i="69"/>
  <c r="C56" i="69"/>
  <c r="D56" i="69"/>
  <c r="E56" i="69"/>
  <c r="C57" i="69"/>
  <c r="D57" i="69"/>
  <c r="E57" i="69"/>
  <c r="C58" i="69"/>
  <c r="D58" i="69"/>
  <c r="E58" i="69"/>
  <c r="C59" i="69"/>
  <c r="D59" i="69"/>
  <c r="E59" i="69"/>
  <c r="C60" i="69"/>
  <c r="D60" i="69"/>
  <c r="E60" i="69"/>
  <c r="C61" i="69"/>
  <c r="D61" i="69"/>
  <c r="E61" i="69"/>
  <c r="C62" i="69"/>
  <c r="D62" i="69"/>
  <c r="E62" i="69"/>
  <c r="E13" i="71"/>
  <c r="F13" i="71"/>
  <c r="G13" i="71"/>
  <c r="H13" i="71"/>
  <c r="I13" i="71"/>
  <c r="E14" i="71"/>
  <c r="F14" i="71"/>
  <c r="G14" i="71"/>
  <c r="H14" i="71"/>
  <c r="I14" i="71"/>
  <c r="E15" i="71"/>
  <c r="F15" i="71"/>
  <c r="G15" i="71"/>
  <c r="H15" i="71"/>
  <c r="I15" i="71"/>
  <c r="E16" i="71"/>
  <c r="F16" i="71"/>
  <c r="G16" i="71"/>
  <c r="H16" i="71"/>
  <c r="I16" i="71"/>
  <c r="E17" i="71"/>
  <c r="F17" i="71"/>
  <c r="G17" i="71"/>
  <c r="H17" i="71"/>
  <c r="I17" i="71"/>
  <c r="E18" i="71"/>
  <c r="F18" i="71"/>
  <c r="G18" i="71"/>
  <c r="H18" i="71"/>
  <c r="I18" i="71"/>
  <c r="E19" i="71"/>
  <c r="F19" i="71"/>
  <c r="G19" i="71"/>
  <c r="H19" i="71"/>
  <c r="I19" i="71"/>
  <c r="E20" i="71"/>
  <c r="F20" i="71"/>
  <c r="G20" i="71"/>
  <c r="H20" i="71"/>
  <c r="I20" i="71"/>
  <c r="E21" i="71"/>
  <c r="F21" i="71"/>
  <c r="G21" i="71"/>
  <c r="H21" i="71"/>
  <c r="I21" i="71"/>
  <c r="E22" i="71"/>
  <c r="F22" i="71"/>
  <c r="G22" i="71"/>
  <c r="H22" i="71"/>
  <c r="I22" i="71"/>
  <c r="E23" i="71"/>
  <c r="F23" i="71"/>
  <c r="G23" i="71"/>
  <c r="H23" i="71"/>
  <c r="I23" i="71"/>
  <c r="E24" i="71"/>
  <c r="F24" i="71"/>
  <c r="G24" i="71"/>
  <c r="H24" i="71"/>
  <c r="I24" i="71"/>
  <c r="E25" i="71"/>
  <c r="F25" i="71"/>
  <c r="G25" i="71"/>
  <c r="H25" i="71"/>
  <c r="I25" i="71"/>
  <c r="E26" i="71"/>
  <c r="F26" i="71"/>
  <c r="G26" i="71"/>
  <c r="H26" i="71"/>
  <c r="I26" i="71"/>
  <c r="E27" i="71"/>
  <c r="F27" i="71"/>
  <c r="G27" i="71"/>
  <c r="H27" i="71"/>
  <c r="I27" i="71"/>
  <c r="E28" i="71"/>
  <c r="F28" i="71"/>
  <c r="G28" i="71"/>
  <c r="H28" i="71"/>
  <c r="I28" i="71"/>
  <c r="E29" i="71"/>
  <c r="F29" i="71"/>
  <c r="G29" i="71"/>
  <c r="H29" i="71"/>
  <c r="I29" i="71"/>
  <c r="E30" i="71"/>
  <c r="F30" i="71"/>
  <c r="G30" i="71"/>
  <c r="H30" i="71"/>
  <c r="I30" i="71"/>
  <c r="E31" i="71"/>
  <c r="F31" i="71"/>
  <c r="G31" i="71"/>
  <c r="H31" i="71"/>
  <c r="I31" i="71"/>
  <c r="E32" i="71"/>
  <c r="F32" i="71"/>
  <c r="G32" i="71"/>
  <c r="H32" i="71"/>
  <c r="I32" i="71"/>
  <c r="E33" i="71"/>
  <c r="F33" i="71"/>
  <c r="G33" i="71"/>
  <c r="H33" i="71"/>
  <c r="I33" i="71"/>
  <c r="E34" i="71"/>
  <c r="F34" i="71"/>
  <c r="G34" i="71"/>
  <c r="H34" i="71"/>
  <c r="I34" i="71"/>
  <c r="E35" i="71"/>
  <c r="F35" i="71"/>
  <c r="G35" i="71"/>
  <c r="H35" i="71"/>
  <c r="I35" i="71"/>
  <c r="E36" i="71"/>
  <c r="F36" i="71"/>
  <c r="G36" i="71"/>
  <c r="H36" i="71"/>
  <c r="I36" i="71"/>
  <c r="E37" i="71"/>
  <c r="F37" i="71"/>
  <c r="G37" i="71"/>
  <c r="H37" i="71"/>
  <c r="I37" i="71"/>
  <c r="E38" i="71"/>
  <c r="F38" i="71"/>
  <c r="G38" i="71"/>
  <c r="H38" i="71"/>
  <c r="I38" i="71"/>
  <c r="E39" i="71"/>
  <c r="F39" i="71"/>
  <c r="G39" i="71"/>
  <c r="H39" i="71"/>
  <c r="I39" i="71"/>
  <c r="E40" i="71"/>
  <c r="F40" i="71"/>
  <c r="G40" i="71"/>
  <c r="H40" i="71"/>
  <c r="I40" i="71"/>
  <c r="E41" i="71"/>
  <c r="F41" i="71"/>
  <c r="G41" i="71"/>
  <c r="H41" i="71"/>
  <c r="I41" i="71"/>
  <c r="E42" i="71"/>
  <c r="F42" i="71"/>
  <c r="G42" i="71"/>
  <c r="H42" i="71"/>
  <c r="I42" i="71"/>
  <c r="E43" i="71"/>
  <c r="F43" i="71"/>
  <c r="G43" i="71"/>
  <c r="H43" i="71"/>
  <c r="I43" i="71"/>
  <c r="E44" i="71"/>
  <c r="F44" i="71"/>
  <c r="G44" i="71"/>
  <c r="H44" i="71"/>
  <c r="I44" i="71"/>
  <c r="E45" i="71"/>
  <c r="F45" i="71"/>
  <c r="G45" i="71"/>
  <c r="H45" i="71"/>
  <c r="I45" i="71"/>
  <c r="E46" i="71"/>
  <c r="F46" i="71"/>
  <c r="G46" i="71"/>
  <c r="H46" i="71"/>
  <c r="I46" i="71"/>
  <c r="E47" i="71"/>
  <c r="F47" i="71"/>
  <c r="G47" i="71"/>
  <c r="H47" i="71"/>
  <c r="I47" i="71"/>
  <c r="E48" i="71"/>
  <c r="F48" i="71"/>
  <c r="G48" i="71"/>
  <c r="H48" i="71"/>
  <c r="I48" i="71"/>
  <c r="E49" i="71"/>
  <c r="F49" i="71"/>
  <c r="G49" i="71"/>
  <c r="H49" i="71"/>
  <c r="I49" i="71"/>
  <c r="E50" i="71"/>
  <c r="F50" i="71"/>
  <c r="G50" i="71"/>
  <c r="H50" i="71"/>
  <c r="I50" i="71"/>
  <c r="E51" i="71"/>
  <c r="F51" i="71"/>
  <c r="G51" i="71"/>
  <c r="H51" i="71"/>
  <c r="I51" i="71"/>
  <c r="E52" i="71"/>
  <c r="F52" i="71"/>
  <c r="G52" i="71"/>
  <c r="H52" i="71"/>
  <c r="I52" i="71"/>
  <c r="E53" i="71"/>
  <c r="F53" i="71"/>
  <c r="G53" i="71"/>
  <c r="H53" i="71"/>
  <c r="I53" i="71"/>
  <c r="E54" i="71"/>
  <c r="F54" i="71"/>
  <c r="G54" i="71"/>
  <c r="H54" i="71"/>
  <c r="I54" i="71"/>
  <c r="E55" i="71"/>
  <c r="F55" i="71"/>
  <c r="G55" i="71"/>
  <c r="H55" i="71"/>
  <c r="I55" i="71"/>
  <c r="E56" i="71"/>
  <c r="F56" i="71"/>
  <c r="G56" i="71"/>
  <c r="H56" i="71"/>
  <c r="I56" i="71"/>
  <c r="E57" i="71"/>
  <c r="F57" i="71"/>
  <c r="G57" i="71"/>
  <c r="H57" i="71"/>
  <c r="I57" i="71"/>
  <c r="E58" i="71"/>
  <c r="F58" i="71"/>
  <c r="G58" i="71"/>
  <c r="H58" i="71"/>
  <c r="I58" i="71"/>
  <c r="E22" i="70"/>
  <c r="F22" i="70"/>
  <c r="G22" i="70"/>
  <c r="H22" i="70"/>
  <c r="E23" i="70"/>
  <c r="F23" i="70"/>
  <c r="G23" i="70"/>
  <c r="H23" i="70"/>
  <c r="E24" i="70"/>
  <c r="F24" i="70"/>
  <c r="G24" i="70"/>
  <c r="H24" i="70"/>
  <c r="E25" i="70"/>
  <c r="F25" i="70"/>
  <c r="G25" i="70"/>
  <c r="H25" i="70"/>
  <c r="E26" i="70"/>
  <c r="F26" i="70"/>
  <c r="G26" i="70"/>
  <c r="H26" i="70"/>
  <c r="E27" i="70"/>
  <c r="F27" i="70"/>
  <c r="G27" i="70"/>
  <c r="H27" i="70"/>
  <c r="E28" i="70"/>
  <c r="F28" i="70"/>
  <c r="G28" i="70"/>
  <c r="H28" i="70"/>
  <c r="E29" i="70"/>
  <c r="F29" i="70"/>
  <c r="G29" i="70"/>
  <c r="H29" i="70"/>
  <c r="E30" i="70"/>
  <c r="F30" i="70"/>
  <c r="G30" i="70"/>
  <c r="H30" i="70"/>
  <c r="E31" i="70"/>
  <c r="F31" i="70"/>
  <c r="G31" i="70"/>
  <c r="H31" i="70"/>
  <c r="E32" i="70"/>
  <c r="F32" i="70"/>
  <c r="G32" i="70"/>
  <c r="H32" i="70"/>
  <c r="E33" i="70"/>
  <c r="F33" i="70"/>
  <c r="G33" i="70"/>
  <c r="H33" i="70"/>
  <c r="E34" i="70"/>
  <c r="F34" i="70"/>
  <c r="G34" i="70"/>
  <c r="H34" i="70"/>
  <c r="E35" i="70"/>
  <c r="F35" i="70"/>
  <c r="G35" i="70"/>
  <c r="H35" i="70"/>
  <c r="E36" i="70"/>
  <c r="F36" i="70"/>
  <c r="G36" i="70"/>
  <c r="H36" i="70"/>
  <c r="E37" i="70"/>
  <c r="F37" i="70"/>
  <c r="G37" i="70"/>
  <c r="H37" i="70"/>
  <c r="E38" i="70"/>
  <c r="F38" i="70"/>
  <c r="G38" i="70"/>
  <c r="H38" i="70"/>
  <c r="E39" i="70"/>
  <c r="F39" i="70"/>
  <c r="G39" i="70"/>
  <c r="H39" i="70"/>
  <c r="E40" i="70"/>
  <c r="F40" i="70"/>
  <c r="G40" i="70"/>
  <c r="H40" i="70"/>
  <c r="E41" i="70"/>
  <c r="F41" i="70"/>
  <c r="G41" i="70"/>
  <c r="H41" i="70"/>
  <c r="E42" i="70"/>
  <c r="F42" i="70"/>
  <c r="G42" i="70"/>
  <c r="H42" i="70"/>
  <c r="E43" i="70"/>
  <c r="F43" i="70"/>
  <c r="G43" i="70"/>
  <c r="H43" i="70"/>
  <c r="E44" i="70"/>
  <c r="F44" i="70"/>
  <c r="G44" i="70"/>
  <c r="H44" i="70"/>
  <c r="E45" i="70"/>
  <c r="F45" i="70"/>
  <c r="G45" i="70"/>
  <c r="H45" i="70"/>
  <c r="E46" i="70"/>
  <c r="F46" i="70"/>
  <c r="G46" i="70"/>
  <c r="H46" i="70"/>
  <c r="E47" i="70"/>
  <c r="F47" i="70"/>
  <c r="G47" i="70"/>
  <c r="H47" i="70"/>
  <c r="E48" i="70"/>
  <c r="F48" i="70"/>
  <c r="G48" i="70"/>
  <c r="H48" i="70"/>
  <c r="E49" i="70"/>
  <c r="F49" i="70"/>
  <c r="G49" i="70"/>
  <c r="H49" i="70"/>
  <c r="E50" i="70"/>
  <c r="F50" i="70"/>
  <c r="G50" i="70"/>
  <c r="H50" i="70"/>
  <c r="E51" i="70"/>
  <c r="F51" i="70"/>
  <c r="G51" i="70"/>
  <c r="H51" i="70"/>
  <c r="E52" i="70"/>
  <c r="F52" i="70"/>
  <c r="G52" i="70"/>
  <c r="H52" i="70"/>
  <c r="E53" i="70"/>
  <c r="F53" i="70"/>
  <c r="G53" i="70"/>
  <c r="H53" i="70"/>
  <c r="E54" i="70"/>
  <c r="F54" i="70"/>
  <c r="G54" i="70"/>
  <c r="H54" i="70"/>
  <c r="E55" i="70"/>
  <c r="F55" i="70"/>
  <c r="G55" i="70"/>
  <c r="H55" i="70"/>
  <c r="E56" i="70"/>
  <c r="F56" i="70"/>
  <c r="G56" i="70"/>
  <c r="H56" i="70"/>
  <c r="E57" i="70"/>
  <c r="F57" i="70"/>
  <c r="G57" i="70"/>
  <c r="H57" i="70"/>
  <c r="E58" i="70"/>
  <c r="F58" i="70"/>
  <c r="G58" i="70"/>
  <c r="H58" i="70"/>
  <c r="E59" i="70"/>
  <c r="F59" i="70"/>
  <c r="G59" i="70"/>
  <c r="H59" i="70"/>
  <c r="E60" i="70"/>
  <c r="F60" i="70"/>
  <c r="G60" i="70"/>
  <c r="H60" i="70"/>
  <c r="E61" i="70"/>
  <c r="F61" i="70"/>
  <c r="G61" i="70"/>
  <c r="H61" i="70"/>
  <c r="E62" i="70"/>
  <c r="F62" i="70"/>
  <c r="G62" i="70"/>
  <c r="H62" i="70"/>
  <c r="E63" i="70"/>
  <c r="F63" i="70"/>
  <c r="G63" i="70"/>
  <c r="H63" i="70"/>
  <c r="E64" i="70"/>
  <c r="F64" i="70"/>
  <c r="G64" i="70"/>
  <c r="H64" i="70"/>
  <c r="E65" i="70"/>
  <c r="F65" i="70"/>
  <c r="G65" i="70"/>
  <c r="H65" i="70"/>
  <c r="E66" i="70"/>
  <c r="F66" i="70"/>
  <c r="G66" i="70"/>
  <c r="H66" i="70"/>
  <c r="E67" i="70"/>
  <c r="F67" i="70"/>
  <c r="G67" i="70"/>
  <c r="H67" i="70"/>
  <c r="E68" i="70"/>
  <c r="F68" i="70"/>
  <c r="G68" i="70"/>
  <c r="H68" i="70"/>
  <c r="E69" i="70"/>
  <c r="F69" i="70"/>
  <c r="G69" i="70"/>
  <c r="H69" i="70"/>
  <c r="E70" i="70"/>
  <c r="F70" i="70"/>
  <c r="G70" i="70"/>
  <c r="H70" i="70"/>
  <c r="E71" i="70"/>
  <c r="F71" i="70"/>
  <c r="G71" i="70"/>
  <c r="H71" i="70"/>
  <c r="E72" i="70"/>
  <c r="F72" i="70"/>
  <c r="G72" i="70"/>
  <c r="H72" i="70"/>
  <c r="E73" i="70"/>
  <c r="F73" i="70"/>
  <c r="G73" i="70"/>
  <c r="H73" i="70"/>
  <c r="E74" i="70"/>
  <c r="F74" i="70"/>
  <c r="G74" i="70"/>
  <c r="H74" i="70"/>
  <c r="E75" i="70"/>
  <c r="F75" i="70"/>
  <c r="G75" i="70"/>
  <c r="H75" i="70"/>
  <c r="E76" i="70"/>
  <c r="F76" i="70"/>
  <c r="G76" i="70"/>
  <c r="H76" i="70"/>
</calcChain>
</file>

<file path=xl/sharedStrings.xml><?xml version="1.0" encoding="utf-8"?>
<sst xmlns="http://schemas.openxmlformats.org/spreadsheetml/2006/main" count="2256" uniqueCount="1359">
  <si>
    <t>Column D subtracts the each of the last 5 closes from today’s simple moving average (e.g., the moving average minus the close 5 days ago, the moving average minus the close 4 days ago, etc.). Each of these 5 numbers is squared and then the five squared values are summed.</t>
  </si>
  <si>
    <t>Column E divides Column D by the number of periods (e.g., 5). It then takes the square root of this result. This is the Standard Deviation.</t>
  </si>
  <si>
    <t>Excel STDEVP()</t>
  </si>
  <si>
    <t>5-day SMA of Column B</t>
  </si>
  <si>
    <t>Square Root of Column D divided by 5</t>
  </si>
  <si>
    <t>The center line of the Standard Deviation Channel is a Linear Regression Trendline. The upper channel is plotted  the specified number of standard deviations above the center line. The lower channel is plotted the specified number of standard deviations below the center line.</t>
  </si>
  <si>
    <t>The center line of the Standard Error Bands is a Linear Regression Trendline. The upper band is calculated by adding the specified number of Standard Errors to the Linear Regression Trendline. The lower channel is calculated by subtracting the specified number of standard errors from the Linear Regression Trendline.</t>
  </si>
  <si>
    <t>See the Linear Regression Trendline page to see a complete breakdown of the Linear Regression Slope Calculation</t>
  </si>
  <si>
    <t>For a detailed calculation of Standard Error, see the Linear Regression Trendline page.</t>
  </si>
  <si>
    <t>The center line is a Linear Regression Trendline - use the Excel TREND function</t>
  </si>
  <si>
    <t>LONG</t>
  </si>
  <si>
    <t>Low of 42.1875 falls below stop of 44.9468, switch to SHORT</t>
  </si>
  <si>
    <t>High of 46.6875 rises above stop of 46.3691, enter LONG</t>
  </si>
  <si>
    <t>Special Case: If long, never move SAR above the two prior lows</t>
  </si>
  <si>
    <t>Low of 56 falls below SAR of 58.125, enter SHORT</t>
  </si>
  <si>
    <t>High of 56.9688 rises above SAR of 56.6502, enter LONG</t>
  </si>
  <si>
    <t>Low of 50.4062 falls below SAR of 51.625, enter SHORT</t>
  </si>
  <si>
    <t>High of 54 rises above SAR of 52.9092, enter LONG</t>
  </si>
  <si>
    <t>Special Rules:</t>
  </si>
  <si>
    <t>Low of 45.1562 falls below SAR of 45.7149 switch to SHORT</t>
  </si>
  <si>
    <t>Column F is the Parabolic SAR (Stop and Reversal).  See the special rules below for exceptions to the regular SAR formula.</t>
  </si>
  <si>
    <t>If long, never move the SAR above the two prior lows.</t>
  </si>
  <si>
    <t>If short, never move the SAR below the two prior highs.</t>
  </si>
  <si>
    <t>High of 46.5625 rises above SAR of 46.1875 switch to LONG</t>
  </si>
  <si>
    <t>Column F is a 9-period exponential moving average of Column E. The ninth row of Column F is seeded with the ninth value in Column E (i.e., 0.3360). The ninth value was used because it took 9 days for the 9-day moving average to become valid. Subsequent rows in Column F are calculated by multiplying the value in Column E by 0.2, then multiplying the previous day’s value in Column F by 0.8, and finally adding these two values together.</t>
  </si>
  <si>
    <t>Column G is Column E divided by Column F. We don’t begin this calculation until Column F is valid (i.e., it has 9 days of data).</t>
  </si>
  <si>
    <t>Column H is a 3-day sum of Column G. This is the Mass Index.</t>
  </si>
  <si>
    <t>9-day EMA of Col D</t>
  </si>
  <si>
    <t>9-day EMA of Col E</t>
  </si>
  <si>
    <t>Col E divided by Col F</t>
  </si>
  <si>
    <t>Column M calculates an exponential moving average of the value obtained in Column L (use the same number of periods as used in Column J).</t>
  </si>
  <si>
    <t>Column N divides the value obtained in Column M by 2.</t>
  </si>
  <si>
    <t>Column O divides the value obtained in Column J by the value obtained in Column N, and then multiplies it by 100.  This is the SMI.</t>
  </si>
  <si>
    <t>The Stochastic Oscillator has four variables:</t>
  </si>
  <si>
    <r>
      <t>%K Periods.</t>
    </r>
    <r>
      <rPr>
        <sz val="12"/>
        <rFont val="Times New Roman"/>
        <family val="1"/>
      </rPr>
      <t xml:space="preserve"> This is the number of time periods used in the stochastic calculation.</t>
    </r>
  </si>
  <si>
    <r>
      <t>%K Slowing Periods.</t>
    </r>
    <r>
      <rPr>
        <sz val="12"/>
        <rFont val="Times New Roman"/>
        <family val="1"/>
      </rPr>
      <t xml:space="preserve"> This value controls the internal smoothing of %K. A value of 1 is considered a fast stochastic; a value of 3 is considered a slow stochastic.</t>
    </r>
  </si>
  <si>
    <r>
      <t>%D Periods.</t>
    </r>
    <r>
      <rPr>
        <sz val="12"/>
        <rFont val="Times New Roman"/>
        <family val="1"/>
      </rPr>
      <t xml:space="preserve"> This is the number of time periods used when calculating a moving average of %K. The moving average is called %D and is usually displayed as a dotted line on top of %K.</t>
    </r>
  </si>
  <si>
    <r>
      <t>%D Method.</t>
    </r>
    <r>
      <rPr>
        <sz val="12"/>
        <rFont val="Times New Roman"/>
        <family val="1"/>
      </rPr>
      <t xml:space="preserve"> This method (i.e., Exponential, Simple, Time Series, Triangular, Variable, or Weighted) is used to calculate %D.</t>
    </r>
  </si>
  <si>
    <t>The formula for %K is as follows:</t>
  </si>
  <si>
    <t>For example, to calculate a 10-day %K, first find the security’s highest high and lowest low over the last 10 days. Then run these numbers through the above equation. For example, assume that during the last 10 days the highest high was 46 and the lowest low was 38—a range of 8 points. If today’s closing price was 41, %K would be calculated as the following:</t>
  </si>
  <si>
    <t>The 37.5 percent in this example shows that today’s close was at the level of 37.5 percent relative to the security’s trading range over the last 10 days. If today’s close was 42, the Stochastic Oscillator would be 50 percent. This would mean that the security closed today at 50 percent, or the midpoint, of its 10-day trading range.</t>
  </si>
  <si>
    <t>The example above used a %K Slowing Period of 1 day (i.e., no slowing). If you use a %K Slowing value that is greater than 1, the numerator is calculated each day for the number of slowing periods specified. These values are then summed. The same calculation is done for the denominator. This process has a smoothing effect. If you use 1, no smoothing is performed.</t>
  </si>
  <si>
    <t>A moving average of %K is then calculated using the number of time periods specified in the %D Periods. This moving average is called %D.</t>
  </si>
  <si>
    <r>
      <t xml:space="preserve">The Stochastic Oscillator always ranges between 0 percent and 100 percent. A reading of 0 percent shows that the security’s close was the lowest price that the security has traded during the preceding </t>
    </r>
    <r>
      <rPr>
        <i/>
        <sz val="12"/>
        <rFont val="Times New Roman"/>
        <family val="1"/>
      </rPr>
      <t xml:space="preserve">n </t>
    </r>
    <r>
      <rPr>
        <sz val="12"/>
        <rFont val="Times New Roman"/>
        <family val="1"/>
      </rPr>
      <t xml:space="preserve">time periods. A reading of 100 percent shows that the security’s close was the highest price that the security traded during the preceding </t>
    </r>
    <r>
      <rPr>
        <i/>
        <sz val="12"/>
        <rFont val="Times New Roman"/>
        <family val="1"/>
      </rPr>
      <t>n</t>
    </r>
    <r>
      <rPr>
        <sz val="12"/>
        <rFont val="Times New Roman"/>
        <family val="1"/>
      </rPr>
      <t xml:space="preserve"> time periods.</t>
    </r>
  </si>
  <si>
    <t>Column E is the lowest low (Column C) in the last %K periods (5 days in this example).</t>
  </si>
  <si>
    <t>Column F is the highest high (Column B) in the last %K periods.</t>
  </si>
  <si>
    <t>Column G is the current close (Column D) minus the lowest low (Column E).</t>
  </si>
  <si>
    <t>Column H is Column F minus Column E.</t>
  </si>
  <si>
    <t>Column I is the sum of Column G over the last %K Slowing periods (i.e., the last 3 periods in this example).</t>
  </si>
  <si>
    <t>3-day sum of Col G</t>
  </si>
  <si>
    <t>The Arms Index is calculated by first dividing the number of stocks that advanced in price by the number of stocks that declined in price to determine the Advance/Decline Ratio. Next, the volume of advancing stocks is divided by the volume of declining stocks to determine the Upside/Downside Ratio. Finally, the Advance/Decline Ratio is divided by the Upside/Downside Ratio.</t>
  </si>
  <si>
    <t>As with many indicators, you specify the number of time periods (e.g., days) to be used when calculating Aroon. This time period is referred to as “n” in the following equations.</t>
  </si>
  <si>
    <t>Aroon is calculated by subtracting the number of periods since prices reached a new high (or low) from “n,” and then dividing by “n.”</t>
  </si>
  <si>
    <t>Column F is the number of periods in the indicator (i.e., “n”) minus the value in Column E, divided by “n,” multiplied by 100. For example, on 10/08/98, this is ((5 – 2) / 5 ) * 100, or 60.</t>
  </si>
  <si>
    <t>Bollinger Bands are displayed as three lines (bands).</t>
  </si>
  <si>
    <t>The upper band is the same as the middle band, but it is shifted up by the number of standard deviations (e.g., 2 deviations). In this next formula, “D” is the number of standard deviations.</t>
  </si>
  <si>
    <t>5-day SMA (Middle Band)</t>
  </si>
  <si>
    <t>Cell C23</t>
  </si>
  <si>
    <t>Cell C24</t>
  </si>
  <si>
    <t>Cell C31</t>
  </si>
  <si>
    <t>Multiply the average volume (Cell C24) by .67 to get the Average Volume Increment</t>
  </si>
  <si>
    <t>Column F is the upper Projection Band (Column C) minus the lower Projection Band (Column D).</t>
  </si>
  <si>
    <t>Column D divides the Total Public Short Sales by the Total Short Sales, then multiplies it by 100, to get the Public Short Ratio</t>
  </si>
  <si>
    <t>Column D divides the Put Volume by the Call Volume to get the Puts/Calls ratio.</t>
  </si>
  <si>
    <r>
      <t xml:space="preserve">Column F is the Center Line, which is a Linear Regression Trendline.  It uses the </t>
    </r>
    <r>
      <rPr>
        <i/>
        <sz val="10"/>
        <rFont val="Arial"/>
        <family val="2"/>
      </rPr>
      <t>trend()</t>
    </r>
    <r>
      <rPr>
        <sz val="10"/>
        <rFont val="Arial"/>
        <family val="2"/>
      </rPr>
      <t xml:space="preserve"> function.  See the Linear Regression Trendline page for a detailed calculation</t>
    </r>
  </si>
  <si>
    <t>Column H subtracts the low from the regression line.</t>
  </si>
  <si>
    <t>Column G subtracts the regression line from the high.</t>
  </si>
  <si>
    <t>Cell I6 determines the maximim distance from prices to the regression line by getting the maximum value from columns G and H</t>
  </si>
  <si>
    <t>Column K adds the maximum distance (CellI6) to the regression line (column F) to get the Upper Channel.</t>
  </si>
  <si>
    <t>Column J subtracts the maximum distance (CellI6) from the regression line (column F) to get the Lower Channel.</t>
  </si>
  <si>
    <t>Center Line (Regression Line)</t>
  </si>
  <si>
    <t>Col C minus Col F</t>
  </si>
  <si>
    <t>Col F minus Col D</t>
  </si>
  <si>
    <t>Col F plus Cell I8</t>
  </si>
  <si>
    <t>Col F minus Cell I8</t>
  </si>
  <si>
    <r>
      <t>U</t>
    </r>
    <r>
      <rPr>
        <sz val="12"/>
        <rFont val="Times New Roman"/>
        <family val="1"/>
      </rPr>
      <t xml:space="preserve"> = An average of upward price change</t>
    </r>
  </si>
  <si>
    <t>Column N adds the RVIH (column H) to the RVIL (column M) and divide by 2 to the get the Relative Volatility Index.</t>
  </si>
  <si>
    <t>Columns I through M calculate the RVIL the same way as RVIH, except substituting the Lows for the Highs.</t>
  </si>
  <si>
    <t>Column O smooths the RVI by the Linear Regression Indicator to get Inertia</t>
  </si>
  <si>
    <t>Column H calculates the RVIH by dividing the U High (column F) by the sum of the U High and D High, then multipling by 100.</t>
  </si>
  <si>
    <t>Column G smooths the down High (column E) with a moving average to get the D High.</t>
  </si>
  <si>
    <t>Column D - If the High increased from the previous period, place the 10-period standard deviation of the Highs here.  This is the up High.</t>
  </si>
  <si>
    <t>Column E - If the High decreased from the previous period, place the 10-period standard deviation of the Highs here.  This is the down High.</t>
  </si>
  <si>
    <t>9-period Exponential Signal Line</t>
  </si>
  <si>
    <t>Column F is a 9-period exponential moving average of the MACD in Column E.  This is the signal line.</t>
  </si>
  <si>
    <t>MACD (Column C minus Column D)</t>
  </si>
  <si>
    <t>The volume-adjusted moving average can't be completely calculated in Excel without using macros.  We've shown the calculation for the last day here:</t>
  </si>
  <si>
    <t>Column E</t>
  </si>
  <si>
    <t>Column G</t>
  </si>
  <si>
    <t>Column H</t>
  </si>
  <si>
    <t>By definition, we start on day 22, seeding the MA with that day's close</t>
  </si>
  <si>
    <t>5-day max of Column G</t>
  </si>
  <si>
    <t>3-day EMA of Column J</t>
  </si>
  <si>
    <t>The calculation of the RMI is the same as for the RSI, except that the RMI uses a variable number of momentum periods in calculating the price change, whereas the RSI always uses 1 for the momentum period. Thus, a 20-period RMI with a 1-period momentum is equivalent to a 20-period RSI. As the momentum parameter is increased, the oscillation range of the RMI becomes wider and the fluctuations become smoother.</t>
  </si>
  <si>
    <r>
      <t xml:space="preserve">Column C varies, based on the close versus the close </t>
    </r>
    <r>
      <rPr>
        <i/>
        <sz val="12"/>
        <rFont val="Times New Roman"/>
        <family val="1"/>
      </rPr>
      <t xml:space="preserve">n </t>
    </r>
    <r>
      <rPr>
        <sz val="12"/>
        <rFont val="Times New Roman"/>
        <family val="1"/>
      </rPr>
      <t>periods ago (i.e., 4 periods). If the current close is greater than the close 4 periods ago, Column C is the 4-period change in the closing price. Otherwise, Column C is zero.</t>
    </r>
  </si>
  <si>
    <r>
      <t xml:space="preserve">Column D also varies based on the close versus the close </t>
    </r>
    <r>
      <rPr>
        <i/>
        <sz val="12"/>
        <rFont val="Times New Roman"/>
        <family val="1"/>
      </rPr>
      <t>n</t>
    </r>
    <r>
      <rPr>
        <sz val="12"/>
        <rFont val="Times New Roman"/>
        <family val="1"/>
      </rPr>
      <t xml:space="preserve"> periods ago. If the current close is less than the close 4 periods ago, Column C is the absolute value of the 4-period change in the closing price. (The term “absolute value” means “regardless of sign.” For example, the absolute value of -3 is 3.)</t>
    </r>
  </si>
  <si>
    <t>Column F is an 8-period Wilder’s Smoothing of Column D.</t>
  </si>
  <si>
    <t>Column G is Column C (the smoothed upward price change) divided by Column F (the smoothed downward price change).</t>
  </si>
  <si>
    <t>Column H is Column G divided by “Column G plus 1.” It is then multiplied by 100. This is the RMI.</t>
  </si>
  <si>
    <t>Column E is an 8-period Wilder’s Smoothing of Column C.</t>
  </si>
  <si>
    <t>Smoothed Column C</t>
  </si>
  <si>
    <t>if 4 day price change &lt; 0 Absolute value of 4-day price change</t>
  </si>
  <si>
    <t>Smoothed Column D</t>
  </si>
  <si>
    <t>Column E divided by Column F</t>
  </si>
  <si>
    <t>Column G divided by Column G + 1 multiplied by 100</t>
  </si>
  <si>
    <t>if 4 day price change &gt; 4-day price change</t>
  </si>
  <si>
    <t>The Comparative Relative Strength indicator is calculated by dividing one security’s price by a second security’s price (i.e., the “base” security). The result of this division is the ratio, or relationship, between the two securities.</t>
  </si>
  <si>
    <t>Often the value of the ratio on the first day is subtracted from all days to “normalize” the indicator so it begins at zero.</t>
  </si>
  <si>
    <t>·        The distance from yesterday's close to today's low.</t>
  </si>
  <si>
    <t>Williams' Acc/Dist</t>
  </si>
  <si>
    <t>Range Indicator</t>
  </si>
  <si>
    <t>TEMA</t>
  </si>
  <si>
    <r>
      <t xml:space="preserve">1. Calculate an </t>
    </r>
    <r>
      <rPr>
        <i/>
        <sz val="12"/>
        <rFont val="Times New Roman"/>
        <family val="1"/>
      </rPr>
      <t>n-</t>
    </r>
    <r>
      <rPr>
        <sz val="12"/>
        <rFont val="Times New Roman"/>
        <family val="1"/>
      </rPr>
      <t>period exponential moving average of the closing prices.</t>
    </r>
  </si>
  <si>
    <r>
      <t xml:space="preserve">2. Calculate an </t>
    </r>
    <r>
      <rPr>
        <i/>
        <sz val="12"/>
        <rFont val="Times New Roman"/>
        <family val="1"/>
      </rPr>
      <t>n-</t>
    </r>
    <r>
      <rPr>
        <sz val="12"/>
        <rFont val="Times New Roman"/>
        <family val="1"/>
      </rPr>
      <t>period exponential moving average of the moving average calculated in Step 1.</t>
    </r>
  </si>
  <si>
    <r>
      <t xml:space="preserve">3. Calculate an </t>
    </r>
    <r>
      <rPr>
        <i/>
        <sz val="12"/>
        <rFont val="Times New Roman"/>
        <family val="1"/>
      </rPr>
      <t>n-</t>
    </r>
    <r>
      <rPr>
        <sz val="12"/>
        <rFont val="Times New Roman"/>
        <family val="1"/>
      </rPr>
      <t>period exponential moving average of the moving average calculated in Step 2.</t>
    </r>
  </si>
  <si>
    <t>Time</t>
  </si>
  <si>
    <t>Dow 1 minute</t>
  </si>
  <si>
    <t>50 days</t>
  </si>
  <si>
    <t>Hogs and Corn</t>
  </si>
  <si>
    <t>The raw Ease of Movement value is usually smoothed with a moving average.</t>
  </si>
  <si>
    <t>Burlington Northern</t>
  </si>
  <si>
    <t>Next, Money Flow (not the Money Flow Index) is calculated by multiplying the period's Typical Price by the volume.</t>
  </si>
  <si>
    <t>Money Flow = Typical Price * Volume</t>
  </si>
  <si>
    <t>If today's Typical Price is greater than yesterday's Typical Price, it is considered Positive Money Flow. If today's price is less, it is considered Negative Money Flow.</t>
  </si>
  <si>
    <t>Positive Money Flow is the sum of the Positive Money over the specified number of periods. Negative Money Flow is the sum of the Negative Money over the specified number of periods.</t>
  </si>
  <si>
    <t>The Money Ratio is then calculated by dividing the Positive Money Flow by the Negative Money Flow.</t>
  </si>
  <si>
    <t>Finally, the Money Flow Index is calculated using the Money Ratio.</t>
  </si>
  <si>
    <t>Calculation</t>
  </si>
  <si>
    <t>Moving Averages</t>
  </si>
  <si>
    <t>Airborne Express</t>
  </si>
  <si>
    <t>(Today's Close * percent) + (Yesterday's Moving Average * (1 - percent))</t>
  </si>
  <si>
    <t>Chaikin's Volatility</t>
  </si>
  <si>
    <t>Moving Average - Variable</t>
  </si>
  <si>
    <t>a + bx</t>
  </si>
  <si>
    <t>Astra AB</t>
  </si>
  <si>
    <t>Standard Deviation</t>
  </si>
  <si>
    <t>Relative Strength Index</t>
  </si>
  <si>
    <t>Black and Decker</t>
  </si>
  <si>
    <t>Stochastic Oscillator</t>
  </si>
  <si>
    <t>3M</t>
  </si>
  <si>
    <t>Moving Average - Time Series</t>
  </si>
  <si>
    <t>The Regression Channel is constructed by plotting two parallel, equidistant lines above and below a Linear Regression Trendline. The distance between the channel lines and the Linear Regression Trendline is the greatest distance that any one high or low price is from the Linear Regression Trendline . The channel is plotted at the farthest point away from the Linear Regression Trendline that the market has allowed the security to trade.</t>
  </si>
  <si>
    <t>The center line is a Linear Regression Trendline . To calculate the upper and lower channels, first find the high or low that is furthest from the Linear Regression Trendline.  Then measure the distance from the Linear Regression Trendline to this high or low.  Finally, add this value to the Linear Regression Trendline to get the upper channel and subtract this value from the Linear Regression Trendline to get the lower channel.</t>
  </si>
  <si>
    <t>Given that the upper and lower channels are set at the farthest point the security has traded from the Linear Regression Trendline, it’s mathematically impossible for the security to trade outside of the channels.</t>
  </si>
  <si>
    <t>Regression Line</t>
  </si>
  <si>
    <t>If today’s close (Column D) is greater than the previous close, then Column G is Column F divided by the change in the close; otherwise Column G is set to Column F.</t>
  </si>
  <si>
    <t>Column H is the minimum value of Column G over the last Range periods (e.g., 5 in this example).</t>
  </si>
  <si>
    <t>Column I is the maximum value of Column G over the last Range periods.</t>
  </si>
  <si>
    <t>If Column I minus Column H is greater than zero, then Column J is set using the following stochastic-like equation:</t>
  </si>
  <si>
    <t>Column F is the True Range. Note that the True Range cannot be calculated until the second day.</t>
  </si>
  <si>
    <t>Otherwise Column J is set as follows:</t>
  </si>
  <si>
    <t>Column D is the raw (i.e., not normalized) indicator. It is calculated by dividing Column B by Column C. Note that Column C is considered the “base” security.</t>
  </si>
  <si>
    <t>Column F adds the High, Low, and Close together and divides by 3 to get the Typical Price.</t>
  </si>
  <si>
    <t>Column G multiplies the Typical Price (column F) by the Volume to get the Money Flow.</t>
  </si>
  <si>
    <r>
      <t xml:space="preserve">Column H is the Money Flow </t>
    </r>
    <r>
      <rPr>
        <i/>
        <sz val="10"/>
        <rFont val="Arial"/>
        <family val="2"/>
      </rPr>
      <t>if</t>
    </r>
    <r>
      <rPr>
        <sz val="10"/>
        <rFont val="Arial"/>
        <family val="2"/>
      </rPr>
      <t xml:space="preserve"> the stock went up.  This is Positive Money Flow.</t>
    </r>
  </si>
  <si>
    <r>
      <t xml:space="preserve">Column I is the Money flow </t>
    </r>
    <r>
      <rPr>
        <i/>
        <sz val="10"/>
        <rFont val="Arial"/>
        <family val="2"/>
      </rPr>
      <t>if</t>
    </r>
    <r>
      <rPr>
        <sz val="10"/>
        <rFont val="Arial"/>
        <family val="2"/>
      </rPr>
      <t xml:space="preserve"> the stock went down.  This is Negative Money Flow.</t>
    </r>
  </si>
  <si>
    <t>Column J sums up the Positive Money Flow (column H).</t>
  </si>
  <si>
    <t>Column K sums up the Negative Money Flow (column I).</t>
  </si>
  <si>
    <t>Column L divides the sum of the Positive Money Flow (column J) by the sum of the Negative Money Flow (column K) to get the Money Ratio.</t>
  </si>
  <si>
    <t>Column M adds 1 to the Money Ratio calculated in Column L.</t>
  </si>
  <si>
    <t>Column N divide column M by 100, then adds 100 to get the Money Flow Index.</t>
  </si>
  <si>
    <t>High plus Low plus Close divided by 3</t>
  </si>
  <si>
    <t>Column F times Column E</t>
  </si>
  <si>
    <t>if price up, show Column G, else 0</t>
  </si>
  <si>
    <t>if price down, show Column G, else 0</t>
  </si>
  <si>
    <t>Sum of Column H</t>
  </si>
  <si>
    <t>Sum of Column I</t>
  </si>
  <si>
    <t>Column L plus 1.0</t>
  </si>
  <si>
    <t>Column M divided by 100, then multiplied by 100</t>
  </si>
  <si>
    <t>An exponential (or exponentially weighted) moving average is calculated by applying a percentage of today’s closing price to a percentage of yesterday’s moving average value. Exponential moving averages place more weight on recent prices.</t>
  </si>
  <si>
    <t>For example, to calculate a 20-percent exponential moving average, first take today’s closing price and multiply it by 20 percent. Next, add this product to the value of yesterday’s moving average multiplied by 80 percent. The 80 percent was calculated by subtracting the percentage used in the moving average, in this case 20 percent, from 100 percent (i.e., 0.80 = 1.0 – 0.2). In this example, we are adding 20 percent of today’s closing price to 80 percent of the average price (i.e., yesterday’s moving average).</t>
  </si>
  <si>
    <t xml:space="preserve"> The number of days can be converted to percent by the following formula:</t>
  </si>
  <si>
    <t>You can use the following formula to convert an exponential percentage into a number of time periods (e.g., days).</t>
  </si>
  <si>
    <r>
      <t xml:space="preserve">Column E is the sum of Column C and Column D. (Remember that on the </t>
    </r>
    <r>
      <rPr>
        <i/>
        <sz val="12"/>
        <rFont val="Times New Roman"/>
        <family val="1"/>
      </rPr>
      <t>first</t>
    </r>
    <r>
      <rPr>
        <sz val="12"/>
        <rFont val="Times New Roman"/>
        <family val="1"/>
      </rPr>
      <t xml:space="preserve"> day Column C was set to the closing price.) Although there are values for this moving average beginning on the first day, the indicator isn’t “up to speed” (i.e., valid) until the fifth day since this is a 5-day moving average.</t>
    </r>
  </si>
  <si>
    <t>A simple (or “arithmetic”) moving average is calculated by adding the closing price of the security for a number of time periods (e.g., 12 days) and then dividing this total by the number of time periods. The result is the average price of the security over the time period. Simple moving averages give equal weight to each daily price.</t>
  </si>
  <si>
    <t>A variable moving average is calculated as follows:</t>
  </si>
  <si>
    <t>Volatility Ratio = absolute value of 9-day Chande Momentum Oscillator (CMO) divided by 100</t>
  </si>
  <si>
    <t>Column C is a 9-day Chande Momentum Oscillator (CMO)</t>
  </si>
  <si>
    <t>Column D takes the absolute value of the CMO in Column D and divides it by 100 to get the Volatility Ratio (VR)</t>
  </si>
  <si>
    <t>Column I divides Column G by Column H, and then multiplies by –100 (i.e., negative 100). This is Williams’s %R.</t>
  </si>
  <si>
    <t>Column E minus Close</t>
  </si>
  <si>
    <t>Col G / Col H times -100</t>
  </si>
  <si>
    <t>Column D is the close (Column B) divided by Column C. This is then multiplied by 100. This is the Momentum indicator.</t>
  </si>
  <si>
    <t>Col B / Col C times 100</t>
  </si>
  <si>
    <t>On the first day, Column E is “seeded” with the closing price (Column B).</t>
  </si>
  <si>
    <r>
      <t xml:space="preserve">Column D is the value of the moving average (Column E) on the previous day multiplied by 66.666… percent. The 66.666... percent was calculated as “100% – 33.333%.” Note that since there isn’t a “previous day” on the </t>
    </r>
    <r>
      <rPr>
        <i/>
        <sz val="12"/>
        <rFont val="Times New Roman"/>
        <family val="1"/>
      </rPr>
      <t>first</t>
    </r>
    <r>
      <rPr>
        <sz val="12"/>
        <rFont val="Times New Roman"/>
        <family val="1"/>
      </rPr>
      <t xml:space="preserve"> day, this value is not available on the first day (i.e., 08/22/97).</t>
    </r>
  </si>
  <si>
    <t>Column C is the closing price multiplied by 33.333… percent. The 33.333... percent was calculated as “2 / (n + 1)” where “n” is 5, because this is a 5-period exponential moving average.</t>
  </si>
  <si>
    <t>Yesterday's Column E multiplied by 66.666%</t>
  </si>
  <si>
    <t>Column C plus Column D</t>
  </si>
  <si>
    <t>Close multiplied by 33.333%</t>
  </si>
  <si>
    <t>See Time Series Forecast</t>
  </si>
  <si>
    <t>The Moving Average - Time Series is the same as the Time Series Forecast Indicator</t>
  </si>
  <si>
    <t>Column C is the sum of the closing price for the previous 5 days.</t>
  </si>
  <si>
    <t>Column D is the value in Column C divided by 5. This is the 5-day simple moving average.</t>
  </si>
  <si>
    <t>5-day Sum of Closing Prices</t>
  </si>
  <si>
    <t>Column C divided by 5</t>
  </si>
  <si>
    <t>To determine the number of periods to use in the two simple moving averages, do the following:</t>
  </si>
  <si>
    <t>Using the preceding instructions, you can determine that a 5-period triangular moving average contains 3-period simple moving averages (i.e., 5 plus 1 is 6; 6 divided by 2 is 3; 3 doesn’t contain a fractional portion).</t>
  </si>
  <si>
    <t>Column C is a 3-period simple moving average of the close. It was calculated by summing the preceding 3 days of closing prices and dividing by 3.</t>
  </si>
  <si>
    <t>Column D is a 3-period simple moving average of Column C It was calculated by summing the preceding 3 days of Column C and dividing by 3. This is the triangular moving average.</t>
  </si>
  <si>
    <t>Triangular moving averages place the majority of the weight on the middle portion of the price series. Triangular moving averages are actually double-smoothed simple moving averages (i.e., a moving average of a moving average). The periods used in the simple moving averages vary, depending on whether or not you specify an odd or even number of time periods.</t>
  </si>
  <si>
    <t>1. Add 1 to the number of periods in the triangular moving average. For example, if you are calculating a 12-period triangular moving average, 12 plus 1 is 13.</t>
  </si>
  <si>
    <t>2. Divide the sum from step 1 by 2. For example, if the sum of the previous step was 13, then 13 divided by 2 is 6.5.</t>
  </si>
  <si>
    <t>3. If the result of step 2 contains a fractional portion, round the result up to the nearest integer. For example, if the result of step 2 was 6.5, round up to 7. This is the number of periods you will use in the two simple moving averages.</t>
  </si>
  <si>
    <t>3-Period Simple MA of Close</t>
  </si>
  <si>
    <t>3-Period Simple MA of Column C</t>
  </si>
  <si>
    <t>((SM * VR) * Close) + ((1 – (SM * VR)) * Yesterday’s MA)</t>
  </si>
  <si>
    <t>Close times Volume Increment</t>
  </si>
  <si>
    <t>5-day Weighted Moving Average</t>
  </si>
  <si>
    <t>Highest High last n periods</t>
  </si>
  <si>
    <t>Lowest Low last n periods</t>
  </si>
  <si>
    <t>Highest High in n periods - Lowest Low in n periods</t>
  </si>
  <si>
    <t>The lower band is the moving average shifted down by the same number of standard deviations (i.e., “D”).</t>
  </si>
  <si>
    <t>Mr. Bollinger recommends using 20 for the number of periods in the moving average, calculating the moving average using the ”simple" method (as shown in the formula for the middle band), and using 2 standard deviations. He has also found that moving averages of less than 10 periods do not work very well.</t>
  </si>
  <si>
    <t>Absolute value of (Advancing Issues - Declining Issues)</t>
  </si>
  <si>
    <t>Column F</t>
  </si>
  <si>
    <t>Distance to move channels</t>
  </si>
  <si>
    <t>n period Standard Error</t>
  </si>
  <si>
    <t>n period Linear Regression Indicator (center line of error bands)</t>
  </si>
  <si>
    <t>14 days, 2 standard errors</t>
  </si>
  <si>
    <t>2 standard deviations</t>
  </si>
  <si>
    <t>The next columns are the calculations from the Relative Strength Index, using the time periods calculated in Column G.</t>
  </si>
  <si>
    <t>U/D</t>
  </si>
  <si>
    <t>1+ (U/D)</t>
  </si>
  <si>
    <t>100/(1+(U/D))</t>
  </si>
  <si>
    <t xml:space="preserve">Now we want 5 volume increments.  Counting back, using the ratios of the last 5 days gives us 4.223, almost the value we specified - </t>
  </si>
  <si>
    <t>we'll need a small piece of the value six days ago to reach 5.  We need .777 of the 1.4544 ratio six days ago, or 53.424%</t>
  </si>
  <si>
    <t>High Today - Close Yesterday</t>
  </si>
  <si>
    <t>Close Today - Open Today</t>
  </si>
  <si>
    <t>Close Today - Close Yesterday</t>
  </si>
  <si>
    <t>Close Yesterday - Open Yesterday</t>
  </si>
  <si>
    <t>Columns A through G are straightforward calculations</t>
  </si>
  <si>
    <t>Low Today - Close Yesterday</t>
  </si>
  <si>
    <t>High Today - Low Today</t>
  </si>
  <si>
    <t>PMC Sierra</t>
  </si>
  <si>
    <t>Close – (Simple Moving Average "((n / 2) + 1)" days in the FUTURE)</t>
  </si>
  <si>
    <t>5 days by 5 days</t>
  </si>
  <si>
    <t>the run (which is the number of periods covered minus 1)</t>
  </si>
  <si>
    <t>This page uses the built-in Excel function LINEST to calculate the Linear Regression Slope</t>
  </si>
  <si>
    <r>
      <t>b (aka Slope)</t>
    </r>
    <r>
      <rPr>
        <sz val="12"/>
        <rFont val="Times New Roman"/>
        <family val="1"/>
      </rPr>
      <t xml:space="preserve"> =</t>
    </r>
  </si>
  <si>
    <t>uses the built-in Excel function RSQ to calculate r-squared.</t>
  </si>
  <si>
    <t>(10% EMA of Advances-Declines) – (5% EMA of Advances-Declines)</t>
  </si>
  <si>
    <t>McClellan Oscillator</t>
  </si>
  <si>
    <t>Median Price</t>
  </si>
  <si>
    <t>Total Short Sales</t>
  </si>
  <si>
    <t>Total Public Short Sales</t>
  </si>
  <si>
    <t>Member Short Ratio</t>
  </si>
  <si>
    <t>Integrated Circuits</t>
  </si>
  <si>
    <t>Intel</t>
  </si>
  <si>
    <t>Typical Price</t>
  </si>
  <si>
    <t>8 time periods, 4 momentum periods</t>
  </si>
  <si>
    <t>Dell</t>
  </si>
  <si>
    <t>Relative Strength, Comparative</t>
  </si>
  <si>
    <t>Dell and Compaq</t>
  </si>
  <si>
    <t>(Security 1 / Security 2) + Normalization Value</t>
  </si>
  <si>
    <t>Highest High in "n + 1" periods</t>
  </si>
  <si>
    <t>Periods since highest high in Column D</t>
  </si>
  <si>
    <t>Lowest Low in "n + 1" periods</t>
  </si>
  <si>
    <t>Periods since lowest low in Column G</t>
  </si>
  <si>
    <t>n - Col E divided by "n"* 100 (Aroon Up)</t>
  </si>
  <si>
    <t>n - Col H divided by "n"* 100 (Aroon Down)</t>
  </si>
  <si>
    <t>Column D contains the highest high in the previous 6 days (i.e., since “n” is 5 in this example, “n + 1” is 6). For example, on 10/12/98 the highest high over the preceding 6 days (i.e., 10/05/98 through 10/12/98) was 30.969.</t>
  </si>
  <si>
    <r>
      <t xml:space="preserve">Column E is the number of time periods since the new high occurred. For example, on 10/12/98 this value is zero, because the highest high over the previous 6 days occurred </t>
    </r>
    <r>
      <rPr>
        <i/>
        <sz val="12"/>
        <rFont val="Times New Roman"/>
        <family val="1"/>
      </rPr>
      <t>on</t>
    </r>
    <r>
      <rPr>
        <sz val="12"/>
        <rFont val="Times New Roman"/>
        <family val="1"/>
      </rPr>
      <t xml:space="preserve"> 10/12/98. Note that on 10/13/98 the value in Column E is 1, because it had been 1 day since the highest high occurred. The value in Column E will never exceed the number of time periods used to calculate the indicator (i.e., “n”).</t>
    </r>
  </si>
  <si>
    <t>Columns G, H, and I are calculated in a manner similar to how Columns D, E, and F are calculated, except they deal with the lowest lows during the time period.</t>
  </si>
  <si>
    <t>Column K subtracts the lowest low (Column E) from the highest high (Column F) over the desired time period.</t>
  </si>
  <si>
    <t>Column E is the sum of odd-lot purchases (Column C) and odd-lot sales (Column D).</t>
  </si>
  <si>
    <t>Column G is the number of odd-lot short sales (Column B) divided by the value in Column F, multiplied by 100. This is the OLSR.</t>
  </si>
  <si>
    <t>Column F is the value in Column E divided by 2. This is the average number of odd-lot transactions.</t>
  </si>
  <si>
    <t>Col B / Col F times 100</t>
  </si>
  <si>
    <t>OBV is calculated by adding the period’s volume to a cumulative total when the security’s price closes up, and subtracting the volume when the security’s price closes down. The logic is as follows:</t>
  </si>
  <si>
    <t>OBV = Previous OBV + Volume</t>
  </si>
  <si>
    <t>OBV = Previous OBV</t>
  </si>
  <si>
    <t>If the close is greater than the previous close, then:</t>
  </si>
  <si>
    <t>If the close is less than the previous close, then:</t>
  </si>
  <si>
    <t>OBV = Previous OBV - Volume</t>
  </si>
  <si>
    <t>If the close is equal to the previous close, then:</t>
  </si>
  <si>
    <t>On the first day (01/04/93), the OBV (Column D) is zero because we don’t know if prices increased or decreased.</t>
  </si>
  <si>
    <t>On the second day (01/05/94), prices decreased, so we subtract the volume from the previous day’s OBV and get –16,178.</t>
  </si>
  <si>
    <t>On the fifth day (01/08/93), prices increased so the volume was added to the OBV.</t>
  </si>
  <si>
    <t>On the sixth day (01/11/93), prices were unchanged so the OBV remained unchanged.</t>
  </si>
  <si>
    <t>Column F is the sum of the preceding 10 days of advancing issues (Column B).</t>
  </si>
  <si>
    <t>Column G is the sum of the preceding 10 days of declining issues (Column C).</t>
  </si>
  <si>
    <t>Column G is the sum of the preceding 10 days of advancing volume (Column D).</t>
  </si>
  <si>
    <t>Column I is the sum of the preceding 10 days of declining volume (Column E).</t>
  </si>
  <si>
    <t>Column J is Column F divided by Column G.</t>
  </si>
  <si>
    <t>Column K is Column H divided by Column I.</t>
  </si>
  <si>
    <t>Column L is Column J divided by Column K. This is the Open-10 TRIN.</t>
  </si>
  <si>
    <t>Col F / Col G</t>
  </si>
  <si>
    <t>10-period sum of Advancing Issues</t>
  </si>
  <si>
    <t>10-period sum of Declining Issues</t>
  </si>
  <si>
    <t>10-period sum of Advancing Volume</t>
  </si>
  <si>
    <t>10-period sum of Declining Volume</t>
  </si>
  <si>
    <t>Column J divided by Column K</t>
  </si>
  <si>
    <t>4. Calculate the one-period (e.g., one-day) percent change of the moving average calculated in Step 3.</t>
  </si>
  <si>
    <t>Column C is a 5-period simple moving average of the close. It is calculated by adding the closing price for the preceding 5 days and dividing by 5. This is the middle band.</t>
  </si>
  <si>
    <r>
      <t xml:space="preserve">Column D calculates the standard deviation of the closing prices over the preceding 5 days. In this table it was calculated using the </t>
    </r>
    <r>
      <rPr>
        <i/>
        <sz val="12"/>
        <rFont val="Times New Roman"/>
        <family val="1"/>
      </rPr>
      <t>stdevp()</t>
    </r>
    <r>
      <rPr>
        <sz val="12"/>
        <rFont val="Times New Roman"/>
        <family val="1"/>
      </rPr>
      <t xml:space="preserve"> spreadsheet function. See page xx for more information on calculating the standard deviation.</t>
    </r>
  </si>
  <si>
    <t>Column E is the distance between the bands. Since we are calculating 2-deviation bands, this is the standard deviation (Column D) multiplied by 2.</t>
  </si>
  <si>
    <t>Column F is the middle band (Column C) plus the 2 deviations (Column E). This is the upper band.</t>
  </si>
  <si>
    <t>Column G is the middle band (Column C) minus the 2 deviations (Column E). This is the lower band.</t>
  </si>
  <si>
    <t>One Standard Deviation</t>
  </si>
  <si>
    <t>Column D multiplied by 2</t>
  </si>
  <si>
    <t>Column C plus Column E</t>
  </si>
  <si>
    <t>Column C minus Column E</t>
  </si>
  <si>
    <t>Column D is Column B plus Column C (i.e., the sum of the number of advancing issues and the number of declining issues).</t>
  </si>
  <si>
    <t>Column E is Column B (i.e., the number of advancing issues) divided by the sum of advancing issues and declining issues (Column D).</t>
  </si>
  <si>
    <t>Note that this 10-period moving average is not valid until the tenth day (05/08/97).</t>
  </si>
  <si>
    <t>Projection Bands and Projection Oscillator</t>
  </si>
  <si>
    <t>Close minus Lower Band</t>
  </si>
  <si>
    <t>Upper Band minus Lower Band</t>
  </si>
  <si>
    <t>Column F calculates an n-period slope of High prices using the Excel SLOPE function.</t>
  </si>
  <si>
    <t>Column G adds the high to the product of the slope and (n minus 1) for the last n periods, then takes the maximum of these values to get the Upper Band.</t>
  </si>
  <si>
    <t>Column H calculate an n-period slope of Low prices using the Excel SLOPE function.</t>
  </si>
  <si>
    <t>Column I adds the low to the product of the slope and (n minus 1) for the last n periods, then take the minimum of these values to get the Lower Band.</t>
  </si>
  <si>
    <t>Column J is the close (Column E) minus the lower Projection Band (Column I).</t>
  </si>
  <si>
    <t>Column L is Column J divided by Column K, multiplied by 100. This is the Projection Oscillator.</t>
  </si>
  <si>
    <t>5-day Upper Projection Band</t>
  </si>
  <si>
    <t>5-day Lower Projection Band</t>
  </si>
  <si>
    <t>Column G is the absolute value of Column D, but only if the close is less than the open (i.e., only when Column A is less than zero). If the close is greater than or equal to the open, Column G is set to zero. (The term “absolute value” means “regardless of sign.” For example, the absolute value of -3 is 3.)</t>
  </si>
  <si>
    <r>
      <t>Column H is the sum of the preceding 7 days of Column G. This is “IS</t>
    </r>
    <r>
      <rPr>
        <vertAlign val="subscript"/>
        <sz val="12"/>
        <rFont val="Times New Roman"/>
        <family val="1"/>
      </rPr>
      <t>D</t>
    </r>
    <r>
      <rPr>
        <sz val="12"/>
        <rFont val="Times New Roman"/>
        <family val="1"/>
      </rPr>
      <t>” in the above equation.</t>
    </r>
  </si>
  <si>
    <r>
      <t>Column I is the sum of Column F (i.e., IS</t>
    </r>
    <r>
      <rPr>
        <vertAlign val="subscript"/>
        <sz val="12"/>
        <rFont val="Times New Roman"/>
        <family val="1"/>
      </rPr>
      <t>U</t>
    </r>
    <r>
      <rPr>
        <sz val="12"/>
        <rFont val="Times New Roman"/>
        <family val="1"/>
      </rPr>
      <t>) plus Column G (i.e., IS</t>
    </r>
    <r>
      <rPr>
        <vertAlign val="subscript"/>
        <sz val="12"/>
        <rFont val="Times New Roman"/>
        <family val="1"/>
      </rPr>
      <t>D</t>
    </r>
    <r>
      <rPr>
        <sz val="12"/>
        <rFont val="Times New Roman"/>
        <family val="1"/>
      </rPr>
      <t>).</t>
    </r>
  </si>
  <si>
    <t>7 day sum of Column E</t>
  </si>
  <si>
    <r>
      <t>Column J is Column F (i.e., IS</t>
    </r>
    <r>
      <rPr>
        <vertAlign val="subscript"/>
        <sz val="12"/>
        <rFont val="Times New Roman"/>
        <family val="1"/>
      </rPr>
      <t>U</t>
    </r>
    <r>
      <rPr>
        <sz val="12"/>
        <rFont val="Times New Roman"/>
        <family val="1"/>
      </rPr>
      <t>) divided by Column I (i.e., IS</t>
    </r>
    <r>
      <rPr>
        <vertAlign val="subscript"/>
        <sz val="12"/>
        <rFont val="Times New Roman"/>
        <family val="1"/>
      </rPr>
      <t>U</t>
    </r>
    <r>
      <rPr>
        <sz val="12"/>
        <rFont val="Times New Roman"/>
        <family val="1"/>
      </rPr>
      <t xml:space="preserve"> plus IS</t>
    </r>
    <r>
      <rPr>
        <vertAlign val="subscript"/>
        <sz val="12"/>
        <rFont val="Times New Roman"/>
        <family val="1"/>
      </rPr>
      <t>D</t>
    </r>
    <r>
      <rPr>
        <sz val="12"/>
        <rFont val="Times New Roman"/>
        <family val="1"/>
      </rPr>
      <t>). This value is then multiplied by 100. This is the IMI</t>
    </r>
    <r>
      <rPr>
        <sz val="12"/>
        <rFont val="Times New Roman"/>
        <family val="1"/>
      </rPr>
      <t>.</t>
    </r>
  </si>
  <si>
    <t>V = Volume</t>
  </si>
  <si>
    <t>DM = Daily Measurement (This is the high minus the low.)</t>
  </si>
  <si>
    <t>CM = Cumulative Measurement (This is the sum of the Daily Measurements [DM] in the direction of the Trend.)</t>
  </si>
  <si>
    <t>T = The Trend (If today’s “high plus low plus close” is greater than yesterday’s, then the trend is +1, otherwise it is -1.)</t>
  </si>
  <si>
    <t>The Klinger Oscillator is a 34-day exponential moving average of volume force minus a 55-day exponential moving average of volume force.</t>
  </si>
  <si>
    <t>The formula for volume force is shown below. Note that the vertical lines in the formula mean absolute value (i.e., disregard the sign of the expression contained within the bars).</t>
  </si>
  <si>
    <t>Column F is calculated by comparing the high plus the low plus the close of the current day with the high plus the low plus the close of the preceding day. If today’s sum is greater, Column F is set to +1, otherwise it is set to –1. This is the Trend.</t>
  </si>
  <si>
    <t>Column G is the high minus the low. This is the Daily Measurement.</t>
  </si>
  <si>
    <r>
      <t xml:space="preserve">Column H is the sum of Column G (the Daily Measurements) that are in the direction of the current Trend (Column F). Note that this is the sum of all the Daily Measurements (Column G) including </t>
    </r>
    <r>
      <rPr>
        <i/>
        <sz val="12"/>
        <rFont val="Times New Roman"/>
        <family val="1"/>
      </rPr>
      <t>one record before</t>
    </r>
    <r>
      <rPr>
        <sz val="12"/>
        <rFont val="Times New Roman"/>
        <family val="1"/>
      </rPr>
      <t xml:space="preserve"> Column F changed. For example, when Column F changed from 1.0 to –1.0 on 11/11/99, Column H was the sum of Column G for both 11/10/99 and 11/11/99.</t>
    </r>
  </si>
  <si>
    <t>Column I is calculated per the preceding volume force equation.</t>
  </si>
  <si>
    <t>Column J is a 34-day exponential moving average of the volume force (Column I).</t>
  </si>
  <si>
    <t>Column K is a 55-day exponential moving average of the volume force (Column I).</t>
  </si>
  <si>
    <t>Column L is calculated by subtracting Column K from the Column J. This is the Klinger Oscillator.</t>
  </si>
  <si>
    <t>34-day EMA of Column I</t>
  </si>
  <si>
    <t>55-day EMA of Column I</t>
  </si>
  <si>
    <t>Col J minus Col K</t>
  </si>
  <si>
    <t>Total NYSE Volume</t>
  </si>
  <si>
    <t>Column D is the number of large blocks (Column B) divided by the total New York Stock Exchange volume (Column C).</t>
  </si>
  <si>
    <t>Close 12 periods ago</t>
  </si>
  <si>
    <t>Column N</t>
  </si>
  <si>
    <t>20-day Inertia</t>
  </si>
  <si>
    <t>5-day RVI</t>
  </si>
  <si>
    <t>Relative Volatility Index and Inertia</t>
  </si>
  <si>
    <t>Acceleration Factor (AF)</t>
  </si>
  <si>
    <t>Extreme Price (EP)</t>
  </si>
  <si>
    <t>See the Relative Volatility Index</t>
  </si>
  <si>
    <t>Calculate the True Range, defined as the largest of 1) today's high minus today's low, 2) today's high minus yesterday's close, and 3) yesterday's close minus today's low</t>
  </si>
  <si>
    <t>periods in moving averages (doesn't change)</t>
  </si>
  <si>
    <t>periods in Mass Index</t>
  </si>
  <si>
    <t>Position</t>
  </si>
  <si>
    <t>Data for the Bull/Bear Ratio courtesy of Investor's Intelligence of New Rochelle, New York</t>
  </si>
  <si>
    <t>4. Starting at the most recent time period and working backwards, multiply each period's price by the period's volume ratio and cumulatively sum these values until the user-specified number of volume increments is reached.  Note that only a fraction of the last period's volume will likely be used.</t>
  </si>
  <si>
    <t>Contribution for last day</t>
  </si>
  <si>
    <t>5-day Vol-Adjusted M.A.</t>
  </si>
  <si>
    <t>The total volume for the entire data series</t>
  </si>
  <si>
    <t>The average volume for the entire data series</t>
  </si>
  <si>
    <t>Multiply the close by that day's Volume Increment to get the volume-adjusted close for that day</t>
  </si>
  <si>
    <t>Divide the Volume by the Average Volume Increment to get that day's Volume Increment</t>
  </si>
  <si>
    <t>Column P</t>
  </si>
  <si>
    <t>Column Q</t>
  </si>
  <si>
    <t>Divide the sum of the volume-adjusted closes by 5 to get today's Volume-Adjusted moving average</t>
  </si>
  <si>
    <t>2-day by 5-day</t>
  </si>
  <si>
    <t>Column G and H</t>
  </si>
  <si>
    <t>Directional Movement for today - The largest part of today's range that is outside of yesterday's range - in column G if it's up, in column H if it's down</t>
  </si>
  <si>
    <t>Calculate a 14-day summation of the True Range values in column F by the formula Today's TR14 = Previous TR14 - (Previous TR14/14)+TR1</t>
  </si>
  <si>
    <t>Calculate a 14-day summation of the -DM values in column H by the formula Today's -DM14 = Previous -DM14 - (Previous -DM14/14)+ -DM14</t>
  </si>
  <si>
    <t>Calculate a 14-day summation of the +DM values in column G by the formula Today's +DM14 = Previous +DM14 - (Previous +DM14/14) + +DM1</t>
  </si>
  <si>
    <t>Calculate the absolute value of the +DI (column L) minus the -DI (column M)</t>
  </si>
  <si>
    <t>Sum the +DI (column L) and the -DI (column M)</t>
  </si>
  <si>
    <t>Calculate the Direction Movement Indesx (DX) by dividing the DI Diff (column N) by the DI Sum (column O)</t>
  </si>
  <si>
    <t>Calculate the Average Directional Movement (ADX) by smoothing the value in Column P with a Wilder's MA (see Wilder's MA page)</t>
  </si>
  <si>
    <t>Column R</t>
  </si>
  <si>
    <t>Calculate the Average Directional Movement Rating (ADXR) by adding today's ADX (column Q) to the ADX 13 periods ago and dividing by 2, and then round the result</t>
  </si>
  <si>
    <t>Column S</t>
  </si>
  <si>
    <t>Calculate the Commodity Selection Index (CSI) by the following formula:</t>
  </si>
  <si>
    <t>Number of Large Blocks</t>
  </si>
  <si>
    <t>Large Block Ratio</t>
  </si>
  <si>
    <t>Slope</t>
  </si>
  <si>
    <t>Linear Regression Indicator</t>
  </si>
  <si>
    <t>Yahoo</t>
  </si>
  <si>
    <t>End of line</t>
  </si>
  <si>
    <t>Litton</t>
  </si>
  <si>
    <t>Puts|Calls Ratio</t>
  </si>
  <si>
    <t>QStick</t>
  </si>
  <si>
    <t>Relative Voltlty Idx &amp; Inertia</t>
  </si>
  <si>
    <t>Upside|Downside Ratio</t>
  </si>
  <si>
    <t>Williams Acc-Dist</t>
  </si>
  <si>
    <t>Williams' %R</t>
  </si>
  <si>
    <t>AF begins at .02 and is increased by .02 when new high for long trade, or new low for short trade, is made, to a maximum of .2</t>
  </si>
  <si>
    <t>Ultimate Oscillator</t>
  </si>
  <si>
    <t>True High</t>
  </si>
  <si>
    <t>True Low</t>
  </si>
  <si>
    <t>Range (Total Activity)</t>
  </si>
  <si>
    <t>A to Z Companion Spreadsheet.xls</t>
  </si>
  <si>
    <t>Column D is the difference between the number of advancing issues and the number of declining issues (i.e., Column B minus Column C).</t>
  </si>
  <si>
    <t>The Median Price indicator is calculated by adding the high and low price together, and dividing by 2.</t>
  </si>
  <si>
    <t>Column D divided by 2</t>
  </si>
  <si>
    <t>Column D is the high price plus the low price.</t>
  </si>
  <si>
    <t>Column E is the value in Column D divided by 2.</t>
  </si>
  <si>
    <t>Column D is Total Short Sales (Column B) minus Total Public Short Sales (Column C). This is the Member Short Sales.</t>
  </si>
  <si>
    <t>Column E is the value in Column D divided by the Total Short Sales (Column B). This is then multiplied by 100. This is the Member Short Ratio.</t>
  </si>
  <si>
    <r>
      <t xml:space="preserve">The Momentum indicator is the ratio of today’s price compared to the price </t>
    </r>
    <r>
      <rPr>
        <i/>
        <sz val="12"/>
        <rFont val="Times New Roman"/>
        <family val="1"/>
      </rPr>
      <t>n</t>
    </r>
    <r>
      <rPr>
        <sz val="12"/>
        <rFont val="Times New Roman"/>
        <family val="1"/>
      </rPr>
      <t xml:space="preserve"> periods ago.</t>
    </r>
  </si>
  <si>
    <t>Column C is the closing price 12 days ago.</t>
  </si>
  <si>
    <t>Column G is the advancing volume (Column D) divided by the declining volume (Column E).</t>
  </si>
  <si>
    <t>Column H is the value in Column F divided by the value in Column G. This is the Arms Index.</t>
  </si>
  <si>
    <t>Column B divided by Column C</t>
  </si>
  <si>
    <t>Column D divided by Column E</t>
  </si>
  <si>
    <t>Column F divided by Column G</t>
  </si>
  <si>
    <t>K (CSI constant)</t>
  </si>
  <si>
    <t>Calculate the 14-day Average True Range</t>
  </si>
  <si>
    <t>Column T</t>
  </si>
  <si>
    <t>Calculate constant K for use in CSI calc.</t>
  </si>
  <si>
    <t>Column U</t>
  </si>
  <si>
    <t>Periods</t>
  </si>
  <si>
    <t>Upward price change</t>
  </si>
  <si>
    <t>Downward price change</t>
  </si>
  <si>
    <t>Union Carbide</t>
  </si>
  <si>
    <t>One standard deviation</t>
  </si>
  <si>
    <t>Start of Line</t>
  </si>
  <si>
    <t>End of Line</t>
  </si>
  <si>
    <t>AOL</t>
  </si>
  <si>
    <t>14-day Standard Error</t>
  </si>
  <si>
    <t>Delta Airlines</t>
  </si>
  <si>
    <t>STIX</t>
  </si>
  <si>
    <t>Stochastic Momentum Index</t>
  </si>
  <si>
    <t>Midpoint</t>
  </si>
  <si>
    <t>Distance to midpoint</t>
  </si>
  <si>
    <t>Smoothed once</t>
  </si>
  <si>
    <t>Smoothed twice (numerator)</t>
  </si>
  <si>
    <t xml:space="preserve">Smooth 1 </t>
  </si>
  <si>
    <t>Smooth 2</t>
  </si>
  <si>
    <t>(Smooth Highest - Lowest)/ 2 (denominator)</t>
  </si>
  <si>
    <t>SMI</t>
  </si>
  <si>
    <t>Total Buy/Sell Orders</t>
  </si>
  <si>
    <t>Total Short Ratio</t>
  </si>
  <si>
    <t>Imclone</t>
  </si>
  <si>
    <t>Upside/Downside Ratio</t>
  </si>
  <si>
    <t>Upside - Downside Volume</t>
  </si>
  <si>
    <t>Texas Instruments</t>
  </si>
  <si>
    <t>Paychex</t>
  </si>
  <si>
    <t>Commodity Channel Index</t>
  </si>
  <si>
    <t>Linear Regression Trendline</t>
  </si>
  <si>
    <t>The Accumulation/Distribution Line is calculated by adding or subtracting a portion of each day’s volume from a cumulative total. The amount of volume to add or subtract is based on the relationship between the close and the high-low range. The closer the close is to the high, the more volume is added to the cumulative total. Conversely, the closer the close is to the low, the more volume is subtracted from the cumulative total. If the close is exactly midway between the high and low prices, nothing is added to the cumulative total.</t>
  </si>
  <si>
    <t>The Advance/Decline Line is calculated by subtracting the number of stocks that declined in price from the number of stocks that advanced, and then adding this value to a cumulative total.</t>
  </si>
  <si>
    <t>Version 1.0</t>
  </si>
  <si>
    <t>Relative Momentum Index</t>
  </si>
  <si>
    <t>Column O</t>
  </si>
  <si>
    <t>Dynamic Momentum Index</t>
  </si>
  <si>
    <t>5-day standard deviation of closing prices</t>
  </si>
  <si>
    <t>10-day MA of standard deviation</t>
  </si>
  <si>
    <t>Days in calc</t>
  </si>
  <si>
    <t>Volatility Index</t>
  </si>
  <si>
    <t>Stay in our limits of 3 and 30</t>
  </si>
  <si>
    <t>U (hand-modified)</t>
  </si>
  <si>
    <t>D (hand-modified)</t>
  </si>
  <si>
    <t>9-day CMO</t>
  </si>
  <si>
    <t>=</t>
  </si>
  <si>
    <t>2/(5+1)</t>
  </si>
  <si>
    <t>VR = Volatility Ratio</t>
  </si>
  <si>
    <t>10-period moving average of (Advancing Issues – Declining Issues)</t>
  </si>
  <si>
    <t>Overbought/Oversold</t>
  </si>
  <si>
    <t>Southwest Airlines</t>
  </si>
  <si>
    <t>5 weeks</t>
  </si>
  <si>
    <t>American Home Products (weekly data)</t>
  </si>
  <si>
    <t>Envelopes</t>
  </si>
  <si>
    <t>Bollinger Bands</t>
  </si>
  <si>
    <t>Exxon</t>
  </si>
  <si>
    <t>Deviations:</t>
  </si>
  <si>
    <t>3 minutes</t>
  </si>
  <si>
    <t>q=5</t>
  </si>
  <si>
    <t>m=3</t>
  </si>
  <si>
    <t>5-day slope of high</t>
  </si>
  <si>
    <t>5-day slope of low</t>
  </si>
  <si>
    <t>3 days</t>
  </si>
  <si>
    <t>Moving Average - Simple</t>
  </si>
  <si>
    <t>Moving Average - Exponential</t>
  </si>
  <si>
    <t>Moving Average - Weighted</t>
  </si>
  <si>
    <t>Moving Average - Triangular</t>
  </si>
  <si>
    <t>Moving Average - Volume Adjusted</t>
  </si>
  <si>
    <t>6 days</t>
  </si>
  <si>
    <t>Since the number of time periods used in the calculation continually changes, this spreadsheet only shows the DMI calculation for the first day.</t>
  </si>
  <si>
    <t>Column I</t>
  </si>
  <si>
    <t>Column J</t>
  </si>
  <si>
    <t>Column K</t>
  </si>
  <si>
    <t>Column L</t>
  </si>
  <si>
    <t>Close (also known as "y")</t>
  </si>
  <si>
    <t>Period (also known as "x")</t>
  </si>
  <si>
    <t>b Numerator</t>
  </si>
  <si>
    <t>b Denominator</t>
  </si>
  <si>
    <t>b (aka Slope)</t>
  </si>
  <si>
    <t>Direction of Trend</t>
  </si>
  <si>
    <r>
      <t xml:space="preserve">Column E is the normalized indicator. It is calculated by subtracting the </t>
    </r>
    <r>
      <rPr>
        <i/>
        <sz val="12"/>
        <rFont val="Times New Roman"/>
        <family val="1"/>
      </rPr>
      <t>first</t>
    </r>
    <r>
      <rPr>
        <sz val="12"/>
        <rFont val="Times New Roman"/>
        <family val="1"/>
      </rPr>
      <t xml:space="preserve"> value in Column D (i.e., 0.3602) from all values in Column D.</t>
    </r>
  </si>
  <si>
    <t>Column D minus 1st Value in Column D</t>
  </si>
  <si>
    <t>The basic formula of the RSI is as follows:</t>
  </si>
  <si>
    <r>
      <t>D</t>
    </r>
    <r>
      <rPr>
        <sz val="12"/>
        <rFont val="Times New Roman"/>
        <family val="1"/>
      </rPr>
      <t xml:space="preserve"> = An average of downward price change</t>
    </r>
  </si>
  <si>
    <t>Column C is the upward price change. If the price increased from the previous day, the increase is stored in Column C. If prices fell or were unchanged, Column C is set to zero.</t>
  </si>
  <si>
    <t>Column E is the downward price change. If the price in column B decreased from the previous day, the decrease (without the minus sign) is stored in Column E. If prices rose or were unchanged, Column E is set to zero.</t>
  </si>
  <si>
    <t>Column F is Column E smoothed using a 5-day Wilder’s Smoothing, as explained for Column D.</t>
  </si>
  <si>
    <t>Column G is Column D divided by Column F.</t>
  </si>
  <si>
    <t>Column H is column G plus 1.0.</t>
  </si>
  <si>
    <t>Column I is 100 divided by Column H.</t>
  </si>
  <si>
    <t>Column J is 100 minus Column I. This is the Relative Strength Index.</t>
  </si>
  <si>
    <t>Column D is column C smoothed using a 5-day Wilder’s Smoothing. Basically, the first value (on 07/09/97) is the average price over the last 5 days (i.e., 07/02/97 through 07/09/97). Subsequent days add 1/5 (because this is a 5-day smoothing) of the change in Column C to the previous value in Column D.</t>
  </si>
  <si>
    <t>Upward Price Change</t>
  </si>
  <si>
    <t>Downward Price Change</t>
  </si>
  <si>
    <t>Smoothed Column E</t>
  </si>
  <si>
    <t>Column D divided by Column F</t>
  </si>
  <si>
    <t>Column G plus 1.0</t>
  </si>
  <si>
    <t>100 divided by Column G</t>
  </si>
  <si>
    <t>100 minus Column I</t>
  </si>
  <si>
    <t>The calculation of the RVI is similar to that for the RSI, except that where the RSI uses the average of up or down price changes, the RVI uses a 10-day standard deviation of high or low prices.</t>
  </si>
  <si>
    <t>The formula for Standard Deviation is as follows:</t>
  </si>
  <si>
    <r>
      <t xml:space="preserve">n </t>
    </r>
    <r>
      <rPr>
        <sz val="12"/>
        <rFont val="Times New Roman"/>
        <family val="1"/>
      </rPr>
      <t>= Number of time periods</t>
    </r>
  </si>
  <si>
    <t>Standard Deviation is derived by calculating an n-period simple moving average of the data item (i.e., the closing price or an indicator), summing the squares of the difference between the data item and its moving average over each of the preceding n time periods, dividing this sum by n, and then calculating the square root of this result.</t>
  </si>
  <si>
    <r>
      <t xml:space="preserve">SMA </t>
    </r>
    <r>
      <rPr>
        <sz val="12"/>
        <rFont val="Times New Roman"/>
        <family val="1"/>
      </rPr>
      <t>= Simple Moving Average</t>
    </r>
  </si>
  <si>
    <t>Column C is a 5-day simple moving average of closing prices. It is calculated by adding the preceding 5 days of closing prices and dividing by 5.</t>
  </si>
  <si>
    <t>Column H is the maximum of Columns E, F, and G. This is the True Range. The remaining columns smooth the value of Column H.</t>
  </si>
  <si>
    <r>
      <t xml:space="preserve">Column I subtracts the </t>
    </r>
    <r>
      <rPr>
        <i/>
        <sz val="12"/>
        <rFont val="Times New Roman"/>
        <family val="1"/>
      </rPr>
      <t>previous</t>
    </r>
    <r>
      <rPr>
        <sz val="12"/>
        <rFont val="Times New Roman"/>
        <family val="1"/>
      </rPr>
      <t xml:space="preserve"> period’s ATR (the previous Column K) from the current True Range (Column H). Note that Column K is initially seeded (on day 4) with the average of the preceding 4 values in Column H.</t>
    </r>
  </si>
  <si>
    <t>Column J multiplies the value in Column I by “1/n”. For example, when calculating a 4-period ATR, as in this example, you multiply the value in Column E by 1/4 (i.e., 0.25).</t>
  </si>
  <si>
    <r>
      <t xml:space="preserve">Column K adds the </t>
    </r>
    <r>
      <rPr>
        <i/>
        <sz val="12"/>
        <rFont val="Times New Roman"/>
        <family val="1"/>
      </rPr>
      <t>previous</t>
    </r>
    <r>
      <rPr>
        <sz val="12"/>
        <rFont val="Times New Roman"/>
        <family val="1"/>
      </rPr>
      <t xml:space="preserve"> period’s ATR (i.e., the previous Column K) to the value in Column J. This is the ATR.</t>
    </r>
  </si>
  <si>
    <t>High minus Low</t>
  </si>
  <si>
    <t>High minus Previous Close</t>
  </si>
  <si>
    <t>Previous Close minus Low</t>
  </si>
  <si>
    <t>Column E multiplies the Scaling Multiplier (SM), volatility ratio (VR) and close</t>
  </si>
  <si>
    <t>Cell C9 times Col B times Col D</t>
  </si>
  <si>
    <t>Absolute value of Col C / 100</t>
  </si>
  <si>
    <t>1 minus C9 times Col D times previous Col G</t>
  </si>
  <si>
    <t>Col E plus Col F</t>
  </si>
  <si>
    <t>Column F subtracts the product of the Scaling Multiplier (SM) and volatility ratio (VR), and then multiplies the result by the previous Col G</t>
  </si>
  <si>
    <t>Column G adds Column E plus Column F.  This is the Variable Moving Average.</t>
  </si>
  <si>
    <t>The calculation of the New High/New Low Ratio is:</t>
  </si>
  <si>
    <t>Odd Lot Purchases</t>
  </si>
  <si>
    <t>Because odd lots do not necessarily have a buyer and a seller for every transaction, the average number of transactions is calculated by adding the number of odd-lot buy orders to the number of odd-lot sell orders and then dividing by 2.</t>
  </si>
  <si>
    <t>The Open-10 TRIN is calculated by keeping a 10-day total of each of the TRIN’s components before performing the TRIN calculation:</t>
  </si>
  <si>
    <t>The Overbought/Oversold indicator is a 10-period exponential moving average of the difference between the number of advancing and declining issues:</t>
  </si>
  <si>
    <t>An oddity in the calculation is that the SAR can’t start until a new position (i.e., long or short) occurs, yet we don’t know what position we are in at the start of the data. In this example, I assume we are in a long trade since prices are moving up.</t>
  </si>
  <si>
    <t>Column G (below) states the conditions that cause the position to change from long to short (and vice versa). Whenever Column G changes, Column D is reset to the Acceleration Factor Increase (i.e., 0.02 in this example). This first occurred on 10/13/99.</t>
  </si>
  <si>
    <t>Column G is the current position. It changes from a short to a long when the high (Column B) is greater than the SAR (Column F). It changes from a long to a short when the low (Column C) falls below the SAR (Column F).</t>
  </si>
  <si>
    <t>In the days following a change in position, Column F is modified as follows: (1) subtract the previous Column F from the previous Column E, (2) multiply this value by the previous Column D, (3) add this to the previous Column F.</t>
  </si>
  <si>
    <t>When the position changes (as defined by Column G), Column F is set to a new value based on the new position. If the new position is long, Column F is set to the lowest low during the previous position. If the new position is short, Column F is set to the highest high during the previous position.</t>
  </si>
  <si>
    <t>Column E is the Extreme Price. When in a long position (as defined by Column G), the Extreme Price is the highest price reached while in the current position. When in a short position, the Extreme Price is the lowest price reached while in the current position.</t>
  </si>
  <si>
    <t>The value in Column D may not exceed the Acceleration Factor Maximum (i.e., 0.2).</t>
  </si>
  <si>
    <t>The value in Column D increases by the Acceleration Factor Increase (e.g., 0.02) when we are in a long position (as defined by Column G) and a new high price is reached or when we are in a short position (as defined by Column G) and a new low is reached. If neither of the preceding two conditions are met (and Column G hasn’t changed), Column D remains unchanged.</t>
  </si>
  <si>
    <t>Column D is the Acceleration Factor.</t>
  </si>
  <si>
    <t>See the text below for a complete description of the calculation</t>
  </si>
  <si>
    <t>The Performance indicator is calculated by dividing the change in prices by the first price displayed:</t>
  </si>
  <si>
    <t>The Price Oscillator displays the difference between two moving averages as either points or as percentages.</t>
  </si>
  <si>
    <t>Shorter Moving Average – Longer Moving Average</t>
  </si>
  <si>
    <t>When the difference is displayed in points, the Price Oscillator is calculated simply by subtracting a longer-term moving average from a shorter-term average:</t>
  </si>
  <si>
    <t>When the Price Oscillator displays the difference between the moving averages in percentages, it divides the difference by the longer-term moving average:</t>
  </si>
  <si>
    <r>
      <t xml:space="preserve">Column G is calculated by subtracting </t>
    </r>
    <r>
      <rPr>
        <b/>
        <sz val="18"/>
        <rFont val="Arial"/>
        <family val="2"/>
      </rPr>
      <t> </t>
    </r>
    <r>
      <rPr>
        <sz val="12"/>
        <rFont val="Times New Roman"/>
        <family val="1"/>
      </rPr>
      <t>Column F from the previous day’s Column F.</t>
    </r>
  </si>
  <si>
    <t>Column H is the value of the high minus the low.</t>
  </si>
  <si>
    <t>Column I is calculated by first dividing the volume by 10,000. Next, divide this result by Column H. This is the Box Ratio.</t>
  </si>
  <si>
    <t>Column J is Column G divided by Column I. This is the Ease of Movement.</t>
  </si>
  <si>
    <t>High plus Low</t>
  </si>
  <si>
    <t>Column E divided by 2</t>
  </si>
  <si>
    <t>Column F minus Previous Column F</t>
  </si>
  <si>
    <t>Col D / 10,000 divided by Column H</t>
  </si>
  <si>
    <t>Column G divided by Column I</t>
  </si>
  <si>
    <t>5-week simple moving average</t>
  </si>
  <si>
    <t>Envelopes are calculated by plotting two moving averages that have been shifted up and down. For example, the upper band might be shifted up 3 percent and the lower band shifted down 3 percent.</t>
  </si>
  <si>
    <t>Column C multiplied by 1.03</t>
  </si>
  <si>
    <t>Column C multiplied by 0.97</t>
  </si>
  <si>
    <t>Column C is a 5-period simple moving average of the close. It is calculated by adding the closing price for the preceding 5 weeks and dividing by 5.</t>
  </si>
  <si>
    <t>Column D is the value of Column C multiplied by 1.03 (i.e., 100 percent + 3-percent shift). This is the upper band.</t>
  </si>
  <si>
    <t>Column E is the value of Column C multiplied by 0.97 (i.e., 100 percent - 3-percent shift). This is the lower band.</t>
  </si>
  <si>
    <t>Close minus Previous Col C</t>
  </si>
  <si>
    <t>Col D / Col B multiplied by 100</t>
  </si>
  <si>
    <t>Column D is the closing price (Column B) minus the previous period’s Time Series Forecast (Column C).</t>
  </si>
  <si>
    <t>Column E is Column D divided by the close (Column B), multiplied by 100. This is the Forecast Oscillator.</t>
  </si>
  <si>
    <t>Column C is the Time Series Forecast indicator.</t>
  </si>
  <si>
    <r>
      <t>IS</t>
    </r>
    <r>
      <rPr>
        <i/>
        <vertAlign val="subscript"/>
        <sz val="12"/>
        <rFont val="Times New Roman"/>
        <family val="1"/>
      </rPr>
      <t>U</t>
    </r>
    <r>
      <rPr>
        <sz val="12"/>
        <rFont val="Times New Roman"/>
        <family val="1"/>
      </rPr>
      <t xml:space="preserve"> is a summation of the difference between the close and the open on days when the close was greater than the open,</t>
    </r>
  </si>
  <si>
    <r>
      <t>IS</t>
    </r>
    <r>
      <rPr>
        <i/>
        <vertAlign val="subscript"/>
        <sz val="12"/>
        <rFont val="Times New Roman"/>
        <family val="1"/>
      </rPr>
      <t>D</t>
    </r>
    <r>
      <rPr>
        <sz val="12"/>
        <rFont val="Times New Roman"/>
        <family val="1"/>
      </rPr>
      <t xml:space="preserve"> is a summation of the difference between the open and the close on days when the close was less than the open.</t>
    </r>
  </si>
  <si>
    <t>Close minus Open</t>
  </si>
  <si>
    <t>if Close &gt; Open Column D Otherwise zero</t>
  </si>
  <si>
    <t>if Close &lt; Open Absolute value of Column D</t>
  </si>
  <si>
    <t>7 day sum of Column G</t>
  </si>
  <si>
    <t>Column F plus Column H</t>
  </si>
  <si>
    <t>Col F / Col I multiplied by 100</t>
  </si>
  <si>
    <t>Column D is the close (Column C) minus the open (Column B).</t>
  </si>
  <si>
    <t>Column E is the value of Column D, but only if the close is greater than the open (i.e., only when Column D is greater than zero). If the close is less than or equal to the open, Column E is set to zero.</t>
  </si>
  <si>
    <r>
      <t>Column F is the sum of the preceding 7 days of Column E (because we are calculating a 7-day IMI). This is “IS</t>
    </r>
    <r>
      <rPr>
        <vertAlign val="subscript"/>
        <sz val="12"/>
        <rFont val="Times New Roman"/>
        <family val="1"/>
      </rPr>
      <t>U</t>
    </r>
    <r>
      <rPr>
        <sz val="12"/>
        <rFont val="Times New Roman"/>
        <family val="1"/>
      </rPr>
      <t>” in the above equation.</t>
    </r>
  </si>
  <si>
    <r>
      <t xml:space="preserve">Column E calculates the center line of the channel, which is a Linear Regression Line, using the </t>
    </r>
    <r>
      <rPr>
        <i/>
        <sz val="10"/>
        <rFont val="Arial"/>
        <family val="2"/>
      </rPr>
      <t>trend()</t>
    </r>
    <r>
      <rPr>
        <sz val="10"/>
        <rFont val="Arial"/>
      </rPr>
      <t xml:space="preserve"> function.</t>
    </r>
  </si>
  <si>
    <t>Column F multiplies the value of one standard deviation (cell D5) by the desired number of standard deviations (in our case, 2).</t>
  </si>
  <si>
    <t>Column G adds the distance to move channels (column F) to the regression line (column E) to get the Upper Channel.</t>
  </si>
  <si>
    <t>Column H subtracts the distance to move channels (column F) from the regression line (column E) to get the Lower Channel.</t>
  </si>
  <si>
    <r>
      <t xml:space="preserve">This page uses the function </t>
    </r>
    <r>
      <rPr>
        <i/>
        <sz val="10"/>
        <rFont val="Arial"/>
        <family val="2"/>
      </rPr>
      <t>steyx() to</t>
    </r>
    <r>
      <rPr>
        <sz val="10"/>
        <rFont val="Arial"/>
      </rPr>
      <t xml:space="preserve"> calculate the Standard Error.</t>
    </r>
  </si>
  <si>
    <r>
      <t xml:space="preserve">Column D calculates the n-period Standard Error using the </t>
    </r>
    <r>
      <rPr>
        <i/>
        <sz val="10"/>
        <rFont val="Arial"/>
        <family val="2"/>
      </rPr>
      <t>steyx()</t>
    </r>
    <r>
      <rPr>
        <sz val="10"/>
        <rFont val="Arial"/>
        <family val="2"/>
      </rPr>
      <t xml:space="preserve"> function.</t>
    </r>
  </si>
  <si>
    <r>
      <t xml:space="preserve">Column E calculates the center line of the error bands by calculating a Linear Regression Indicator using the </t>
    </r>
    <r>
      <rPr>
        <i/>
        <sz val="10"/>
        <rFont val="Arial"/>
        <family val="2"/>
      </rPr>
      <t>forecast()</t>
    </r>
    <r>
      <rPr>
        <sz val="10"/>
        <rFont val="Arial"/>
      </rPr>
      <t xml:space="preserve"> function.</t>
    </r>
  </si>
  <si>
    <t>Column F calculates the distance to move the bands by multiplying the Standard Error (column D) by the desired number of Errors (2 in our case).</t>
  </si>
  <si>
    <t>Column G adds the distance to move bands (column E) to the Linear Regression Indicator (column E) to get the Upper Band.</t>
  </si>
  <si>
    <t>Column H subtracts the Distance to move bands (column E) from the Linear Regression Indicator (column E) to get the Lower Band.</t>
  </si>
  <si>
    <t>2 * Col D</t>
  </si>
  <si>
    <t>Col E minus Col F</t>
  </si>
  <si>
    <t>One standard error * 2</t>
  </si>
  <si>
    <r>
      <t xml:space="preserve">Cell D5 - Before calculating the line values, you must calculate the value of one standard error with the </t>
    </r>
    <r>
      <rPr>
        <i/>
        <sz val="10"/>
        <rFont val="Arial"/>
        <family val="2"/>
      </rPr>
      <t>steyx()</t>
    </r>
    <r>
      <rPr>
        <sz val="10"/>
        <rFont val="Arial"/>
      </rPr>
      <t xml:space="preserve"> function over the data covered by the line.</t>
    </r>
  </si>
  <si>
    <r>
      <t xml:space="preserve">Column E calculates the value of a linear regression trendline using the </t>
    </r>
    <r>
      <rPr>
        <i/>
        <sz val="10"/>
        <rFont val="Arial"/>
        <family val="2"/>
      </rPr>
      <t>trend()</t>
    </r>
    <r>
      <rPr>
        <sz val="10"/>
        <rFont val="Arial"/>
        <family val="2"/>
      </rPr>
      <t xml:space="preserve"> function.</t>
    </r>
  </si>
  <si>
    <t>Column F multiplies the value of one standard error (cell D5) by 2.</t>
  </si>
  <si>
    <t>Column G adds Column E to Column F to get the Upper Channel.</t>
  </si>
  <si>
    <t>Column H subtracts Column E from Column F to get the Lower Channel.</t>
  </si>
  <si>
    <r>
      <t xml:space="preserve">Column G shows how to use the </t>
    </r>
    <r>
      <rPr>
        <i/>
        <sz val="10"/>
        <rFont val="Arial"/>
        <family val="2"/>
      </rPr>
      <t>forecast()</t>
    </r>
    <r>
      <rPr>
        <sz val="10"/>
        <rFont val="Arial"/>
      </rPr>
      <t xml:space="preserve"> function to calculat the Time Series Forecast.</t>
    </r>
  </si>
  <si>
    <t>Column F smooths the up High (column D) with a moving average to get the U High.</t>
  </si>
  <si>
    <t>Sum of squares of Col B - Col C last 5 periods (see text)</t>
  </si>
  <si>
    <t>The middle band is a simple moving average. In the following formula, “n” is the number of time periods in the moving average (e.g., 5 days).</t>
  </si>
  <si>
    <t>Lower Channel</t>
  </si>
  <si>
    <t>Projection Bands</t>
  </si>
  <si>
    <t>Projection Oscillator</t>
  </si>
  <si>
    <t>Public Short Ratio</t>
  </si>
  <si>
    <t>Put Volume</t>
  </si>
  <si>
    <t>Call Volume</t>
  </si>
  <si>
    <t>Qstick</t>
  </si>
  <si>
    <t>Neiman Marcus</t>
  </si>
  <si>
    <t>r-squared</t>
  </si>
  <si>
    <t>Reg Line</t>
  </si>
  <si>
    <t>Max distance from Reg Line</t>
  </si>
  <si>
    <t>Corn (X - the independent variable)</t>
  </si>
  <si>
    <t>Hogs (Y - the dependent variable)</t>
  </si>
  <si>
    <t>X * Y</t>
  </si>
  <si>
    <t>X squared</t>
  </si>
  <si>
    <t>Y squared</t>
  </si>
  <si>
    <t>Sum of X</t>
  </si>
  <si>
    <t>Sum of Y</t>
  </si>
  <si>
    <t>Sum of (X*Y)</t>
  </si>
  <si>
    <t>Sum of (X squared)</t>
  </si>
  <si>
    <t>Sum of (Y squared)</t>
  </si>
  <si>
    <t>Excel CORREL function</t>
  </si>
  <si>
    <t>Weighted Close</t>
  </si>
  <si>
    <t>Manugistics</t>
  </si>
  <si>
    <t>TRH</t>
  </si>
  <si>
    <t>TRL</t>
  </si>
  <si>
    <t>Today's A/D</t>
  </si>
  <si>
    <t>Wal-Mart</t>
  </si>
  <si>
    <t>Airborne Freight</t>
  </si>
  <si>
    <t>Parameters</t>
  </si>
  <si>
    <t>Arms Index</t>
  </si>
  <si>
    <t>21 days</t>
  </si>
  <si>
    <t>Average True Range</t>
  </si>
  <si>
    <t>Advancing Issues - Declining Issues</t>
  </si>
  <si>
    <t>14 days</t>
  </si>
  <si>
    <t>The True Range indicator is the greatest of the following:</t>
  </si>
  <si>
    <t>The Average True Range is a moving average (typically 14 days) of the True Ranges.</t>
  </si>
  <si>
    <t>·        The distance from yesterday's close to today's high.</t>
  </si>
  <si>
    <t>·        The distance from today's high to today's low.</t>
  </si>
  <si>
    <r>
      <t>K</t>
    </r>
    <r>
      <rPr>
        <sz val="12"/>
        <rFont val="Times New Roman"/>
        <family val="1"/>
      </rPr>
      <t xml:space="preserve"> = The largest of: Hy - C and Ly - C</t>
    </r>
  </si>
  <si>
    <r>
      <t>R</t>
    </r>
    <r>
      <rPr>
        <sz val="12"/>
        <rFont val="Times New Roman"/>
        <family val="1"/>
      </rPr>
      <t xml:space="preserve"> = A complex calculation based on the relationship between the current closing price and the previous period’s high and low prices (see the description below)</t>
    </r>
  </si>
  <si>
    <t>The Time Series Forecast is calculated by adding the Linear Regression Slope to the Linear Regression Indicator. Since each point on the Linear Regression Indicator is the ending point of a Linear Regression Trendline, adding the Slope to the Indicator gives you the forecast value of the line on the following day (i.e., the Time Series Forecast).</t>
  </si>
  <si>
    <t>Excel FORECAST()</t>
  </si>
  <si>
    <t>This page uses the built-in Excel functions to calculate the regression values.  To see detailed calculations of each value, go to the appropriate page.</t>
  </si>
  <si>
    <t>Column D plus Column E</t>
  </si>
  <si>
    <t>Column D is the linear regression indicator</t>
  </si>
  <si>
    <t>Column E is the linear regression slope</t>
  </si>
  <si>
    <t>Column F adds the linear regression indicator (Column D) to the slope (Column E).  This is the Time Series Forecast.</t>
  </si>
  <si>
    <t>The TSR is calculated by dividing the total number of short sales by the total number of buy and sell orders and multiplying this result by 100.</t>
  </si>
  <si>
    <t>The TRIX is the 1-period percent rate-of-change of a triple exponentially smoothed moving average.</t>
  </si>
  <si>
    <t>Column E is a 3-minute exponential moving average of Column D.</t>
  </si>
  <si>
    <t>Column F is a 3-minute exponential moving average of Column E.</t>
  </si>
  <si>
    <t>To calculate Column G, first subtract the previous value in Column F from the current value in Column F. Next, divide this value by the current value in Column F. Finally, multiply this result by 100. This is the TRIX. Note that a 3-period TRIX isn’t value until the seventh period.</t>
  </si>
  <si>
    <t>Column D is a 3-minute exponential moving average of the close.</t>
  </si>
  <si>
    <t>3-period EMA of Close</t>
  </si>
  <si>
    <t>3-period EMA of Col D</t>
  </si>
  <si>
    <t>3-period EMA of Col E</t>
  </si>
  <si>
    <t>1-period % change in Col F</t>
  </si>
  <si>
    <t>The Typical Price indicator is calculated by adding the high, low, and closing prices together and then dividing by 3. The result is the average (or typical) price.</t>
  </si>
  <si>
    <t>Column B plus Column C plus Column D</t>
  </si>
  <si>
    <t>Column E divided by 3.0</t>
  </si>
  <si>
    <t>Column F divides the sum of the High, Low, and Close prices (column E) by 3.  This is the Typical Price.</t>
  </si>
  <si>
    <t>Column E adds the High, Low, and Close prices.</t>
  </si>
  <si>
    <t>NYSE Advancing Volume – NYSE Declining Volume</t>
  </si>
  <si>
    <t>The Upside/Downside Volume indicator is calculated by subtracting the daily volume of declining stocks from the daily volume of advancing stocks.</t>
  </si>
  <si>
    <t>To calculate the VHF indicator, first determine the highest closing price (HCP) and the lowest closing price (LCP) over the specified time period.</t>
  </si>
  <si>
    <t>HCP = Highest closing price in n periods</t>
  </si>
  <si>
    <t>LCP = Lowest closing price in n periods</t>
  </si>
  <si>
    <t>Numerator = Absolute value of (HCP – LCP)</t>
  </si>
  <si>
    <t>Next, subtract the lowest closing price from the highest closing price and take the absolute value of this difference. This value will be the numerator. (The term “absolute value” means “regardless of sign.” For example, the absolute value of -3 is 3.)</t>
  </si>
  <si>
    <r>
      <t xml:space="preserve">Column C is the highest closing price (Column B) over the last </t>
    </r>
    <r>
      <rPr>
        <i/>
        <sz val="12"/>
        <rFont val="Times New Roman"/>
        <family val="1"/>
      </rPr>
      <t xml:space="preserve">n </t>
    </r>
    <r>
      <rPr>
        <sz val="12"/>
        <rFont val="Times New Roman"/>
        <family val="1"/>
      </rPr>
      <t>days (i.e., 5 in this example).</t>
    </r>
  </si>
  <si>
    <r>
      <t xml:space="preserve">Column D is the lowest closing price (Column B) over the last </t>
    </r>
    <r>
      <rPr>
        <i/>
        <sz val="12"/>
        <rFont val="Times New Roman"/>
        <family val="1"/>
      </rPr>
      <t xml:space="preserve">n </t>
    </r>
    <r>
      <rPr>
        <sz val="12"/>
        <rFont val="Times New Roman"/>
        <family val="1"/>
      </rPr>
      <t>days.</t>
    </r>
  </si>
  <si>
    <t>Column E is the absolute value of Column C minus Column D.</t>
  </si>
  <si>
    <t>Column F is the change in the close. It is calculated by subtracting today’s closing price (Column B) from the previous closing price.</t>
  </si>
  <si>
    <t>Column G is the absolute value of Column F.</t>
  </si>
  <si>
    <r>
      <t xml:space="preserve">Column H is the </t>
    </r>
    <r>
      <rPr>
        <i/>
        <sz val="12"/>
        <rFont val="Times New Roman"/>
        <family val="1"/>
      </rPr>
      <t>n-</t>
    </r>
    <r>
      <rPr>
        <sz val="12"/>
        <rFont val="Times New Roman"/>
        <family val="1"/>
      </rPr>
      <t>day (i.e., 5) sum of Column G.</t>
    </r>
  </si>
  <si>
    <t>Column I is Column E divided by Column H. This is the Vertical Horizontal Filter.</t>
  </si>
  <si>
    <t>Absolute value of Col F</t>
  </si>
  <si>
    <t>Highest Close in 5-days</t>
  </si>
  <si>
    <t>Lowest Close in 5-days</t>
  </si>
  <si>
    <t>Abs of C - D</t>
  </si>
  <si>
    <t>1-period Change in Column B</t>
  </si>
  <si>
    <t>5-day sum of Column G</t>
  </si>
  <si>
    <t>Column E divided by Column H</t>
  </si>
  <si>
    <t>HL Average = Exponential moving average of (High – Low)</t>
  </si>
  <si>
    <t>Chaikin’s Volatility is calculated by first calculating an exponential moving average of the difference between the daily high and low prices. Chaikin recommends a 10-day moving average.</t>
  </si>
  <si>
    <t>Column F is Column E minus the value in Column E 5 days ago.</t>
  </si>
  <si>
    <t>Column G is Column F divided by Column E 5 days ago. This value is then multiplied by 100. This is Chaikin’s Volatility.</t>
  </si>
  <si>
    <t>Column E is a 5-day exponential moving average of Column D. The first row in Column E is seeded with the first value in Column D (i.e., 1.7561). Subsequent rows in Column E are calculated by multiplying the value in Column D by 0.333…, then multiplying the previous day’s value in Column E by 0.666…, and finally adding these two values together. (The value 0.333... was calculated as "2 / (5+1)". The value 0.666... was calculated as “1 – 0.333”.)</t>
  </si>
  <si>
    <t>Column E minus Column E 5 days ago</t>
  </si>
  <si>
    <t>Column C is a short-term simple moving average of the volume (2 periods in this example).</t>
  </si>
  <si>
    <t>Column D is the longer-term moving average (5 periods in this example).</t>
  </si>
  <si>
    <t>Column E subtracts the longer moving average (Column D) from the shorter moving average (Column C). This is the Volume Oscillator expressed in points.</t>
  </si>
  <si>
    <t>Column F divides Column C by the longer moving average and multiplies by 100. This is the Volume Oscillator expressed in percentages.</t>
  </si>
  <si>
    <t>Shorter M.A.(2-day)</t>
  </si>
  <si>
    <t>Longer M.A.(5-day)</t>
  </si>
  <si>
    <t>Column E divided by Column D multiplied by 100</t>
  </si>
  <si>
    <t>Column E is the absolute value of Column D.</t>
  </si>
  <si>
    <t>Columns F, G, and H are straightforward calculations as explained in the column headings.</t>
  </si>
  <si>
    <t>Column I subtracts Column G from Column F. This is the numerator in the equation above.</t>
  </si>
  <si>
    <t>Column J divides Column I by Column H.</t>
  </si>
  <si>
    <t>Column L is a cumulative total of Column K. This is the Accumulation/Distribution Line.</t>
  </si>
  <si>
    <t>Column K multiplies Column J by the volume (Column E).</t>
  </si>
  <si>
    <t>Column D is the number of advancing issues minus the number of declining issues (i.e., Column B minus Column C).</t>
  </si>
  <si>
    <t>Column E is a cumulative total of Column D. This is the Advance/Decline Line.</t>
  </si>
  <si>
    <t>Previous A/D Line + (Advancing – Declining Issues)</t>
  </si>
  <si>
    <t>Column D is the number of Advancing Issues minus the number of Declining Issues (column B minus Column C)</t>
  </si>
  <si>
    <t>Column D is the number of Advancing Issues divided by the number of Declining Issues (column B divided by Column C)</t>
  </si>
  <si>
    <t>Column F is the number of advancing issues (Column B) divided by the number of declining issues (Column C).</t>
  </si>
  <si>
    <t>up High = if today's high &gt; yesterday's high, then u = 10-day Standard Deviation of highs, otherwise u = 0</t>
  </si>
  <si>
    <t>+DM1</t>
  </si>
  <si>
    <t>-DM1</t>
  </si>
  <si>
    <t>TR14</t>
  </si>
  <si>
    <t>+DM14</t>
  </si>
  <si>
    <t>-DM14</t>
  </si>
  <si>
    <t>+DI14</t>
  </si>
  <si>
    <t>-DI14</t>
  </si>
  <si>
    <t>DI DIFF</t>
  </si>
  <si>
    <t>DI SUM</t>
  </si>
  <si>
    <t>DX</t>
  </si>
  <si>
    <t>ADX</t>
  </si>
  <si>
    <t>ADXR</t>
  </si>
  <si>
    <t>N</t>
  </si>
  <si>
    <t>K</t>
  </si>
  <si>
    <t>R</t>
  </si>
  <si>
    <t>Limit</t>
  </si>
  <si>
    <t>Swing Index</t>
  </si>
  <si>
    <t>Accumulation Swing Index</t>
  </si>
  <si>
    <t>See Swing Index</t>
  </si>
  <si>
    <t>See Directional Movement</t>
  </si>
  <si>
    <t>Directional Movement Indicators (+DI, -DI, DX, ADX, ADXR), Commodity Selection Index</t>
  </si>
  <si>
    <t>ATR14</t>
  </si>
  <si>
    <t>CSI</t>
  </si>
  <si>
    <t>CSI Parameters</t>
  </si>
  <si>
    <t>Value of a 1 cent move</t>
  </si>
  <si>
    <t>Margin Requirement</t>
  </si>
  <si>
    <t>Commission ($)</t>
  </si>
  <si>
    <t>SAR</t>
  </si>
  <si>
    <t>SHORT</t>
  </si>
  <si>
    <t>AF Increase</t>
  </si>
  <si>
    <t>AF Max</t>
  </si>
  <si>
    <t>down High = if today's high &gt; yesterday's high, then u = 10-day Standard Deviation of highs, otherwise u = 0</t>
  </si>
  <si>
    <t>RVIH = 100 * U High/(U High + D High)</t>
  </si>
  <si>
    <t>RVIL = sames as RVIH except subsititute lows for highs</t>
  </si>
  <si>
    <t>5 days</t>
  </si>
  <si>
    <t>United Technologies</t>
  </si>
  <si>
    <t>Column D is first initialized to the Acceleration Factor Increase of .02.</t>
  </si>
  <si>
    <t>Linear Regression Trendline, Standard Error, r-squared</t>
  </si>
  <si>
    <t>The linear regression trendline formula is:</t>
  </si>
  <si>
    <t>Regression Trendline</t>
  </si>
  <si>
    <t>r-squared calculation (not part of the Linear Regression Trendline calculation)</t>
  </si>
  <si>
    <t>Slope can also be calculated by dividing the rise of a Linear Regression Trendline (subtract one end from the other) by</t>
  </si>
  <si>
    <t>Column H is a cumulative total of Column G.</t>
  </si>
  <si>
    <t>Cumulative total of Column G</t>
  </si>
  <si>
    <t>The formula used to calculate Williams’s %R is similar to the Stochastic Oscillator:</t>
  </si>
  <si>
    <r>
      <t xml:space="preserve">Column E is the highest high (Column B) in the last </t>
    </r>
    <r>
      <rPr>
        <i/>
        <sz val="12"/>
        <rFont val="Times New Roman"/>
        <family val="1"/>
      </rPr>
      <t>n</t>
    </r>
    <r>
      <rPr>
        <sz val="12"/>
        <rFont val="Times New Roman"/>
        <family val="1"/>
      </rPr>
      <t xml:space="preserve"> periods (</t>
    </r>
    <r>
      <rPr>
        <i/>
        <sz val="12"/>
        <rFont val="Times New Roman"/>
        <family val="1"/>
      </rPr>
      <t xml:space="preserve">n </t>
    </r>
    <r>
      <rPr>
        <sz val="12"/>
        <rFont val="Times New Roman"/>
        <family val="1"/>
      </rPr>
      <t>being 5 in this example).</t>
    </r>
  </si>
  <si>
    <r>
      <t xml:space="preserve">Column F is the lowest low (Column C) in the last </t>
    </r>
    <r>
      <rPr>
        <i/>
        <sz val="12"/>
        <rFont val="Times New Roman"/>
        <family val="1"/>
      </rPr>
      <t>n</t>
    </r>
    <r>
      <rPr>
        <sz val="12"/>
        <rFont val="Times New Roman"/>
        <family val="1"/>
      </rPr>
      <t xml:space="preserve"> periods.</t>
    </r>
  </si>
  <si>
    <t>Column G is Column E minus the current close (Column D).</t>
  </si>
  <si>
    <t>Column H is Column E minus Column F. This is the trading range during the 5-day period.</t>
  </si>
  <si>
    <t>Price Oscillator</t>
  </si>
  <si>
    <t>Numerator</t>
  </si>
  <si>
    <t>Denominator</t>
  </si>
  <si>
    <t>TRIX</t>
  </si>
  <si>
    <t>Open-10 TRIN</t>
  </si>
  <si>
    <t>MACD</t>
  </si>
  <si>
    <t>Correlation</t>
  </si>
  <si>
    <t>5-day Time Series Forecast</t>
  </si>
  <si>
    <t>Boeing</t>
  </si>
  <si>
    <t>Security</t>
  </si>
  <si>
    <t>Microsoft</t>
  </si>
  <si>
    <t>%K Periods = 5</t>
  </si>
  <si>
    <t>%K Slowing = 3</t>
  </si>
  <si>
    <t>%D Periods = 3</t>
  </si>
  <si>
    <t>Formula</t>
  </si>
  <si>
    <t>Aroon</t>
  </si>
  <si>
    <t>Williams' %r</t>
  </si>
  <si>
    <t>Wilder's Smoothing</t>
  </si>
  <si>
    <t>Merck</t>
  </si>
  <si>
    <t>Volume Rate of Change</t>
  </si>
  <si>
    <t>12 days</t>
  </si>
  <si>
    <t>Xerox</t>
  </si>
  <si>
    <t>Live Cattle</t>
  </si>
  <si>
    <t>Volatility, Chaikin's</t>
  </si>
  <si>
    <t>To determine the denominator, sum the absolute value of the difference between each day’s price and the previous day’s price over the specified time periods.</t>
  </si>
  <si>
    <t>The VHF is then calculated by dividing the previously defined numerator by the denominator.</t>
  </si>
  <si>
    <t>Vertical Horizontal Filter</t>
  </si>
  <si>
    <t>Motorola</t>
  </si>
  <si>
    <t>To calculate the TRIX indicator:</t>
  </si>
  <si>
    <t>days</t>
  </si>
  <si>
    <t>Avon Products</t>
  </si>
  <si>
    <t>DEMA</t>
  </si>
  <si>
    <t>DEMA and TEMA</t>
  </si>
  <si>
    <t>See DEMA</t>
  </si>
  <si>
    <t>a =</t>
  </si>
  <si>
    <t>n = The total number of time periods</t>
  </si>
  <si>
    <t>American Express</t>
  </si>
  <si>
    <t>Linear Regression Slope</t>
  </si>
  <si>
    <t>Walt Disney</t>
  </si>
  <si>
    <t>Whirlpool</t>
  </si>
  <si>
    <t>Market Facilitation Index</t>
  </si>
  <si>
    <t>International Paper</t>
  </si>
  <si>
    <t>Mass Index</t>
  </si>
  <si>
    <t>Column C</t>
  </si>
  <si>
    <t>10% trend = 10% EMA of (Advancing – Declining Issues)</t>
  </si>
  <si>
    <t>Keycorp</t>
  </si>
  <si>
    <t>Momentum</t>
  </si>
  <si>
    <t>First, the period's Typical Price is calculated.</t>
  </si>
  <si>
    <t>Negative Volume Index</t>
  </si>
  <si>
    <t>New Highs - Lows Cumulative</t>
  </si>
  <si>
    <t>NYMEX Lite Crude Oil</t>
  </si>
  <si>
    <t>((New Highs – New Lows) + Yesterday's Indicator Value)</t>
  </si>
  <si>
    <t>On Balance Volume</t>
  </si>
  <si>
    <t>Pepsi</t>
  </si>
  <si>
    <t>New High/New Low Ratio</t>
  </si>
  <si>
    <t>Qwest Communications</t>
  </si>
  <si>
    <t>Price Channels</t>
  </si>
  <si>
    <t>Phillip Morris</t>
  </si>
  <si>
    <t>1 day and 25 days</t>
  </si>
  <si>
    <t>Kellogg</t>
  </si>
  <si>
    <t>Price ROC</t>
  </si>
  <si>
    <t>Walgreen</t>
  </si>
  <si>
    <t>Price and Volume Trend</t>
  </si>
  <si>
    <t>Photon Dynamics</t>
  </si>
  <si>
    <t>Next, calculate the percent that this moving average has changed over a specified time period. Chaikin again recommends 10 days.</t>
  </si>
  <si>
    <t>2 units</t>
  </si>
  <si>
    <t>Standard Error Bands</t>
  </si>
  <si>
    <t>Standard Error</t>
  </si>
  <si>
    <t>Standard Deviation Channel</t>
  </si>
  <si>
    <t>RVI = (RVIH + RVIL)/2</t>
  </si>
  <si>
    <t>where:</t>
  </si>
  <si>
    <t>U High = smoothed average of up High</t>
  </si>
  <si>
    <t>D High = smoothed average of down High</t>
  </si>
  <si>
    <t>a</t>
  </si>
  <si>
    <t>General Electric</t>
  </si>
  <si>
    <t>Caterpillar</t>
  </si>
  <si>
    <t>Raff Regression Channel</t>
  </si>
  <si>
    <t>x = The current time period</t>
  </si>
  <si>
    <t>y = The data series</t>
  </si>
  <si>
    <t>Hewlett-Packard</t>
  </si>
  <si>
    <t>8 days</t>
  </si>
  <si>
    <t>Copyright © 2000 Steven B. Achelis and Jon C. DeBry</t>
  </si>
  <si>
    <t>A weighted moving average is designed to put more weight on recent data and less weight on past data. A weighted moving average is calculated by multiplying each of the previous day's data by a weight.  The weighting factor is based on the number of days in the moving average. For example, a 5-day weighted moving average assigns five 5 times more weight to today'’s price than the price five 5 days ago.</t>
  </si>
  <si>
    <t>Column D shows a 5-period Weighted moving average.  The current day is given a weight of 5, the previous day 4, the day before that 3, etc.  The weighted sum is then divided by 15 (I.e., 5+4+3+2+1) to get the weighted moving average</t>
  </si>
  <si>
    <t>The calculation of the NVI varies based on whether the current period’s volume is greater than, or less than, the previous period’s volume.</t>
  </si>
  <si>
    <t>NVI = Previous NVI</t>
  </si>
  <si>
    <t>If the current volume is greater than or equal to the previous period’s volume then:</t>
  </si>
  <si>
    <t>If the current volume is less than the previous period’s volume then:</t>
  </si>
  <si>
    <t>On the first day, Column G is “seeded” with 1,000. This gives an initial NVI. (The value of the “seed” isn’t important, as long as it isn’t zero.)</t>
  </si>
  <si>
    <t>Column D is the change in price from the previous period. It is calculated by subtracting the previous close from the current close.</t>
  </si>
  <si>
    <t>Column E is the percent change in price. It is calculated by dividing Column D (the change in price) by the previous close (Column B).</t>
  </si>
  <si>
    <t>Column F is Column E (i.e., the 1-period percent change) multiplied by the previous value in Column G (i.e., the previous NVI).</t>
  </si>
  <si>
    <t>The calculation of Column G varies depending on whether volume increased or decreased. If the volume decreased from the previous period (as first occurred on 01/05/88), then Column G is Column F plus the previous value in Column G. If the volume is equal to or greater than the previous period’s volume (as first occurred on 01/06/88), then Column G is equal to the previous value in Column G (i.e., it remains unchanged). You can see that Column G only changes when the volume decreases, and then Column G changes by the amount in Column F.</t>
  </si>
  <si>
    <t>Close minus Previous Close</t>
  </si>
  <si>
    <t>Column D divided by Previous Close</t>
  </si>
  <si>
    <t>Column E multiplied by Previous Col G</t>
  </si>
  <si>
    <t>NVI (see text)</t>
  </si>
  <si>
    <t>The New Highs-Lows Cumulative indicator is simply a cumulative total of the number of stocks making new 52-week highs minus the number of stocks making new 52-week lows.</t>
  </si>
  <si>
    <t>Column D is the number of new highs (Column B) minus the number of new lows (Column C).</t>
  </si>
  <si>
    <t>Column E is a cumulative total of Column D. It is calculated by adding the value in Column D to the previous value in Column E.</t>
  </si>
  <si>
    <t>New Highs minus New Lows</t>
  </si>
  <si>
    <r>
      <t xml:space="preserve">The New Highs - New Lows is </t>
    </r>
    <r>
      <rPr>
        <b/>
        <sz val="18"/>
        <rFont val="Arial"/>
        <family val="2"/>
      </rPr>
      <t> </t>
    </r>
    <r>
      <rPr>
        <sz val="12"/>
        <rFont val="Times New Roman"/>
        <family val="1"/>
      </rPr>
      <t xml:space="preserve">the difference between the number of stocks that made new 52-week highs and the number of stocks that made new 52-week lows. </t>
    </r>
  </si>
  <si>
    <t>Column D is the number of new highs (Column B) divided by the number of new lows (Column C).</t>
  </si>
  <si>
    <t>New Highs divided by New Lows</t>
  </si>
  <si>
    <t>The OLBI is calculated by dividing the number of odd-lot sales by the number of odd-lot purchases.</t>
  </si>
  <si>
    <t>Column D is the number of odd lot sales (Column B) divided by the number of odd lot purchases (Column C), multiplied by 100.</t>
  </si>
  <si>
    <t>The OLSR is calculated by dividing the number of odd-lot short sales by the average number of odd-lot transactions for the day.</t>
  </si>
  <si>
    <t>Columns B, C, and D are the number of odd-lot transactions.</t>
  </si>
  <si>
    <t>Column D is a 7.5 percent exponential moving average of the close. The first row of Column D is seeded with the closing value (i.e., 63.750). Subsequent rows in Column D are calculated by multiplying the close by 0.075, then multiplying the previous day’s value in Column D by 0.925, and finally adding these two values together. (The value 0.925 was calculated as “1.0 – 0.075” .) Note that this “26-period” moving average is not valid until the twenty-sixth day (i.e., 09/07/93).</t>
  </si>
  <si>
    <t>Column C minus Column D</t>
  </si>
  <si>
    <t>15% EMA</t>
  </si>
  <si>
    <t>7.5% EMA</t>
  </si>
  <si>
    <t>Column E divided by Column D</t>
  </si>
  <si>
    <t>Column E is the high (Column B) minus the low (Column C).</t>
  </si>
  <si>
    <t>Column F is Column E divided by the volume (Column D).</t>
  </si>
  <si>
    <t>Column D is the high (Column B) minus the low (Column C).</t>
  </si>
  <si>
    <t>5 day moving average</t>
  </si>
  <si>
    <t>Maximum of Columns E, F, and G</t>
  </si>
  <si>
    <t>True Range minus Previous ATR</t>
  </si>
  <si>
    <t>Column I multiplied by "1/n"</t>
  </si>
  <si>
    <t>Column E is a 10-day exponential moving average of Column D. The first row of Column E is seeded with the first value in Column D (i.e., –873). Subsequent rows in Column E are calculated by multiplying the value in Column D by 0.1818…, then multiplying the previous day’s value in Column E by 0.8181…, and finally adding these two values together.</t>
  </si>
  <si>
    <t>The value 0.1818 was calculated as “2 / (10+1). The value 0.8181 was calculated as “1 – 0.1818” . Note that this 10-period moving average is not valid until the tenth day.</t>
  </si>
  <si>
    <t>10-day EMA</t>
  </si>
  <si>
    <t>Column B minus First Close</t>
  </si>
  <si>
    <t>Column C divided by First Col B times 100</t>
  </si>
  <si>
    <t>Column C is the close (Column B) minus the first closing price. For example, on 01/13/99 Column C is the close (26.7500) minus the first close (26.5625).</t>
  </si>
  <si>
    <r>
      <t xml:space="preserve">Column D is the value in Column C divided by the </t>
    </r>
    <r>
      <rPr>
        <i/>
        <sz val="12"/>
        <rFont val="Times New Roman"/>
        <family val="1"/>
      </rPr>
      <t>first</t>
    </r>
    <r>
      <rPr>
        <sz val="12"/>
        <rFont val="Times New Roman"/>
        <family val="1"/>
      </rPr>
      <t xml:space="preserve"> Column B and multiplied by 100. This is the Performance indicator.</t>
    </r>
  </si>
  <si>
    <t>The calculation of the PVI is based on whether the current period’s volume is greater than, or less than, the previous period’s volume.</t>
  </si>
  <si>
    <t>PVI = Previous PVI</t>
  </si>
  <si>
    <t>If the current volume is greater than the previous period’s volume, then:</t>
  </si>
  <si>
    <t>However, if the current volume is less than or equal to the previous period’s volume, then:</t>
  </si>
  <si>
    <t>On the first day, Column G is “seeded” with 1,000. This gives us an initial PVI. (The value of the “seed” isn’t important, as long as it isn’t zero.)</t>
  </si>
  <si>
    <t>Column D is the change in price from the previous period. It is calculated by subtracting the previous close (Column B) from the current close.</t>
  </si>
  <si>
    <t>Column E is the percent change in price. It is calculated by dividing Column D (the change in price) by the previous close (the previous row in Column B).</t>
  </si>
  <si>
    <t>Column F is the value in Column E (i.e., the 1-period percent change) multiplied by the previous value in Column G (i.e., the previous PVI).</t>
  </si>
  <si>
    <r>
      <t xml:space="preserve">The calculation of Column G varies depending on whether volume increased or decreased. If the volume increased from the previous period (as first occurred on 01/06/88), then Column G is Column F </t>
    </r>
    <r>
      <rPr>
        <i/>
        <sz val="12"/>
        <rFont val="Times New Roman"/>
        <family val="1"/>
      </rPr>
      <t>plus</t>
    </r>
    <r>
      <rPr>
        <sz val="12"/>
        <rFont val="Times New Roman"/>
        <family val="1"/>
      </rPr>
      <t xml:space="preserve"> the previous value in Column G. If the volume is equal to or less than the previous period’s volume (as first occurred on 01/05/88), then Column G is the previous value in Column G (i.e., the PVI remains unchanged). You can see that Column G only changes when the volume increases, and then Column G changes by the amount in Column F.</t>
    </r>
  </si>
  <si>
    <t>PVI (see text)</t>
  </si>
  <si>
    <t>The upper price channel is the highest high during the previous n periods (excluding the current period). The lower price channel is the lowest low during the previous n time periods (excluding the current period).</t>
  </si>
  <si>
    <t>Highest High in last 5 Periods (excluding today)</t>
  </si>
  <si>
    <t>Lowest Low in last 5 Periods (excluding today)</t>
  </si>
  <si>
    <t>To better understand the terminology “excluding the current period,” refer to 08/02/84. On this date the highest high and lowest low were based on the 5 days from 07/26/84 through 08/01/84 rather than the 5 days from 07/27/84 through 08/02/84 as you might expect.</t>
  </si>
  <si>
    <t>Short-Term Moving Average</t>
  </si>
  <si>
    <t>Long-Term Moving Average</t>
  </si>
  <si>
    <t>Column D divided by Column C times 100</t>
  </si>
  <si>
    <t xml:space="preserve">Column F is the Breadth Thrust indicator. It is a 10-day exponential moving average of Column E. </t>
  </si>
  <si>
    <t xml:space="preserve">The first row of Column F is seeded with the first value in Column E (i.e., 0.3219).  </t>
  </si>
  <si>
    <t xml:space="preserve">Subsequent rows in Column F are calculated by multiplying the value in Column E by 0.1818…, then multiplying the previous day’s value in Column F by 0.8181…, </t>
  </si>
  <si>
    <t>and finally adding these two values together. (The values 0.1818… and 0.8181… are the exponential percentages for a 10-period moving average.)</t>
  </si>
  <si>
    <t>Advancing Issues plus Declining Issues</t>
  </si>
  <si>
    <t>Advancing Issues divided by Column D</t>
  </si>
  <si>
    <t>10-day EMA of Column E</t>
  </si>
  <si>
    <t>Column B plus Column C</t>
  </si>
  <si>
    <t>Col B / Col D multiplied by 100</t>
  </si>
  <si>
    <t>Column E is the number of Bullish Advisors (Column B) divided by the number of Bullish plus Bearish Advisors (Column B plus Column C)</t>
  </si>
  <si>
    <t>Column F is the “(close – low) – (high – close) / (high – low)” portion of the numerator in the above equation.</t>
  </si>
  <si>
    <t>Column G is the value of Column F multiplied by volume (Column E).</t>
  </si>
  <si>
    <t>Column H is a 5-day summation of Column G.</t>
  </si>
  <si>
    <t>Column I is a 5-day summation of volume (Column E).</t>
  </si>
  <si>
    <t>Column J is the value of Column H divided by the value of Column F. This is the Chaikin Money Flow.</t>
  </si>
  <si>
    <t>(Close - Low) minus (High - Close) divided by (High - Low)</t>
  </si>
  <si>
    <t>Column F multiplied by Volume</t>
  </si>
  <si>
    <t>5-day summation of Column G</t>
  </si>
  <si>
    <t>5-day summation of Volume</t>
  </si>
  <si>
    <t>Column H divided by Column I</t>
  </si>
  <si>
    <t>Column I is Column G minus Column H. This step isn’t done until the tenth day (05/27/93) when both moving averages are valid.</t>
  </si>
  <si>
    <t>Column G is a 3-day exponential moving average of Column F. This 3-period moving average is not valid until the third day (05/18/93).</t>
  </si>
  <si>
    <t>Column H is a 10-day exponential moving average of Column F. This 10-period moving average is not valid until the third day (05/27/93).</t>
  </si>
  <si>
    <t>Accumulation/ Distribution</t>
  </si>
  <si>
    <t>3-day EMA of Col F</t>
  </si>
  <si>
    <t>10-day EMA of Col F</t>
  </si>
  <si>
    <t>Column G minus Column H</t>
  </si>
  <si>
    <t>Column C is the previous close minus the current close. This is the change in the closing price.</t>
  </si>
  <si>
    <t>Column D is the value in Column C, but only if Column C is greater than zero. If Column C is less than or equal to zero, then Column D is zero.</t>
  </si>
  <si>
    <t>Column E is the sum of the previous 5 days of Column D (because this is a 5-day CMO).</t>
  </si>
  <si>
    <t>Column F is the absolute value in Column C, but only if Column C is less than zero. If Column C is greater than or equal to zero, then Column F is zero.</t>
  </si>
  <si>
    <t>Column G is the sum of the previous 5 days of Column F (because this is a 5-day CMO).</t>
  </si>
  <si>
    <t>Column H is the value of Column E minus Column G.</t>
  </si>
  <si>
    <t>Column I is the value of Column E plus Column G.</t>
  </si>
  <si>
    <t>Column J is the value of Column H, divided by Column I, and multiplied by 100. This is the CMO.</t>
  </si>
  <si>
    <t>Change in Close</t>
  </si>
  <si>
    <t>Change on Up Days</t>
  </si>
  <si>
    <t>5-Day sum of Col D</t>
  </si>
  <si>
    <t>Absolute Change on Down Days</t>
  </si>
  <si>
    <t>5-Day sum of Col F</t>
  </si>
  <si>
    <t>Col E minus Col G</t>
  </si>
  <si>
    <t>Col E plus Col G</t>
  </si>
  <si>
    <t>Col H / Col I multiplied by 100</t>
  </si>
  <si>
    <t>Column E is the sum of the high plus low plus close divided by three. This is the Typical Price.</t>
  </si>
  <si>
    <t>Column F is a 5-day simple moving average of the Typical Price calculated in Column E. It is calculated by adding the preceding 5 values in Column E and dividing by 5.</t>
  </si>
  <si>
    <t>Column H is the value in Column G divided by 5.</t>
  </si>
  <si>
    <t>5-day SMA of Column E</t>
  </si>
  <si>
    <t>Today's Column F minus each of the 5 preceding Col E's (see text)</t>
  </si>
  <si>
    <t>Column G divided by 5</t>
  </si>
  <si>
    <t>Column H multiplied by 0.015</t>
  </si>
  <si>
    <t>Column E minus Column F</t>
  </si>
  <si>
    <t>Column J divided by Column I</t>
  </si>
  <si>
    <t>Yesterday’s CVI + (Advancing Volume – Declining Volume)</t>
  </si>
  <si>
    <t>Column K is a 3-day exponential moving average of Column J. When Column J is valid (i.e., 12/09/99), Column K is seeded with Column J (i.e., 0.9968). Subsequent rows in Column K are calculated by multiplying the value in Column J by 0.5, then multiplying the previous day’s value in Column K by 0.5, and finally adding these two values together. (The first 0.5 was calculated as “2 / (3+1). The second 0.5 was calculated as “1 – 0.5”) This is the Range Indicator.</t>
  </si>
  <si>
    <t>See the description below</t>
  </si>
  <si>
    <t>See Text</t>
  </si>
  <si>
    <t>5-day min of Column G</t>
  </si>
  <si>
    <t>Column D divides Column B by Column C, then multiplies by 100, to get the Total Short Ratio.</t>
  </si>
  <si>
    <t>Column E calculates the True High, which is the greater of Today's High and Yesterday's Close.</t>
  </si>
  <si>
    <t>Column F calculates the True Low, which is the lesser of Today's Low and Yesterday's Close.</t>
  </si>
  <si>
    <t>Column H is a 7-day summation of the Range (column G).</t>
  </si>
  <si>
    <t>Column G subtracts the True Low (column F) from the True High (column E) to get the Range (also called Total Activity).</t>
  </si>
  <si>
    <t>Column I subtracts the True Low (column F) from the Close, to get the Buying Units (also called Buying Pressure).</t>
  </si>
  <si>
    <t>Column J is a 7-day summation of the Buying Units (column I).</t>
  </si>
  <si>
    <t>Column K divides Buying Units (column J) by Range (column H).</t>
  </si>
  <si>
    <t>Column L is a 14-day summation of the Range (column G).</t>
  </si>
  <si>
    <t>Column M is a 14-day summation of the Buying Units (column I).</t>
  </si>
  <si>
    <t>Column O is a 28-day summation of the Range (column G).</t>
  </si>
  <si>
    <t>Column N divides Buying Units (column M) by Range (column L).</t>
  </si>
  <si>
    <t>Column P is a 28-day summation of the Buying Units (column I).</t>
  </si>
  <si>
    <t>Column Q divides Buying Units (column P) by Range (column O)</t>
  </si>
  <si>
    <t>Column R is the Ultimate Oscillator, which is four times the 7-day division (column K) + 2 times the 14-day division (column N) plus the 28-day division (column Q), divided by 7 and multiplied by 100.</t>
  </si>
  <si>
    <t>The Upside/Downside Ratio is calculated by dividing the daily volume of advancing stocks by the daily volume of declining stocks:</t>
  </si>
  <si>
    <t>Column D divides Column B by Column C to get the Upside/Downside Ratio.</t>
  </si>
  <si>
    <t>Column D subtracts the Declining Volume from the Advancing Volume to get the Upside - Downside Volume indicator.</t>
  </si>
  <si>
    <t>The Volume Oscillator displays the difference between two moving averages of volume. The difference can be displayed as either points or percentages. To see the difference in points, subtract the longer-term moving average of volume from the shorter-term moving average of volume:</t>
  </si>
  <si>
    <t>To display the difference in percentages, divide the difference by the longer-term moving average:</t>
  </si>
  <si>
    <t>If today’s close is equal to yesterday’s close:</t>
  </si>
  <si>
    <t>The McClellan Oscillator is the difference between 10 percent (approximately 19-day) and 5 percent (approximately 39-day) exponential moving averages of advancing minus declining issues.</t>
  </si>
  <si>
    <t>Column D is the number of advancing issues (Column B) minus the number of declining issues (Column C).</t>
  </si>
  <si>
    <t>Column E is a 10 percent exponential moving average of Column D. The first row of Column E is seeded with the first value in Column E (i.e., –873). Subsequent rows in Column E are calculated by multiplying the value in Column D by 0.1 (i.e., 10 percent), then multiplying the previous day’s value in Column E by 0.9 (i.e., 90 percent), and finally adding these two values together. (The value 0.9 was calculated as “1.0 – 0.1”.) Note that this “19-period” moving average is not valid until the nineteenth day.</t>
  </si>
  <si>
    <t>Column G is Column E minus Column F. As with Column F, the values in Column D aren’t valid until the thirty-ninth day. This is the McClellan Oscillator.</t>
  </si>
  <si>
    <t>10% EMA of Column D</t>
  </si>
  <si>
    <t>5% EMA of Column D</t>
  </si>
  <si>
    <t>Column F is a 5 percent exponential moving average of Column D. The first row of Column F is seeded with the first value in Column D (i.e., –873). Subsequent rows in Column F are calculated by multiplying the value in Column D by 0.05 (i.e., 5 percent), then multiplying the previous day’s value in Column F by 0.95 (i.e., 95 percent), and finally adding these two values together. (The value 0.95 was calculated as “1.0 – 0.05”.) Note that this “39-period” moving average is not valid until the thirty-ninth day.</t>
  </si>
  <si>
    <t>The formula for the McClellan Summation is:</t>
  </si>
  <si>
    <t>McClellan Oscillator – ((10 * 10% trend) + (20 * 5% trend)) + 1000</t>
  </si>
  <si>
    <t>5% trend = 5% EMA of (Advancing – Declining Issues)</t>
  </si>
  <si>
    <t>Column H is the value in Column E multiplied by 10.</t>
  </si>
  <si>
    <t>Column I is the value in Column F multiplied by 20.</t>
  </si>
  <si>
    <t>Column J is the sum of Columns E and F.</t>
  </si>
  <si>
    <t>Column K is the value in Column G (i.e., the McClellan Oscillator) minus the value in Column J, plus 1,000. This is the McClellan Summation Index.</t>
  </si>
  <si>
    <t>Columns D, E, F, and G are identical to the McClellan Oscillator columns on the previous page. These result in the McClellan Oscillator in Column G.</t>
  </si>
  <si>
    <t>McClellanOscillator</t>
  </si>
  <si>
    <t>Column E multiplied by 10</t>
  </si>
  <si>
    <t>Column F multiplied by 20</t>
  </si>
  <si>
    <t>Column H plus Column I</t>
  </si>
  <si>
    <t>Column G minus Column J plus 1,000</t>
  </si>
  <si>
    <t>Copyright © 2000-2005 Steven B. Achelis and Jon C. DeBry</t>
  </si>
  <si>
    <r>
      <t xml:space="preserve">The Volume Rate-of-Change indicator is calculated by dividing the amount that volume has changed over the last </t>
    </r>
    <r>
      <rPr>
        <i/>
        <sz val="12"/>
        <rFont val="Times New Roman"/>
        <family val="1"/>
      </rPr>
      <t>n</t>
    </r>
    <r>
      <rPr>
        <sz val="12"/>
        <rFont val="Times New Roman"/>
        <family val="1"/>
      </rPr>
      <t xml:space="preserve"> periods by the volume </t>
    </r>
    <r>
      <rPr>
        <i/>
        <sz val="12"/>
        <rFont val="Times New Roman"/>
        <family val="1"/>
      </rPr>
      <t>n</t>
    </r>
    <r>
      <rPr>
        <sz val="12"/>
        <rFont val="Times New Roman"/>
        <family val="1"/>
      </rPr>
      <t xml:space="preserve"> periods ago. The result is the percentage that the volume has changed in the last </t>
    </r>
    <r>
      <rPr>
        <i/>
        <sz val="12"/>
        <rFont val="Times New Roman"/>
        <family val="1"/>
      </rPr>
      <t>n</t>
    </r>
    <r>
      <rPr>
        <sz val="12"/>
        <rFont val="Times New Roman"/>
        <family val="1"/>
      </rPr>
      <t xml:space="preserve"> periods.</t>
    </r>
  </si>
  <si>
    <r>
      <t xml:space="preserve">If the volume is higher today than </t>
    </r>
    <r>
      <rPr>
        <i/>
        <sz val="12"/>
        <rFont val="Times New Roman"/>
        <family val="1"/>
      </rPr>
      <t>n</t>
    </r>
    <r>
      <rPr>
        <sz val="12"/>
        <rFont val="Times New Roman"/>
        <family val="1"/>
      </rPr>
      <t xml:space="preserve"> periods ago, the ROC will be a positive number. If the volume is lower today than </t>
    </r>
    <r>
      <rPr>
        <i/>
        <sz val="12"/>
        <rFont val="Times New Roman"/>
        <family val="1"/>
      </rPr>
      <t>n</t>
    </r>
    <r>
      <rPr>
        <sz val="12"/>
        <rFont val="Times New Roman"/>
        <family val="1"/>
      </rPr>
      <t xml:space="preserve"> periods ago, the ROC will be a negative number.</t>
    </r>
  </si>
  <si>
    <t>Column C is the volume 5 periods ago.</t>
  </si>
  <si>
    <t>Column D is the current volume (Column B) minus the volume 5 periods ago (Column C). This is the Volume ROC expressed in points.</t>
  </si>
  <si>
    <r>
      <t xml:space="preserve">Column E divides Column D by the volume </t>
    </r>
    <r>
      <rPr>
        <i/>
        <sz val="12"/>
        <rFont val="Times New Roman"/>
        <family val="1"/>
      </rPr>
      <t xml:space="preserve">n </t>
    </r>
    <r>
      <rPr>
        <sz val="12"/>
        <rFont val="Times New Roman"/>
        <family val="1"/>
      </rPr>
      <t>periods ago (Column C). This result is then multiplied by 100. This is the Volume ROC expressed in percentages.</t>
    </r>
  </si>
  <si>
    <t>Volume 5-periods ago</t>
  </si>
  <si>
    <t>Column B minus Column D</t>
  </si>
  <si>
    <t>Col D / Col C times 100</t>
  </si>
  <si>
    <t>The Weighted Close is calculated by multiplying the close by 2, adding the high and the low to this product, and dividing by 4. The result is the average price with extra weight given to the closing price.</t>
  </si>
  <si>
    <t>Column E adds the high, low, and 2 times the close.</t>
  </si>
  <si>
    <t>Column F divides Column E by 4 to get the Weighted Close.</t>
  </si>
  <si>
    <t>Close * 2 plus High plus Low</t>
  </si>
  <si>
    <t>The calculation of Wilder’s Smoothing is as follows:</t>
  </si>
  <si>
    <r>
      <t xml:space="preserve">First, sum the first </t>
    </r>
    <r>
      <rPr>
        <i/>
        <sz val="12"/>
        <rFont val="Times New Roman"/>
        <family val="1"/>
      </rPr>
      <t xml:space="preserve">n </t>
    </r>
    <r>
      <rPr>
        <sz val="12"/>
        <rFont val="Times New Roman"/>
        <family val="1"/>
      </rPr>
      <t xml:space="preserve">days of data (5 in this example), divide by </t>
    </r>
    <r>
      <rPr>
        <i/>
        <sz val="12"/>
        <rFont val="Times New Roman"/>
        <family val="1"/>
      </rPr>
      <t xml:space="preserve">n, </t>
    </r>
    <r>
      <rPr>
        <sz val="12"/>
        <rFont val="Times New Roman"/>
        <family val="1"/>
      </rPr>
      <t xml:space="preserve">and enter the value in Column E the </t>
    </r>
    <r>
      <rPr>
        <i/>
        <sz val="12"/>
        <rFont val="Times New Roman"/>
        <family val="1"/>
      </rPr>
      <t>n</t>
    </r>
    <r>
      <rPr>
        <i/>
        <vertAlign val="superscript"/>
        <sz val="12"/>
        <rFont val="Times New Roman"/>
        <family val="1"/>
      </rPr>
      <t>th</t>
    </r>
    <r>
      <rPr>
        <sz val="12"/>
        <rFont val="Times New Roman"/>
        <family val="1"/>
      </rPr>
      <t xml:space="preserve"> day. This “seeds” Wilder’s Smoothing with an </t>
    </r>
    <r>
      <rPr>
        <i/>
        <sz val="12"/>
        <rFont val="Times New Roman"/>
        <family val="1"/>
      </rPr>
      <t>n-</t>
    </r>
    <r>
      <rPr>
        <sz val="12"/>
        <rFont val="Times New Roman"/>
        <family val="1"/>
      </rPr>
      <t>period simple moving average.</t>
    </r>
  </si>
  <si>
    <t>Column C is the current close (Column B) minus the previous Wilder’s Smoothing value.</t>
  </si>
  <si>
    <r>
      <t>Column D multiplies Column C (the difference between today’s close and yesterday’s Wilder’s Smoothing) 1/</t>
    </r>
    <r>
      <rPr>
        <i/>
        <sz val="12"/>
        <rFont val="Times New Roman"/>
        <family val="1"/>
      </rPr>
      <t>n,</t>
    </r>
    <r>
      <rPr>
        <sz val="12"/>
        <rFont val="Times New Roman"/>
        <family val="1"/>
      </rPr>
      <t xml:space="preserve"> which is 1/5, or 0.2 in this example.</t>
    </r>
  </si>
  <si>
    <t>Column E adds Column D to the previous value in Column E. This is Wilder’s Smoothing.</t>
  </si>
  <si>
    <t>Close minus Previous M.A.</t>
  </si>
  <si>
    <t>Column C multiplied by 1/n</t>
  </si>
  <si>
    <t>Column D plus Previous Column E</t>
  </si>
  <si>
    <t>To calculate Williams’s Accumulation/Distribution Line, first determine the True Range High (TRH) and the True Range Low (TRL).</t>
  </si>
  <si>
    <r>
      <t>TRH</t>
    </r>
    <r>
      <rPr>
        <sz val="12"/>
        <rFont val="Times New Roman"/>
        <family val="1"/>
      </rPr>
      <t xml:space="preserve"> = Yesterday’s close or today’s high, whichever is greater.</t>
    </r>
  </si>
  <si>
    <r>
      <t>TRL</t>
    </r>
    <r>
      <rPr>
        <sz val="12"/>
        <rFont val="Times New Roman"/>
        <family val="1"/>
      </rPr>
      <t xml:space="preserve"> = Yesterday’s close or today’s low, whichever is less.</t>
    </r>
  </si>
  <si>
    <t>Williams’s Accumulation/Distribution = Today’s Accumulation/Distribution + Yesterday’s Williams’s Accumulation/Distribution</t>
  </si>
  <si>
    <t>Today’s Accumulation/Distribution is then determined by comparing today’s closing price to yesterday’s closing price.</t>
  </si>
  <si>
    <t>Williams’s Accumulation/Distribution Line is a cumulative total of these daily values.</t>
  </si>
  <si>
    <t>Column E is yesterday’s close or today’s high, whichever is greater. This is the True Range High (TRH).</t>
  </si>
  <si>
    <t>Column F is yesterday’s close or today’s low, whichever is lesser. This is the True Range Low (TRL).</t>
  </si>
  <si>
    <t>Column G is “Today’s Accumulation/Distribution” based on the above equation.</t>
  </si>
  <si>
    <t>For a detailed breakdown of the r-squared calculation, see the Linear Regression Trendline page.  This page</t>
  </si>
  <si>
    <t>28-day division</t>
  </si>
  <si>
    <t>If today’s close is greater than yesterday’s close:</t>
  </si>
  <si>
    <t>Today’s A/D = today’s close – TRL</t>
  </si>
  <si>
    <t>If today’s close is less than yesterday’s close:</t>
  </si>
  <si>
    <t>Today’s A/D = today’s close – TRH</t>
  </si>
  <si>
    <t>Today’s A/D = 0</t>
  </si>
  <si>
    <t>OEX</t>
  </si>
  <si>
    <t>Indicator</t>
  </si>
  <si>
    <t>Indicator:</t>
  </si>
  <si>
    <t>Formula:</t>
  </si>
  <si>
    <t>Positive Volume Index</t>
  </si>
  <si>
    <t>Volume Oscillator</t>
  </si>
  <si>
    <t>Exponentially Smoothed 3 days</t>
  </si>
  <si>
    <t>Column M is an 3-day Exponential Moving Average of Column L.  This is the Smoothed Projection Oscillator.</t>
  </si>
  <si>
    <t>Simple 3 day Trigger</t>
  </si>
  <si>
    <t>Column N is a 3-day Simple Moving Average of Column M.  This is the Trigger Line of the Smoothed Projection Oscillator.</t>
  </si>
  <si>
    <r>
      <t xml:space="preserve">Calculating the DMI is identical to calculating the RSI, except the number of time periods used in the DMI calculation changes </t>
    </r>
    <r>
      <rPr>
        <i/>
        <sz val="12"/>
        <rFont val="Times New Roman"/>
        <family val="1"/>
      </rPr>
      <t>each</t>
    </r>
    <r>
      <rPr>
        <sz val="12"/>
        <rFont val="Times New Roman"/>
        <family val="1"/>
      </rPr>
      <t xml:space="preserve"> day based on volatility. The following formula shows how the number of time periods is determined.</t>
    </r>
  </si>
  <si>
    <t>The CVI is calculated by subtracting the volume of declining stocks from the volume of advancing stocks, and then adding this value to a cumulative total.</t>
  </si>
  <si>
    <t>Accumulation of Column D</t>
  </si>
  <si>
    <t>The Advance/Decline Ratio is calculated by dividing the number of stocks that advanced in price by the number of stocks that declined.</t>
  </si>
  <si>
    <t>The Advancing - Declining Issues is calculated simply by subtracting the number of declining issues from the number of advancing issues.</t>
  </si>
  <si>
    <t>Advancing Issues minus Declining Issues</t>
  </si>
  <si>
    <t>For the numerator, add the highest high to the lowest low over the desired time period and divide by 2 to get the midpoint.  Now subtract this value from the close.  This gives you the distance of the close relative to the midpoint of the n-period high/low range.  Then smooth the result twice with exponential moving averages.</t>
  </si>
  <si>
    <t>For the denominator, subtract the highest high from the lowest low over the desired time period.  Then smooth this twice with exponential moving averages, and then divide by 2.</t>
  </si>
  <si>
    <t>Now divide the numerator by the denominator and multiply by 100 to get the SMI.</t>
  </si>
  <si>
    <t>5 days, 3 smoothing periods, 3 double-smoothing periods</t>
  </si>
  <si>
    <t>Standard Error Channel</t>
  </si>
  <si>
    <t>One standard error (calculated)</t>
  </si>
  <si>
    <t>Yahoo (data starts 5/24/99)</t>
  </si>
  <si>
    <t>Volume Increment</t>
  </si>
  <si>
    <t>Sum</t>
  </si>
  <si>
    <t>Sum of Volume</t>
  </si>
  <si>
    <t>Average Volume</t>
  </si>
  <si>
    <t>1. Calculate the average volume using every time period in the entire price series being studied (note that this means that the exact value of the moving average will vary depending on which periods you use).</t>
  </si>
  <si>
    <t>2. Calculate the volume increment by multiplying the average volume by 0.67.</t>
  </si>
  <si>
    <t>3. Calculate each period's volume ratio by dividing each period's actual volume by the volume increment.</t>
  </si>
  <si>
    <t>ADXR = Average Directional Movement Index Rating</t>
  </si>
  <si>
    <t>ATR14 = 14-day Average True Range</t>
  </si>
  <si>
    <t>V = Value of a 1 cent move</t>
  </si>
  <si>
    <t>M = Margin Requirement in dollars</t>
  </si>
  <si>
    <t>C = Commission in dollars</t>
  </si>
  <si>
    <t>Calculate the Plus Directional Indicator (+DI) by dividing the 14-day +DM (column J) by the 14-day True Range (column I) and rounding the result</t>
  </si>
  <si>
    <t>Calculate the Minus Directional Indicator (-DI) by dividing the 14-day -DM (column K) by the 14-day True Range (column I)and rounding the result</t>
  </si>
  <si>
    <t>Column M is "N", the Numerator.  It is calculated by adding the daily change (Column J) plus 1/2 of distance from today's open to close (Column K) plus 1/4 of distance from yesterday's open to close (Column L)</t>
  </si>
  <si>
    <t>Column R simply cumulates the values in Column Q</t>
  </si>
  <si>
    <t>Column P is the value of a limit move, we'll use 3</t>
  </si>
  <si>
    <t xml:space="preserve">Column L is the Swing Index, which is 50 multiplied by (M/O) multiplied by (N/P) </t>
  </si>
  <si>
    <t>Column N is "K", the greater of today's high minus yesterday's close (Column F) and today's low minus yesterday's close (Column G)</t>
  </si>
  <si>
    <t>Column O is "R", first determine the largest of Columns F, G, and H, and then add that value to 1/4th of yesterday's open to close range (column I)</t>
  </si>
  <si>
    <t>Where</t>
  </si>
  <si>
    <t>Highest High in last 5 periods</t>
  </si>
  <si>
    <t>Lowest Low in last 5 periods</t>
  </si>
  <si>
    <t>Date</t>
  </si>
  <si>
    <t>Advancing Issues</t>
  </si>
  <si>
    <t>Declining Issues</t>
  </si>
  <si>
    <t>Advancing - Declining Issues</t>
  </si>
  <si>
    <t>Absolute Breadth Index</t>
  </si>
  <si>
    <t>Battle Mountain Gold</t>
  </si>
  <si>
    <t>High</t>
  </si>
  <si>
    <t>Low</t>
  </si>
  <si>
    <t>Close</t>
  </si>
  <si>
    <t>Volume</t>
  </si>
  <si>
    <t>Accumulation/Distribution</t>
  </si>
  <si>
    <t>Advance/Decline Line, NYSE stocks only</t>
  </si>
  <si>
    <t>A/D Line</t>
  </si>
  <si>
    <t>Advancing Volume</t>
  </si>
  <si>
    <t>Declining Volume</t>
  </si>
  <si>
    <t>Aroon Up</t>
  </si>
  <si>
    <t>Aroon Down</t>
  </si>
  <si>
    <t>McDonald's</t>
  </si>
  <si>
    <t>True Range</t>
  </si>
  <si>
    <t xml:space="preserve"> </t>
  </si>
  <si>
    <t>Breadth Thrust</t>
  </si>
  <si>
    <t>Bullish Advisors</t>
  </si>
  <si>
    <t>Bearish Advisors</t>
  </si>
  <si>
    <t>Bull/Bear Ratio</t>
  </si>
  <si>
    <t>Chaikin Money Flow</t>
  </si>
  <si>
    <t>Chaikin Oscillator</t>
  </si>
  <si>
    <t>Chande Momentum Oscillator</t>
  </si>
  <si>
    <t>Cumulative Volume Index</t>
  </si>
  <si>
    <t>Detrended Price Oscillator</t>
  </si>
  <si>
    <t>Compaq</t>
  </si>
  <si>
    <t>Ease of Movement</t>
  </si>
  <si>
    <t>14-day Simple Smoothing</t>
  </si>
  <si>
    <t>Time Series Forecast</t>
  </si>
  <si>
    <t xml:space="preserve">   (2 * EMA) – (EMA of EMA)</t>
  </si>
  <si>
    <t>Where EMA = n-day Exponential Moving Average</t>
  </si>
  <si>
    <t xml:space="preserve">  (3 * EMA) – (3 * EMA of EMA) + (EMA of EMA of EMA)</t>
  </si>
  <si>
    <t>5-day EMA of Column B</t>
  </si>
  <si>
    <t>5-day EMA of Column C</t>
  </si>
  <si>
    <t>5-day EMA of Column D</t>
  </si>
  <si>
    <t>Column C * 2 minus Column D (DEMA)</t>
  </si>
  <si>
    <t>(Col C * 3) minus (Col D * 3) plus Col E (TEMA)</t>
  </si>
  <si>
    <t>Column D is a 5-day exponential moving average of the exponential moving average calculated in Column C.</t>
  </si>
  <si>
    <t>Column C is a 5-day exponential moving average of the close.</t>
  </si>
  <si>
    <t>Column C is a 6-period simple moving average of the close. It is calculated by adding the closing price for the preceding 6 days and dividing by 6.</t>
  </si>
  <si>
    <t>Column D is the value of Column C 4 days hence. The “4” was calculated using the “(n/2)+1” formula (i.e., 6/2+1) is 4).</t>
  </si>
  <si>
    <t>Column E is the closing price (Column B) minus Column D. This is the DPO. Note that the data for the last 4 days (i.e., 2/16/93 through 2/19/93) are blank.</t>
  </si>
  <si>
    <r>
      <t xml:space="preserve">To calculate the DPO, first create an </t>
    </r>
    <r>
      <rPr>
        <i/>
        <sz val="12"/>
        <rFont val="Times New Roman"/>
        <family val="1"/>
      </rPr>
      <t>n</t>
    </r>
    <r>
      <rPr>
        <sz val="12"/>
        <rFont val="Times New Roman"/>
        <family val="1"/>
      </rPr>
      <t>-period simple moving average (where “n” is the number of periods in the DPO).</t>
    </r>
  </si>
  <si>
    <t>In his book, Arms describes two methods of calculating the Ease of Movement indicator: the “exact method” as presented here and the “simplified method” where the “high + low” is expressed in eighths.</t>
  </si>
  <si>
    <t>The first step in calculating the Ease of Movement indicator is to determine the Midpoint Move as shown below.</t>
  </si>
  <si>
    <t>Next, calculate the high-low Box Ratio.</t>
  </si>
  <si>
    <r>
      <t>The Ease of Movement (EMV</t>
    </r>
    <r>
      <rPr>
        <b/>
        <sz val="18"/>
        <rFont val="Arial"/>
        <family val="2"/>
      </rPr>
      <t> </t>
    </r>
    <r>
      <rPr>
        <sz val="12"/>
        <rFont val="Times New Roman"/>
        <family val="1"/>
      </rPr>
      <t>) indicator is then calculated from the Midpoint Move and Box Ratio.</t>
    </r>
  </si>
  <si>
    <t>Column E is the sum of the high plus the low.</t>
  </si>
  <si>
    <t>Column F is the value in Column E divided by 2. This is the midpoint.</t>
  </si>
  <si>
    <t>The Breadth Thrust indicator is a 10-day exponential moving average of the following ratio:</t>
  </si>
  <si>
    <t>The Bull/Bear Ratio is calculated by dividing the number of bullish advisors by the number of bullish plus bearish advisors. The number of neutral advisors is ignored.</t>
  </si>
  <si>
    <t>The Chaikin Money Flow is calculated by summing the values of the Accumulation/Distribution Line, then dividing by a summation of the volume. In the following equation, the numerator is the Accumulation/Distribution Line.</t>
  </si>
  <si>
    <t>The Chaikin Oscillator is created by subtracting a 10-period exponential moving average of the Accumulation/Distribution Line from a 3-period exponential moving average of the Accumulation/Distribution Line.</t>
  </si>
  <si>
    <t>Column F is the Accumulation/Distribution Line.</t>
  </si>
  <si>
    <t>The following is the calculation for the Chande Momentum Oscillator:</t>
  </si>
  <si>
    <t xml:space="preserve">Where:
SU is a summation of the difference between today’’s close and yesterday’’s close on up days.
SD is a summation of the absolute value of the difference between today’’s close and yesterday’’s close on down days. (The term “absolute value” means “regardless of sign.” For example, the absolute value of -3 is 3.)
Up days are defined as days when today’’s close is greater than yesterday’’s close. Down days are defined as days when today’’s close is less than yesterday’’s close. Unchanged days are ignored.
</t>
  </si>
  <si>
    <t>Column G is rather complicated to explain. First, take the absolute value of today’s Column F minus today’s Column E. This is then added to the absolute value of  today’s Column F minus yesterday’s Column E. This process (i.e., taking the absolute value of the difference between today’s Column F and a previous day’s Column E) is repeated for 5 days.</t>
  </si>
  <si>
    <t>Column J is the sum of Column H over the last %K Slowing periods (i.e., the last 3 periods in this example).</t>
  </si>
  <si>
    <t>Column K is Column I divided by Column J. This value is then multiplied by 100 to create the Stochastic Oscillator.</t>
  </si>
  <si>
    <t>Column L is a simple moving average of the Stochastic Oscillator (Column K) using “%D Periods” (i.e., 3 in this example). It is calculated by adding the preceding 3 days of Column K and dividing by 3. This is the %D Moving Average.</t>
  </si>
  <si>
    <t>Lowest Low in last %K periods</t>
  </si>
  <si>
    <t>Highest High in last %K periods</t>
  </si>
  <si>
    <t>Close minus Column E</t>
  </si>
  <si>
    <t>Column F minus Column E</t>
  </si>
  <si>
    <t>Sum of Column G for %K Slowing periods</t>
  </si>
  <si>
    <t>Sum of Column H for %K Slowing periods</t>
  </si>
  <si>
    <t>Col I / Col J times 100</t>
  </si>
  <si>
    <t>%D-periods SMA</t>
  </si>
  <si>
    <t>Closing price</t>
  </si>
  <si>
    <r>
      <t>Cy</t>
    </r>
    <r>
      <rPr>
        <sz val="12"/>
        <rFont val="Times New Roman"/>
        <family val="1"/>
      </rPr>
      <t xml:space="preserve"> = Previous period’s closing price</t>
    </r>
  </si>
  <si>
    <r>
      <t>Hy</t>
    </r>
    <r>
      <rPr>
        <sz val="12"/>
        <rFont val="Times New Roman"/>
        <family val="1"/>
      </rPr>
      <t xml:space="preserve"> = Previous period’s highest price</t>
    </r>
  </si>
  <si>
    <r>
      <t>L</t>
    </r>
    <r>
      <rPr>
        <sz val="12"/>
        <rFont val="Times New Roman"/>
        <family val="1"/>
      </rPr>
      <t xml:space="preserve"> = Low price</t>
    </r>
  </si>
  <si>
    <r>
      <t>Ly</t>
    </r>
    <r>
      <rPr>
        <sz val="12"/>
        <rFont val="Times New Roman"/>
        <family val="1"/>
      </rPr>
      <t xml:space="preserve"> = Previous period’s lowest price</t>
    </r>
  </si>
  <si>
    <r>
      <t>O</t>
    </r>
    <r>
      <rPr>
        <sz val="12"/>
        <rFont val="Times New Roman"/>
        <family val="1"/>
      </rPr>
      <t xml:space="preserve"> = Opening price</t>
    </r>
  </si>
  <si>
    <r>
      <t>Oy</t>
    </r>
    <r>
      <rPr>
        <sz val="12"/>
        <rFont val="Times New Roman"/>
        <family val="1"/>
      </rPr>
      <t xml:space="preserve"> = Previous period’s opening price</t>
    </r>
  </si>
  <si>
    <r>
      <t>T</t>
    </r>
    <r>
      <rPr>
        <sz val="12"/>
        <rFont val="Times New Roman"/>
        <family val="1"/>
      </rPr>
      <t xml:space="preserve"> = The value of a limit move</t>
    </r>
  </si>
  <si>
    <t xml:space="preserve">C = </t>
  </si>
  <si>
    <r>
      <t xml:space="preserve">Cell D5 calculates the value of one standard deviation using the </t>
    </r>
    <r>
      <rPr>
        <i/>
        <sz val="10"/>
        <rFont val="Arial"/>
        <family val="2"/>
      </rPr>
      <t>stdevp()</t>
    </r>
    <r>
      <rPr>
        <sz val="10"/>
        <rFont val="Arial"/>
      </rPr>
      <t xml:space="preserve"> function.</t>
    </r>
  </si>
  <si>
    <t>Column E is the shorter-term moving average (Column C) minus the longer-term moving average (Column D). This is the Price Oscillator when expressed in points.</t>
  </si>
  <si>
    <t>Column F is Column E divided by Column D and multiplied by 100. This is the Price Oscillator when expressed in percentages.</t>
  </si>
  <si>
    <t>The Price ROC displays the difference between two prices as either points or as percentages.</t>
  </si>
  <si>
    <r>
      <t xml:space="preserve">When the difference is displayed in points, the ROC is calculated simply by subtracting the price </t>
    </r>
    <r>
      <rPr>
        <i/>
        <sz val="12"/>
        <rFont val="Times New Roman"/>
        <family val="1"/>
      </rPr>
      <t>n</t>
    </r>
    <r>
      <rPr>
        <sz val="12"/>
        <rFont val="Times New Roman"/>
        <family val="1"/>
      </rPr>
      <t xml:space="preserve"> time periods ago from the current price:</t>
    </r>
  </si>
  <si>
    <r>
      <t>Current Close – Close n-periods ago</t>
    </r>
    <r>
      <rPr>
        <b/>
        <sz val="18"/>
        <rFont val="Arial"/>
        <family val="2"/>
      </rPr>
      <t> </t>
    </r>
  </si>
  <si>
    <r>
      <t xml:space="preserve">When the ROC displays the price change as percentages, it divides the price change by price </t>
    </r>
    <r>
      <rPr>
        <i/>
        <sz val="12"/>
        <rFont val="Times New Roman"/>
        <family val="1"/>
      </rPr>
      <t>n</t>
    </r>
    <r>
      <rPr>
        <sz val="12"/>
        <rFont val="Times New Roman"/>
        <family val="1"/>
      </rPr>
      <t xml:space="preserve"> time periods ago:</t>
    </r>
  </si>
  <si>
    <t>Column C is the current closing minus the close 3 days ago. This is the 3-day ROC expressed in points.</t>
  </si>
  <si>
    <t>Column D is the value in Column C, divided by the close 3 days ago, multiplied by 100. This is the 3-day ROC expressed in percentages.</t>
  </si>
  <si>
    <t>Current Close minus Close 3-Days Ago</t>
  </si>
  <si>
    <t>Column C divided by Close 3-Days Ago times 100</t>
  </si>
  <si>
    <t>The PVT is calculated by multiplying the current period’s volume by the percent that the security’s price changed, and adding this value to a cumulative total.</t>
  </si>
  <si>
    <t>For example, if the security’s price increased 0.5 percent on volume of 10,000 shares, you would add 50 (i.e., 0.005 * 10,000) to the PVT. If the security’s price had closed down 0.5 percent, you would have subtracted 50 from the PVT.</t>
  </si>
  <si>
    <t>Column G is the value in Column F plus the previous value in Column G. This is the PVT.</t>
  </si>
  <si>
    <t>Column A divided by Previous Close</t>
  </si>
  <si>
    <t>Column B multiplied by Volume</t>
  </si>
  <si>
    <t>Column F plus Previous G</t>
  </si>
  <si>
    <t>Following is the calculation of the upper Projection Band:</t>
  </si>
  <si>
    <t>Following is the calculation of the lower Projection Band:</t>
  </si>
  <si>
    <t>Following is the formula for the Projection Oscillator:</t>
  </si>
  <si>
    <t>The PSR is calculated by dividing the number of public short sales by the total number of short sales. The result is the percentage of public shorts.</t>
  </si>
  <si>
    <r>
      <t xml:space="preserve">The P/C </t>
    </r>
    <r>
      <rPr>
        <b/>
        <sz val="18"/>
        <rFont val="Arial"/>
        <family val="2"/>
      </rPr>
      <t> </t>
    </r>
    <r>
      <rPr>
        <sz val="12"/>
        <rFont val="Times New Roman"/>
        <family val="1"/>
      </rPr>
      <t>Ratio is calculated by dividing the volume of puts by the volume of calls and then multiplying by 100.</t>
    </r>
  </si>
  <si>
    <t>Puts/Calls Ratio</t>
  </si>
  <si>
    <r>
      <t>The Qstick is the sum</t>
    </r>
    <r>
      <rPr>
        <b/>
        <sz val="18"/>
        <rFont val="Arial"/>
        <family val="2"/>
      </rPr>
      <t> </t>
    </r>
    <r>
      <rPr>
        <sz val="12"/>
        <rFont val="Times New Roman"/>
        <family val="1"/>
      </rPr>
      <t>of the “close – open” over the last “</t>
    </r>
    <r>
      <rPr>
        <i/>
        <sz val="12"/>
        <rFont val="Times New Roman"/>
        <family val="1"/>
      </rPr>
      <t>n</t>
    </r>
    <r>
      <rPr>
        <sz val="12"/>
        <rFont val="Times New Roman"/>
        <family val="1"/>
      </rPr>
      <t>” days, divided by “</t>
    </r>
    <r>
      <rPr>
        <i/>
        <sz val="12"/>
        <rFont val="Times New Roman"/>
        <family val="1"/>
      </rPr>
      <t>n”:</t>
    </r>
  </si>
  <si>
    <t>Column E is the total of the last four periods in Column D.</t>
  </si>
  <si>
    <r>
      <t>Column F is the value in Column E divided by 4</t>
    </r>
    <r>
      <rPr>
        <sz val="12"/>
        <rFont val="Times New Roman"/>
        <family val="1"/>
      </rPr>
      <t xml:space="preserve"> and is the Qstick indicator.</t>
    </r>
  </si>
  <si>
    <t>Column C minus Column B</t>
  </si>
  <si>
    <t>4-Day sum of Column D</t>
  </si>
  <si>
    <t>Column E divided by 4</t>
  </si>
  <si>
    <t>Column D is the advancing volume (Column B) minus the declining volume (Column C).</t>
  </si>
  <si>
    <t>Column E is a cumulative total of Column D (i.e., today’s Column D plus yesterday’s Column E).</t>
  </si>
  <si>
    <t>Column B minus Column C</t>
  </si>
  <si>
    <t>Cumulative Total of Column D</t>
  </si>
  <si>
    <t>Forecast Oscillator</t>
  </si>
  <si>
    <t>Where:</t>
  </si>
  <si>
    <t>Open</t>
  </si>
  <si>
    <t>up High</t>
  </si>
  <si>
    <t>down High</t>
  </si>
  <si>
    <t>U High</t>
  </si>
  <si>
    <t>D High</t>
  </si>
  <si>
    <t>RVIH</t>
  </si>
  <si>
    <t>up Low</t>
  </si>
  <si>
    <t>down Low</t>
  </si>
  <si>
    <t>U Low</t>
  </si>
  <si>
    <t>D Low</t>
  </si>
  <si>
    <t>RVIL</t>
  </si>
  <si>
    <t>Intraday Momentum Index</t>
  </si>
  <si>
    <t>This spreadsheet supplements the book "Technical Analysis from A to Z", by Steven B. Achelis.</t>
  </si>
  <si>
    <t>For more information on the book, including where to order, corrections, FAQs, etc., visit:</t>
  </si>
  <si>
    <t>http://AtoZbook.com</t>
  </si>
  <si>
    <t>For more indicators, trading software, and trading suggestions, visit:</t>
  </si>
  <si>
    <t>http://www.debry.com</t>
  </si>
  <si>
    <r>
      <t xml:space="preserve">The contents of this file, including the formulas, are protected by United States copyright law.  </t>
    </r>
    <r>
      <rPr>
        <i/>
        <sz val="10"/>
        <rFont val="Arial"/>
        <family val="2"/>
      </rPr>
      <t>This file may not be redistributed without written permission from Steve Achelis.</t>
    </r>
  </si>
  <si>
    <t>Table Of Contents</t>
  </si>
  <si>
    <t>Overview</t>
  </si>
  <si>
    <t>Accumulation Distribution</t>
  </si>
  <si>
    <t>A/D Ratio</t>
  </si>
  <si>
    <t>SARtomorrow = SARtoday + AF(EPtrade - SARtoday)</t>
  </si>
  <si>
    <t>EP is the Extreme Price Point so far - if Long, EP is the extreme High price, if Short, EP is the extreme Low price</t>
  </si>
  <si>
    <t>Bull|Bear Ratio</t>
  </si>
  <si>
    <t>Commodity Selection Index</t>
  </si>
  <si>
    <t>Directional Movement Indicators</t>
  </si>
  <si>
    <t>Inertia</t>
  </si>
  <si>
    <t>McClellan Summation</t>
  </si>
  <si>
    <t>New Highs | New Lows Ratio</t>
  </si>
  <si>
    <t>Overbought|Oversold</t>
  </si>
  <si>
    <t>7-day Range sum</t>
  </si>
  <si>
    <t>Buying units (Buying Pressure)</t>
  </si>
  <si>
    <t>7-day Buying Pressure sum</t>
  </si>
  <si>
    <t>7-day division (Buying Pressure / Range)</t>
  </si>
  <si>
    <t>14-day range sum</t>
  </si>
  <si>
    <t>14-day buy sum</t>
  </si>
  <si>
    <t>14-day division</t>
  </si>
  <si>
    <t>28-day range sum</t>
  </si>
  <si>
    <t>28-day buy sum</t>
  </si>
  <si>
    <t>BP = Buying Pressure, or Close minus True Low</t>
  </si>
  <si>
    <t>R = Range, or True High minus True Low</t>
  </si>
  <si>
    <t>True High = the greater of Today's High and Yesterday's Close</t>
  </si>
  <si>
    <t>True Low = the lesser of Today's Low and Yesterday's Close</t>
  </si>
  <si>
    <t>Column D is the close minus the previous close (i.e., the change since the previous close).</t>
  </si>
  <si>
    <t>Column E is the value in Column D divided by the previous close (i.e., the percent change since the previous close).</t>
  </si>
  <si>
    <t>Column F is the value in Column E multiplied by the volume.</t>
  </si>
  <si>
    <t>Money Flow Index</t>
  </si>
  <si>
    <t>New Highs</t>
  </si>
  <si>
    <t>New Lows</t>
  </si>
  <si>
    <t>New Highs - New Lows</t>
  </si>
  <si>
    <t>New Highs – New Lows</t>
  </si>
  <si>
    <t>Odd Lot Sales</t>
  </si>
  <si>
    <t>Odd Lot Balance Index</t>
  </si>
  <si>
    <t>Odd Lot Shorts</t>
  </si>
  <si>
    <t>Odd Lot Short Ratio</t>
  </si>
  <si>
    <t>OBV</t>
  </si>
  <si>
    <t>Performance</t>
  </si>
  <si>
    <t>Upper Channel</t>
  </si>
  <si>
    <r>
      <t xml:space="preserve">The ABI </t>
    </r>
    <r>
      <rPr>
        <b/>
        <sz val="18"/>
        <rFont val="Arial"/>
        <family val="2"/>
      </rPr>
      <t> </t>
    </r>
    <r>
      <rPr>
        <sz val="12"/>
        <rFont val="Times New Roman"/>
        <family val="1"/>
      </rPr>
      <t>is calculated by taking the absolute value of the difference between the number of advancing issues and the number of declining issues on the New York Stock Exchange. (The term “absolute value” means “regardless of sign.” For example, the absolute value of -3 is 3.)</t>
    </r>
  </si>
  <si>
    <t>Advancing minus Declining Issues</t>
  </si>
  <si>
    <t>Absolute Value of Column D</t>
  </si>
  <si>
    <t>Close minus Low</t>
  </si>
  <si>
    <t>High minus Close</t>
  </si>
  <si>
    <t>Col F minus Col G</t>
  </si>
  <si>
    <t>Col I divided by Col H</t>
  </si>
  <si>
    <t>Column J multiplied by Volume</t>
  </si>
  <si>
    <t>Accumulation of Column K</t>
  </si>
  <si>
    <t>Column D is Hogs, the dependent variable (also referred to as "Y").</t>
  </si>
  <si>
    <t>Column B is Corn, the independent variable (also referred to as "X").</t>
  </si>
  <si>
    <t>Column F multiplies Corn by Hogs (Column B by Column D)</t>
  </si>
  <si>
    <t>Column C sums the values in Column B.</t>
  </si>
  <si>
    <t>Column E sums the values in Column D</t>
  </si>
  <si>
    <t>Column G sums the result of Column F</t>
  </si>
  <si>
    <t>Column H squares the value of Corn (Column B)</t>
  </si>
  <si>
    <t>Column I sums the values in column H</t>
  </si>
  <si>
    <t>Column J squares the values of Live Hogs (Column D)</t>
  </si>
  <si>
    <t>Column K sums the values in column J</t>
  </si>
  <si>
    <t>Column L puts all of the pieces together as in the above formula.  This is the correlation.</t>
  </si>
  <si>
    <t>Column E is a 5-day exponential moving average of the exponential moving average calculated in Column D.</t>
  </si>
  <si>
    <t>Column F is Column C multiplied by 2, minus the value in Column D. Note that this 5-day DEMA is not valid until the ninth day.</t>
  </si>
  <si>
    <t>Column G is Column C multiplied by 3, minus 3 times Column D, plus Column E. Note that this 5-day TEMA is not valid until the thirteenth day.</t>
  </si>
  <si>
    <t>Next, subtract the moving average “(n/2) + 1” days (in the future) from the closing price. This has the effect of shifting the DPO back “(n/2) + 1” periods. The shift is done to eliminate the trend in prices. The last “(n/2) + 1” periods of the DPO will have no value. (If the expression “(n/2) + 1” results in a fractional portion, the fractional portion is dropped.)</t>
  </si>
  <si>
    <t>6-day SMA</t>
  </si>
  <si>
    <t>Column C 4 days hence</t>
  </si>
  <si>
    <t>Function</t>
  </si>
  <si>
    <t>See the text below</t>
  </si>
  <si>
    <r>
      <t xml:space="preserve">Column C calculates a 5-day standard deviation of prices using the Excel </t>
    </r>
    <r>
      <rPr>
        <i/>
        <sz val="10"/>
        <rFont val="Arial"/>
        <family val="2"/>
      </rPr>
      <t xml:space="preserve">stdevp() </t>
    </r>
    <r>
      <rPr>
        <sz val="10"/>
        <rFont val="Arial"/>
        <family val="2"/>
      </rPr>
      <t>function.</t>
    </r>
  </si>
  <si>
    <t>Column D calculates a 10-day moving average of the 5-day standard deviation calculated in Column C.</t>
  </si>
  <si>
    <t>Column E calculates the Volatility Index, which is the current volatility (column C) divided by the average volatility (column D).</t>
  </si>
  <si>
    <t>Column F divides 14 by the Volatility Index (column E) and removes anything to the right of the decimal point to get the time periods.</t>
  </si>
  <si>
    <t>Column G forces the time periods calculated in Column F to be between 3 and 30.</t>
  </si>
  <si>
    <t>The Forecast Oscillator is calculated using the Time Series Forecast:</t>
  </si>
  <si>
    <r>
      <t>The calculation of the IMI is very similar to that of</t>
    </r>
    <r>
      <rPr>
        <b/>
        <sz val="18"/>
        <rFont val="Arial"/>
        <family val="2"/>
      </rPr>
      <t> </t>
    </r>
    <r>
      <rPr>
        <sz val="12"/>
        <rFont val="Times New Roman"/>
        <family val="1"/>
      </rPr>
      <t xml:space="preserve"> the RSI, except it uses the relationship between the intraday opening and closing prices to determine whether the day is “up” or “down.” If the close is above the open (i.e., a white Candlestick), it is an “up” day. If the close is below the open it (i.e., a black Candlestick), it is a “down” day.</t>
    </r>
  </si>
  <si>
    <t>The IMI is calculated as follows:</t>
  </si>
  <si>
    <t>Cumulative Measurement (see text)</t>
  </si>
  <si>
    <t>Volume Force (see text)</t>
  </si>
  <si>
    <t>The Large Block Ratio is calculated by dividing the number of Large Block trades by the total volume on the New York Stock Exchange.</t>
  </si>
  <si>
    <r>
      <t xml:space="preserve">Each point in the Linear Regression Indicator is simply the end-point of an </t>
    </r>
    <r>
      <rPr>
        <i/>
        <sz val="12"/>
        <rFont val="Times New Roman"/>
        <family val="1"/>
      </rPr>
      <t>n-</t>
    </r>
    <r>
      <rPr>
        <sz val="12"/>
        <rFont val="Times New Roman"/>
        <family val="1"/>
      </rPr>
      <t xml:space="preserve">period Linear Regression Trendline. The Linear Regression Indicator can be calculated in a spreadsheet using the </t>
    </r>
    <r>
      <rPr>
        <i/>
        <sz val="12"/>
        <rFont val="Times New Roman"/>
        <family val="1"/>
      </rPr>
      <t>forecast()</t>
    </r>
    <r>
      <rPr>
        <sz val="12"/>
        <rFont val="Times New Roman"/>
        <family val="1"/>
      </rPr>
      <t xml:space="preserve"> function </t>
    </r>
  </si>
  <si>
    <t>The formula for Standard Error is:</t>
  </si>
  <si>
    <t>The value in Cell D59 assembles all of the pieces calculated above into the formula for Standard Error</t>
  </si>
  <si>
    <t>Standard Error calculation (not part of the Linear Regression Trendline calculation)</t>
  </si>
  <si>
    <t>The formula for r-squared is:</t>
  </si>
  <si>
    <t>The values in the box below assemble the appropriate pieces from the calculations above into the r-squared formula</t>
  </si>
  <si>
    <t>&lt;===== this line is summations, see the mathematical representation directly below</t>
  </si>
  <si>
    <t>The values in the box below assemble the pieces of the Linear Regression Trendline formula above.</t>
  </si>
  <si>
    <t>&lt;===== this line is the square of two of the summations in line 29</t>
  </si>
  <si>
    <t>Following is the formula for Linear Regression Slope:</t>
  </si>
  <si>
    <t>The calculation of the MFI is the high minus the low, divided by the volume.</t>
  </si>
  <si>
    <t>Following is the calculation of the Mass Index:</t>
  </si>
  <si>
    <t>Note that the 9s in the above formula are constants, whereas the “n” is specified by the person calculating the Mass Index (e.g., 3 in the following example).</t>
  </si>
  <si>
    <t>Column E is a 9-day exponential moving average of Column D. The first row of Column E is seeded with the first value in Column D (i.e., 0.375). Subsequent rows in Column E are calculated by multiplying the value in Column D by 0.2, then multiplying the previous day’s value in Column E by 0.8, and finally adding these two values together. (The value 0.2 was calculated as “2 / (9+1). The value 0.8 was calculated as “1 – 0.2” ) Note that this 9-period moving average is not valid until the ninth day.</t>
  </si>
  <si>
    <t>The MSR is calculated by dividing the number of Member shorts (defined as total short sales minus public short sales) by the total number of short sales. The resulting figure shows the percentage of shorts that were made by Members of the New York Stock Exchange.</t>
  </si>
  <si>
    <t>Advance/Decline Ratio</t>
  </si>
  <si>
    <t>Column M</t>
  </si>
  <si>
    <t>Time Periods = 14/Volatility Index  (remove everything after decimal)</t>
  </si>
  <si>
    <t>DMI = the Relative Strength Index, using the number of time periods as described below</t>
  </si>
  <si>
    <t>Klinger Oscillator</t>
  </si>
  <si>
    <t>Parabolic SAR</t>
  </si>
  <si>
    <t>See Linear Regression Trendline</t>
  </si>
  <si>
    <t>See the Linear Regression Line page for a complete description of the regression calculation.</t>
  </si>
  <si>
    <t>This page uses the built-in Excel function FORECAST to calculate the Linear Regression Indicator</t>
  </si>
  <si>
    <t>y = The data series (e.g., the closing prices)</t>
  </si>
  <si>
    <t>Excel TREND()</t>
  </si>
  <si>
    <t>Col B squared (y squared)</t>
  </si>
  <si>
    <t>Col A squared (x squared)</t>
  </si>
  <si>
    <t xml:space="preserve">Col A multiplied by Col B (x * y) </t>
  </si>
  <si>
    <t>There are three ways you can calculate Slope:</t>
  </si>
  <si>
    <t>exponential percentage = 2 / (number of periods + 1)</t>
  </si>
  <si>
    <t>Exponential moving averages are calculated by adding a percentage of today’s price to a percentage of the previous day’s exponential moving average. The percentages are determined from the number of periods (e.g., days) using the following formula:</t>
  </si>
  <si>
    <t>Given this formula, the percentage for a 12-day exponential moving average is 15.3846 percent and the percentage for a 26-day moving average is 7.4074 percent (these numbers actually have more digits, but I truncated them at 4 decimal places in this sentence). However, Appel originally defined the MACD as 15 percent and 7.5 percent exponential moving averages—slightly different from the percentage calculated using the above formula. Yes, the numbers are extremely close to those obtained by subtracting a 26-day exponential moving average from a 12-day exponential moving average, but the true MACD is calculated by subtracting a 15 percent exponential moving average from a 7.5 percent exponential moving average, which is the calculation below.</t>
  </si>
  <si>
    <t>The calculation of the MACD is usually described as “subtracting the value of a 26-day exponential moving average from a 12-day exponential moving average.” That description is very close and it is how I usually describe the calculation of the MACD, but it isn’t precise.</t>
  </si>
  <si>
    <t>Column E is the value in Column C minus the value in Column D. This calculation does not begin until both moving averages are valid (i.e., the twenty-sixth day).</t>
  </si>
  <si>
    <t>The center line of the Standard Error Channel is a Linear Regression Trendline. The upper channel is calculated by adding the requested number of Standard Errors to the Linear Regression Trendline. The lower channel is calculated by subtracting the requested number of Standard Errors from the Linear Regression Trendline.</t>
  </si>
  <si>
    <t>STIX = (A/D Ratio * 0.09) + (Yesterday’s STIX * 0.91)</t>
  </si>
  <si>
    <t>STIX is a 21-period (i.e., 9-percent) exponential moving average of the above Advance/Decline Ratio:</t>
  </si>
  <si>
    <t>STIX is based on a variation of the Advance/Decline Ratio. Following is the Advance/Decline Ratio:</t>
  </si>
  <si>
    <t>Column D adds the Advancing Issues (Column B) and Declining Issues (Column C).</t>
  </si>
  <si>
    <t>Column E divides the number of Advancing Issues (Column B) by Column D. This value is then multiplied by 100 to create the Advance/Decline Ratio.</t>
  </si>
  <si>
    <t>Column F is a 9-percent exponential moving average of Column E. The first row of Column F is seeded with the first value in Column E (i.e., 32.191). Subsequent rows in Column F are calculated by multiplying the value in Column E by 0.9, then multiplying the previous day’s value in Column F by 0.91, and finally adding these two values together.</t>
  </si>
  <si>
    <t>The value 0.9 was specified by the author of STIX. The value 0.91 was calculated as “1 – 0.9”.  Note that this “21-period” moving average is not valid until the twenty-first day.</t>
  </si>
  <si>
    <t>Advancing plus Declining Issues</t>
  </si>
  <si>
    <t>Col B / Col D times 100</t>
  </si>
  <si>
    <t>0.9 Exponential Average</t>
  </si>
  <si>
    <t>Column E contains the highest high in the last n periods</t>
  </si>
  <si>
    <t>Column F contains the lowest low in the last n periods</t>
  </si>
  <si>
    <t>Column G adds the highest high (Column E) to the lowest low (Column F) over the desired time period, and divides by 2 to get the Midpoint.</t>
  </si>
  <si>
    <r>
      <t xml:space="preserve">Column H subtracts the midpoint in Column G from the close, which gives you the distance of the close relative to the midpoint of the </t>
    </r>
    <r>
      <rPr>
        <i/>
        <sz val="12"/>
        <rFont val="Times New Roman"/>
        <family val="1"/>
      </rPr>
      <t>n</t>
    </r>
    <r>
      <rPr>
        <sz val="12"/>
        <rFont val="Times New Roman"/>
        <family val="1"/>
      </rPr>
      <t>-period high/low range.</t>
    </r>
  </si>
  <si>
    <t>Column I calculates an exponential moving average of the value obtained in Column H</t>
  </si>
  <si>
    <t>Column J calculates an exponential moving average of the value obtained in Column I.</t>
  </si>
  <si>
    <t>Column L calculates an exponential moving average of the value obtained in Column K (use the same number of periods as used in Column I).</t>
  </si>
  <si>
    <t>Column C is a 15 percent exponential moving average of the close. Briefly, the first row of Column C is seeded with the closing value (i.e., 63.750). Subsequent rows in Column C are calculated by multiplying the close by 0.15, then multiplying the previous day’s value in Column C by 0.85, and finally adding these two values together. (The value 0.85 was calculated as “1.0 – 0.15” .) Note that this “12-period” moving average is not valid until the twelfth day (i.e., 08/17/93).</t>
  </si>
  <si>
    <t>Columns E, F, and G are straightforward calculations as explained in the column headings.</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</si>
</sst>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4" formatCode="_(&quot;$&quot;* #,##0.00_);_(&quot;$&quot;* \(#,##0.00\);_(&quot;$&quot;* &quot;-&quot;??_);_(@_)"/>
    <numFmt numFmtId="43" formatCode="_(* #,##0.00_);_(* \(#,##0.00\);_(* &quot;-&quot;??_);_(@_)"/>
    <numFmt numFmtId="164" formatCode="0.0"/>
    <numFmt numFmtId="165" formatCode="0.000"/>
    <numFmt numFmtId="166" formatCode="0.00000"/>
    <numFmt numFmtId="167" formatCode="0.0000"/>
    <numFmt numFmtId="169" formatCode="mm/dd/yy"/>
    <numFmt numFmtId="170" formatCode="_(* #,##0.000_);_(* \(#,##0.000\);_(* &quot;-&quot;??_);_(@_)"/>
    <numFmt numFmtId="171" formatCode="_(* #,##0.0000_);_(* \(#,##0.0000\);_(* &quot;-&quot;??_);_(@_)"/>
    <numFmt numFmtId="178" formatCode="_(* #,##0_);_(* \(#,##0\);_(* &quot;-&quot;??_);_(@_)"/>
    <numFmt numFmtId="179" formatCode="_(* #,##0.00000_);_(* \(#,##0.00000\);_(* &quot;-&quot;??_);_(@_)"/>
    <numFmt numFmtId="182" formatCode="_(* #,##0.00000000_);_(* \(#,##0.00000000\);_(* &quot;-&quot;??_);_(@_)"/>
    <numFmt numFmtId="184" formatCode="_(&quot;$&quot;* #,##0.0000_);_(&quot;$&quot;* \(#,##0.0000\);_(&quot;$&quot;* &quot;-&quot;??_);_(@_)"/>
    <numFmt numFmtId="198" formatCode="mm/dd/yyyy"/>
    <numFmt numFmtId="201" formatCode="#,##0.0"/>
    <numFmt numFmtId="202" formatCode="#,##0.000"/>
    <numFmt numFmtId="203" formatCode="#,##0.0000"/>
    <numFmt numFmtId="204" formatCode="#,##0.0000_);\(#,##0.0000\)"/>
  </numFmts>
  <fonts count="31" x14ac:knownFonts="1">
    <font>
      <sz val="10"/>
      <name val="Arial"/>
    </font>
    <font>
      <b/>
      <sz val="10"/>
      <name val="Arial"/>
    </font>
    <font>
      <i/>
      <sz val="10"/>
      <name val="Arial"/>
    </font>
    <font>
      <sz val="10"/>
      <name val="Arial"/>
    </font>
    <font>
      <sz val="16"/>
      <name val="Arial"/>
      <family val="2"/>
    </font>
    <font>
      <b/>
      <sz val="10"/>
      <name val="Arial"/>
      <family val="2"/>
    </font>
    <font>
      <sz val="10"/>
      <color indexed="55"/>
      <name val="Arial"/>
      <family val="2"/>
    </font>
    <font>
      <sz val="10"/>
      <name val="Arial"/>
      <family val="2"/>
    </font>
    <font>
      <u/>
      <sz val="10"/>
      <color indexed="12"/>
      <name val="Arial"/>
    </font>
    <font>
      <b/>
      <sz val="10"/>
      <color indexed="9"/>
      <name val="Arial"/>
      <family val="2"/>
    </font>
    <font>
      <i/>
      <sz val="10"/>
      <name val="Arial"/>
      <family val="2"/>
    </font>
    <font>
      <sz val="12"/>
      <name val="Times New Roman"/>
      <family val="1"/>
    </font>
    <font>
      <sz val="12"/>
      <name val="Symbol"/>
      <family val="1"/>
    </font>
    <font>
      <sz val="10"/>
      <name val="Times New Roman"/>
      <family val="1"/>
    </font>
    <font>
      <sz val="12"/>
      <name val="Arial"/>
    </font>
    <font>
      <i/>
      <sz val="12"/>
      <name val="Times New Roman"/>
      <family val="1"/>
    </font>
    <font>
      <sz val="10"/>
      <color indexed="22"/>
      <name val="Arial"/>
      <family val="2"/>
    </font>
    <font>
      <b/>
      <sz val="24"/>
      <name val="Arial"/>
      <family val="2"/>
    </font>
    <font>
      <b/>
      <sz val="12"/>
      <name val="Arial"/>
      <family val="2"/>
    </font>
    <font>
      <sz val="12"/>
      <name val="Arial"/>
      <family val="2"/>
    </font>
    <font>
      <u/>
      <sz val="12"/>
      <color indexed="12"/>
      <name val="Arial"/>
      <family val="2"/>
    </font>
    <font>
      <sz val="10"/>
      <color indexed="8"/>
      <name val="Arial"/>
      <family val="2"/>
    </font>
    <font>
      <b/>
      <sz val="18"/>
      <name val="Arial"/>
      <family val="2"/>
    </font>
    <font>
      <i/>
      <vertAlign val="subscript"/>
      <sz val="12"/>
      <name val="Times New Roman"/>
      <family val="1"/>
    </font>
    <font>
      <vertAlign val="subscript"/>
      <sz val="12"/>
      <name val="Times New Roman"/>
      <family val="1"/>
    </font>
    <font>
      <b/>
      <u/>
      <sz val="18"/>
      <color indexed="21"/>
      <name val="Arial"/>
      <family val="2"/>
    </font>
    <font>
      <sz val="10"/>
      <color indexed="23"/>
      <name val="Arial"/>
      <family val="2"/>
    </font>
    <font>
      <i/>
      <sz val="10"/>
      <name val="Times New Roman"/>
      <family val="1"/>
    </font>
    <font>
      <b/>
      <sz val="12"/>
      <name val="Times New Roman"/>
      <family val="1"/>
    </font>
    <font>
      <i/>
      <vertAlign val="superscript"/>
      <sz val="12"/>
      <name val="Times New Roman"/>
      <family val="1"/>
    </font>
    <font>
      <b/>
      <sz val="10"/>
      <color indexed="10"/>
      <name val="Arial"/>
      <family val="2"/>
    </font>
  </fonts>
  <fills count="8">
    <fill>
      <patternFill patternType="none"/>
    </fill>
    <fill>
      <patternFill patternType="gray125"/>
    </fill>
    <fill>
      <patternFill patternType="solid">
        <fgColor indexed="42"/>
        <bgColor indexed="64"/>
      </patternFill>
    </fill>
    <fill>
      <patternFill patternType="solid">
        <fgColor indexed="38"/>
        <bgColor indexed="64"/>
      </patternFill>
    </fill>
    <fill>
      <patternFill patternType="solid">
        <fgColor indexed="9"/>
        <bgColor indexed="64"/>
      </patternFill>
    </fill>
    <fill>
      <patternFill patternType="solid">
        <fgColor indexed="21"/>
        <bgColor indexed="64"/>
      </patternFill>
    </fill>
    <fill>
      <patternFill patternType="solid">
        <fgColor indexed="43"/>
        <bgColor indexed="64"/>
      </patternFill>
    </fill>
    <fill>
      <patternFill patternType="solid">
        <fgColor indexed="22"/>
        <bgColor indexed="64"/>
      </patternFill>
    </fill>
  </fills>
  <borders count="37">
    <border>
      <left/>
      <right/>
      <top/>
      <bottom/>
      <diagonal/>
    </border>
    <border>
      <left/>
      <right/>
      <top/>
      <bottom style="thin">
        <color auto="1"/>
      </bottom>
      <diagonal/>
    </border>
    <border>
      <left/>
      <right style="thin">
        <color indexed="22"/>
      </right>
      <top/>
      <bottom/>
      <diagonal/>
    </border>
    <border>
      <left style="thin">
        <color indexed="22"/>
      </left>
      <right style="thin">
        <color indexed="22"/>
      </right>
      <top/>
      <bottom/>
      <diagonal/>
    </border>
    <border>
      <left style="thin">
        <color indexed="22"/>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right/>
      <top style="thin">
        <color auto="1"/>
      </top>
      <bottom style="double">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indexed="22"/>
      </left>
      <right/>
      <top style="thin">
        <color auto="1"/>
      </top>
      <bottom style="double">
        <color auto="1"/>
      </bottom>
      <diagonal/>
    </border>
    <border>
      <left style="thin">
        <color indexed="22"/>
      </left>
      <right style="thin">
        <color indexed="22"/>
      </right>
      <top style="thin">
        <color auto="1"/>
      </top>
      <bottom style="double">
        <color auto="1"/>
      </bottom>
      <diagonal/>
    </border>
    <border>
      <left/>
      <right style="medium">
        <color auto="1"/>
      </right>
      <top style="thin">
        <color auto="1"/>
      </top>
      <bottom style="double">
        <color auto="1"/>
      </bottom>
      <diagonal/>
    </border>
    <border>
      <left/>
      <right/>
      <top/>
      <bottom style="double">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indexed="22"/>
      </left>
      <right style="medium">
        <color auto="1"/>
      </right>
      <top style="medium">
        <color auto="1"/>
      </top>
      <bottom/>
      <diagonal/>
    </border>
    <border>
      <left style="medium">
        <color auto="1"/>
      </left>
      <right style="thin">
        <color indexed="22"/>
      </right>
      <top/>
      <bottom/>
      <diagonal/>
    </border>
    <border>
      <left style="thin">
        <color indexed="22"/>
      </left>
      <right style="medium">
        <color auto="1"/>
      </right>
      <top/>
      <bottom/>
      <diagonal/>
    </border>
    <border>
      <left style="medium">
        <color auto="1"/>
      </left>
      <right style="thin">
        <color indexed="22"/>
      </right>
      <top/>
      <bottom style="medium">
        <color auto="1"/>
      </bottom>
      <diagonal/>
    </border>
    <border>
      <left style="medium">
        <color auto="1"/>
      </left>
      <right style="thin">
        <color indexed="22"/>
      </right>
      <top style="medium">
        <color auto="1"/>
      </top>
      <bottom/>
      <diagonal/>
    </border>
    <border>
      <left style="thin">
        <color indexed="22"/>
      </left>
      <right style="thin">
        <color indexed="22"/>
      </right>
      <top style="medium">
        <color auto="1"/>
      </top>
      <bottom/>
      <diagonal/>
    </border>
    <border>
      <left style="thin">
        <color indexed="22"/>
      </left>
      <right style="thin">
        <color indexed="22"/>
      </right>
      <top/>
      <bottom style="medium">
        <color auto="1"/>
      </bottom>
      <diagonal/>
    </border>
    <border>
      <left style="thin">
        <color indexed="22"/>
      </left>
      <right style="medium">
        <color auto="1"/>
      </right>
      <top/>
      <bottom style="medium">
        <color auto="1"/>
      </bottom>
      <diagonal/>
    </border>
    <border>
      <left/>
      <right style="thin">
        <color indexed="22"/>
      </right>
      <top style="medium">
        <color auto="1"/>
      </top>
      <bottom style="medium">
        <color auto="1"/>
      </bottom>
      <diagonal/>
    </border>
    <border>
      <left style="thin">
        <color indexed="22"/>
      </left>
      <right style="thin">
        <color indexed="22"/>
      </right>
      <top style="medium">
        <color auto="1"/>
      </top>
      <bottom style="medium">
        <color auto="1"/>
      </bottom>
      <diagonal/>
    </border>
    <border>
      <left style="thin">
        <color indexed="22"/>
      </left>
      <right/>
      <top style="medium">
        <color auto="1"/>
      </top>
      <bottom style="medium">
        <color auto="1"/>
      </bottom>
      <diagonal/>
    </border>
    <border>
      <left style="medium">
        <color auto="1"/>
      </left>
      <right style="thin">
        <color indexed="22"/>
      </right>
      <top style="medium">
        <color auto="1"/>
      </top>
      <bottom style="medium">
        <color auto="1"/>
      </bottom>
      <diagonal/>
    </border>
  </borders>
  <cellStyleXfs count="7">
    <xf numFmtId="0" fontId="0" fillId="0" borderId="0"/>
    <xf numFmtId="43" fontId="3" fillId="0" borderId="0" applyFont="0" applyFill="0" applyBorder="0" applyAlignment="0" applyProtection="0"/>
    <xf numFmtId="44" fontId="3" fillId="0" borderId="0" applyFont="0" applyFill="0" applyBorder="0" applyAlignment="0" applyProtection="0"/>
    <xf numFmtId="0" fontId="8" fillId="0" borderId="0" applyNumberFormat="0" applyFill="0" applyBorder="0" applyAlignment="0" applyProtection="0">
      <alignment vertical="top"/>
      <protection locked="0"/>
    </xf>
    <xf numFmtId="9" fontId="3" fillId="0" borderId="0" applyFont="0" applyFill="0" applyBorder="0" applyAlignment="0" applyProtection="0"/>
    <xf numFmtId="0" fontId="3" fillId="2" borderId="0">
      <alignment horizontal="right"/>
    </xf>
    <xf numFmtId="0" fontId="9" fillId="3" borderId="0">
      <alignment horizontal="center" wrapText="1"/>
    </xf>
  </cellStyleXfs>
  <cellXfs count="470">
    <xf numFmtId="0" fontId="0" fillId="0" borderId="0" xfId="0"/>
    <xf numFmtId="0" fontId="0" fillId="0" borderId="0" xfId="0" applyAlignment="1">
      <alignment wrapText="1"/>
    </xf>
    <xf numFmtId="14" fontId="0" fillId="0" borderId="0" xfId="0" applyNumberFormat="1"/>
    <xf numFmtId="166" fontId="0" fillId="0" borderId="0" xfId="0" applyNumberFormat="1"/>
    <xf numFmtId="167" fontId="0" fillId="0" borderId="0" xfId="0" applyNumberFormat="1"/>
    <xf numFmtId="1" fontId="0" fillId="0" borderId="0" xfId="0" applyNumberFormat="1"/>
    <xf numFmtId="167" fontId="0" fillId="0" borderId="0" xfId="0" applyNumberFormat="1" applyAlignment="1">
      <alignment wrapText="1"/>
    </xf>
    <xf numFmtId="0" fontId="0" fillId="0" borderId="0" xfId="0" applyAlignment="1">
      <alignment horizontal="center" wrapText="1"/>
    </xf>
    <xf numFmtId="22" fontId="0" fillId="0" borderId="0" xfId="0" applyNumberFormat="1"/>
    <xf numFmtId="171" fontId="0" fillId="0" borderId="0" xfId="1" applyNumberFormat="1" applyFont="1"/>
    <xf numFmtId="167" fontId="0" fillId="0" borderId="0" xfId="1" applyNumberFormat="1" applyFont="1"/>
    <xf numFmtId="0" fontId="5" fillId="0" borderId="0" xfId="0" applyFont="1" applyAlignment="1">
      <alignment horizontal="center" wrapText="1"/>
    </xf>
    <xf numFmtId="0" fontId="5" fillId="0" borderId="1" xfId="0" applyFont="1" applyBorder="1" applyAlignment="1">
      <alignment horizontal="center" wrapText="1"/>
    </xf>
    <xf numFmtId="0" fontId="1" fillId="0" borderId="0" xfId="0" applyFont="1" applyAlignment="1">
      <alignment wrapText="1"/>
    </xf>
    <xf numFmtId="0" fontId="5" fillId="0" borderId="0" xfId="0" applyFont="1" applyBorder="1" applyAlignment="1">
      <alignment horizontal="center"/>
    </xf>
    <xf numFmtId="179" fontId="0" fillId="0" borderId="0" xfId="1" applyNumberFormat="1" applyFont="1"/>
    <xf numFmtId="178" fontId="0" fillId="0" borderId="0" xfId="1" applyNumberFormat="1" applyFont="1"/>
    <xf numFmtId="0" fontId="1" fillId="0" borderId="0" xfId="0" applyFont="1" applyBorder="1" applyAlignment="1">
      <alignment horizontal="center" wrapText="1"/>
    </xf>
    <xf numFmtId="0" fontId="5" fillId="0" borderId="0" xfId="0" applyFont="1" applyBorder="1" applyAlignment="1">
      <alignment horizontal="center" wrapText="1"/>
    </xf>
    <xf numFmtId="0" fontId="0" fillId="2" borderId="0" xfId="0" applyFill="1" applyAlignment="1">
      <alignment horizontal="right"/>
    </xf>
    <xf numFmtId="0" fontId="5" fillId="2" borderId="0" xfId="0" applyFont="1" applyFill="1"/>
    <xf numFmtId="0" fontId="0" fillId="2" borderId="0" xfId="0" applyFill="1"/>
    <xf numFmtId="0" fontId="9" fillId="3" borderId="0" xfId="6">
      <alignment horizontal="center" wrapText="1"/>
    </xf>
    <xf numFmtId="0" fontId="9" fillId="3" borderId="0" xfId="6" applyAlignment="1">
      <alignment horizontal="center" wrapText="1"/>
    </xf>
    <xf numFmtId="0" fontId="3" fillId="2" borderId="0" xfId="5">
      <alignment horizontal="right"/>
    </xf>
    <xf numFmtId="169" fontId="0" fillId="0" borderId="0" xfId="0" applyNumberFormat="1"/>
    <xf numFmtId="169" fontId="0" fillId="2" borderId="2" xfId="0" applyNumberFormat="1" applyFill="1" applyBorder="1"/>
    <xf numFmtId="169" fontId="0" fillId="4" borderId="2" xfId="0" applyNumberFormat="1" applyFill="1" applyBorder="1"/>
    <xf numFmtId="0" fontId="0" fillId="2" borderId="3" xfId="0" applyFill="1" applyBorder="1"/>
    <xf numFmtId="0" fontId="0" fillId="4" borderId="3" xfId="0" applyFill="1" applyBorder="1"/>
    <xf numFmtId="0" fontId="0" fillId="0" borderId="0" xfId="0" applyFill="1"/>
    <xf numFmtId="0" fontId="9" fillId="3" borderId="0" xfId="6" applyFont="1">
      <alignment horizontal="center" wrapText="1"/>
    </xf>
    <xf numFmtId="170" fontId="0" fillId="0" borderId="0" xfId="1" applyNumberFormat="1" applyFont="1"/>
    <xf numFmtId="0" fontId="5" fillId="2" borderId="0" xfId="5" applyFont="1" applyAlignment="1">
      <alignment horizontal="left"/>
    </xf>
    <xf numFmtId="169" fontId="3" fillId="2" borderId="2" xfId="5" applyNumberFormat="1" applyBorder="1">
      <alignment horizontal="right"/>
    </xf>
    <xf numFmtId="165" fontId="3" fillId="2" borderId="3" xfId="5" applyNumberFormat="1" applyBorder="1">
      <alignment horizontal="right"/>
    </xf>
    <xf numFmtId="1" fontId="3" fillId="2" borderId="3" xfId="5" applyNumberFormat="1" applyBorder="1">
      <alignment horizontal="right"/>
    </xf>
    <xf numFmtId="165" fontId="0" fillId="4" borderId="3" xfId="2" applyNumberFormat="1" applyFont="1" applyFill="1" applyBorder="1"/>
    <xf numFmtId="1" fontId="0" fillId="4" borderId="3" xfId="1" applyNumberFormat="1" applyFont="1" applyFill="1" applyBorder="1"/>
    <xf numFmtId="0" fontId="3" fillId="2" borderId="0" xfId="5" applyFill="1">
      <alignment horizontal="right"/>
    </xf>
    <xf numFmtId="169" fontId="7" fillId="2" borderId="2" xfId="0" applyNumberFormat="1" applyFont="1" applyFill="1" applyBorder="1"/>
    <xf numFmtId="165" fontId="0" fillId="2" borderId="3" xfId="0" applyNumberFormat="1" applyFill="1" applyBorder="1"/>
    <xf numFmtId="1" fontId="0" fillId="2" borderId="3" xfId="0" applyNumberFormat="1" applyFill="1" applyBorder="1" applyAlignment="1">
      <alignment horizontal="center"/>
    </xf>
    <xf numFmtId="2" fontId="0" fillId="2" borderId="3" xfId="0" applyNumberFormat="1" applyFill="1" applyBorder="1"/>
    <xf numFmtId="169" fontId="7" fillId="4" borderId="2" xfId="0" applyNumberFormat="1" applyFont="1" applyFill="1" applyBorder="1"/>
    <xf numFmtId="165" fontId="0" fillId="4" borderId="3" xfId="0" applyNumberFormat="1" applyFill="1" applyBorder="1"/>
    <xf numFmtId="1" fontId="0" fillId="4" borderId="3" xfId="0" applyNumberFormat="1" applyFill="1" applyBorder="1" applyAlignment="1">
      <alignment horizontal="center"/>
    </xf>
    <xf numFmtId="2" fontId="0" fillId="4" borderId="3" xfId="0" applyNumberFormat="1" applyFill="1" applyBorder="1"/>
    <xf numFmtId="0" fontId="3" fillId="2" borderId="0" xfId="5" applyAlignment="1">
      <alignment horizontal="right" vertical="top"/>
    </xf>
    <xf numFmtId="0" fontId="3" fillId="0" borderId="0" xfId="5" applyFill="1">
      <alignment horizontal="right"/>
    </xf>
    <xf numFmtId="0" fontId="5" fillId="0" borderId="0" xfId="5" applyFont="1" applyFill="1" applyAlignment="1">
      <alignment horizontal="left"/>
    </xf>
    <xf numFmtId="0" fontId="3" fillId="0" borderId="0" xfId="5" applyFill="1" applyAlignment="1">
      <alignment horizontal="right" vertical="top"/>
    </xf>
    <xf numFmtId="167" fontId="0" fillId="2" borderId="3" xfId="0" applyNumberFormat="1" applyFill="1" applyBorder="1"/>
    <xf numFmtId="1" fontId="0" fillId="2" borderId="3" xfId="0" applyNumberFormat="1" applyFill="1" applyBorder="1"/>
    <xf numFmtId="0" fontId="0" fillId="2" borderId="4" xfId="0" applyFill="1" applyBorder="1"/>
    <xf numFmtId="167" fontId="0" fillId="4" borderId="3" xfId="0" applyNumberFormat="1" applyFill="1" applyBorder="1"/>
    <xf numFmtId="1" fontId="0" fillId="4" borderId="3" xfId="0" applyNumberFormat="1" applyFill="1" applyBorder="1"/>
    <xf numFmtId="0" fontId="0" fillId="4" borderId="4" xfId="0" applyFill="1" applyBorder="1"/>
    <xf numFmtId="166" fontId="0" fillId="2" borderId="4" xfId="0" applyNumberFormat="1" applyFill="1" applyBorder="1"/>
    <xf numFmtId="166" fontId="0" fillId="4" borderId="4" xfId="0" applyNumberFormat="1" applyFill="1" applyBorder="1"/>
    <xf numFmtId="0" fontId="3" fillId="2" borderId="0" xfId="5" applyFont="1" applyAlignment="1">
      <alignment horizontal="right" vertical="top"/>
    </xf>
    <xf numFmtId="0" fontId="5" fillId="2" borderId="0" xfId="0" applyFont="1" applyFill="1" applyAlignment="1">
      <alignment horizontal="left"/>
    </xf>
    <xf numFmtId="0" fontId="5" fillId="2" borderId="0" xfId="5" applyFont="1" applyFill="1" applyAlignment="1">
      <alignment horizontal="left"/>
    </xf>
    <xf numFmtId="0" fontId="4" fillId="2" borderId="0" xfId="0" applyFont="1" applyFill="1"/>
    <xf numFmtId="167" fontId="0" fillId="2" borderId="4" xfId="0" applyNumberFormat="1" applyFill="1" applyBorder="1"/>
    <xf numFmtId="167" fontId="0" fillId="4" borderId="4" xfId="0" applyNumberFormat="1" applyFill="1" applyBorder="1"/>
    <xf numFmtId="0" fontId="3" fillId="2" borderId="0" xfId="5" applyFont="1" applyFill="1" applyAlignment="1">
      <alignment horizontal="right" vertical="top"/>
    </xf>
    <xf numFmtId="0" fontId="0" fillId="0" borderId="0" xfId="0" applyFill="1" applyAlignment="1"/>
    <xf numFmtId="14" fontId="0" fillId="4" borderId="2" xfId="0" applyNumberFormat="1" applyFill="1" applyBorder="1"/>
    <xf numFmtId="14" fontId="0" fillId="2" borderId="2" xfId="0" applyNumberFormat="1" applyFill="1" applyBorder="1"/>
    <xf numFmtId="0" fontId="0" fillId="2" borderId="2" xfId="0" applyFill="1" applyBorder="1"/>
    <xf numFmtId="0" fontId="0" fillId="4" borderId="2" xfId="0" applyFill="1" applyBorder="1"/>
    <xf numFmtId="14" fontId="0" fillId="2" borderId="3" xfId="0" applyNumberFormat="1" applyFill="1" applyBorder="1"/>
    <xf numFmtId="14" fontId="0" fillId="4" borderId="3" xfId="0" applyNumberFormat="1" applyFill="1" applyBorder="1"/>
    <xf numFmtId="22" fontId="0" fillId="2" borderId="0" xfId="0" applyNumberFormat="1" applyFill="1"/>
    <xf numFmtId="167" fontId="6" fillId="2" borderId="3" xfId="0" applyNumberFormat="1" applyFont="1" applyFill="1" applyBorder="1"/>
    <xf numFmtId="167" fontId="6" fillId="4" borderId="3" xfId="0" applyNumberFormat="1" applyFont="1" applyFill="1" applyBorder="1"/>
    <xf numFmtId="178" fontId="0" fillId="2" borderId="3" xfId="1" applyNumberFormat="1" applyFont="1" applyFill="1" applyBorder="1"/>
    <xf numFmtId="178" fontId="0" fillId="2" borderId="3" xfId="0" applyNumberFormat="1" applyFill="1" applyBorder="1"/>
    <xf numFmtId="178" fontId="0" fillId="4" borderId="3" xfId="1" applyNumberFormat="1" applyFont="1" applyFill="1" applyBorder="1"/>
    <xf numFmtId="178" fontId="0" fillId="4" borderId="3" xfId="0" applyNumberFormat="1" applyFill="1" applyBorder="1"/>
    <xf numFmtId="0" fontId="1" fillId="2" borderId="0" xfId="0" applyFont="1" applyFill="1"/>
    <xf numFmtId="1" fontId="0" fillId="2" borderId="2" xfId="0" applyNumberFormat="1" applyFill="1" applyBorder="1"/>
    <xf numFmtId="1" fontId="0" fillId="4" borderId="2" xfId="0" applyNumberFormat="1" applyFill="1" applyBorder="1"/>
    <xf numFmtId="0" fontId="1" fillId="4" borderId="3" xfId="0" applyFont="1" applyFill="1" applyBorder="1"/>
    <xf numFmtId="167" fontId="3" fillId="2" borderId="3" xfId="0" applyNumberFormat="1" applyFont="1" applyFill="1" applyBorder="1"/>
    <xf numFmtId="165" fontId="7" fillId="2" borderId="3" xfId="0" applyNumberFormat="1" applyFont="1" applyFill="1" applyBorder="1"/>
    <xf numFmtId="165" fontId="7" fillId="4" borderId="3" xfId="0" applyNumberFormat="1" applyFont="1" applyFill="1" applyBorder="1"/>
    <xf numFmtId="2" fontId="6" fillId="2" borderId="3" xfId="0" applyNumberFormat="1" applyFont="1" applyFill="1" applyBorder="1"/>
    <xf numFmtId="2" fontId="6" fillId="4" borderId="3" xfId="0" applyNumberFormat="1" applyFont="1" applyFill="1" applyBorder="1"/>
    <xf numFmtId="164" fontId="0" fillId="4" borderId="3" xfId="0" applyNumberFormat="1" applyFill="1" applyBorder="1"/>
    <xf numFmtId="164" fontId="0" fillId="2" borderId="3" xfId="0" applyNumberFormat="1" applyFill="1" applyBorder="1"/>
    <xf numFmtId="22" fontId="0" fillId="2" borderId="3" xfId="0" applyNumberFormat="1" applyFill="1" applyBorder="1"/>
    <xf numFmtId="22" fontId="0" fillId="4" borderId="3" xfId="0" applyNumberFormat="1" applyFill="1" applyBorder="1"/>
    <xf numFmtId="10" fontId="0" fillId="2" borderId="3" xfId="4" applyNumberFormat="1" applyFont="1" applyFill="1" applyBorder="1"/>
    <xf numFmtId="10" fontId="0" fillId="4" borderId="3" xfId="4" applyNumberFormat="1" applyFont="1" applyFill="1" applyBorder="1"/>
    <xf numFmtId="0" fontId="1" fillId="2" borderId="0" xfId="0" applyFont="1" applyFill="1" applyAlignment="1">
      <alignment horizontal="center" wrapText="1"/>
    </xf>
    <xf numFmtId="22" fontId="0" fillId="2" borderId="0" xfId="0" applyNumberFormat="1" applyFill="1" applyAlignment="1">
      <alignment wrapText="1"/>
    </xf>
    <xf numFmtId="0" fontId="0" fillId="2" borderId="0" xfId="0" applyFill="1" applyAlignment="1">
      <alignment wrapText="1"/>
    </xf>
    <xf numFmtId="167" fontId="0" fillId="4" borderId="3" xfId="1" applyNumberFormat="1" applyFont="1" applyFill="1" applyBorder="1"/>
    <xf numFmtId="167" fontId="0" fillId="2" borderId="3" xfId="1" applyNumberFormat="1" applyFont="1" applyFill="1" applyBorder="1"/>
    <xf numFmtId="0" fontId="9" fillId="2" borderId="3" xfId="6" applyFill="1" applyBorder="1">
      <alignment horizontal="center" wrapText="1"/>
    </xf>
    <xf numFmtId="0" fontId="9" fillId="2" borderId="4" xfId="6" applyFill="1" applyBorder="1">
      <alignment horizontal="center" wrapText="1"/>
    </xf>
    <xf numFmtId="178" fontId="0" fillId="2" borderId="2" xfId="1" applyNumberFormat="1" applyFont="1" applyFill="1" applyBorder="1"/>
    <xf numFmtId="178" fontId="0" fillId="4" borderId="2" xfId="1" applyNumberFormat="1" applyFont="1" applyFill="1" applyBorder="1"/>
    <xf numFmtId="169" fontId="7" fillId="2" borderId="3" xfId="6" applyNumberFormat="1" applyFont="1" applyFill="1" applyBorder="1" applyAlignment="1">
      <alignment horizontal="right" wrapText="1"/>
    </xf>
    <xf numFmtId="169" fontId="3" fillId="2" borderId="2" xfId="0" applyNumberFormat="1" applyFont="1" applyFill="1" applyBorder="1"/>
    <xf numFmtId="166" fontId="0" fillId="4" borderId="3" xfId="0" applyNumberFormat="1" applyFill="1" applyBorder="1"/>
    <xf numFmtId="166" fontId="0" fillId="2" borderId="3" xfId="0" applyNumberFormat="1" applyFill="1" applyBorder="1"/>
    <xf numFmtId="169" fontId="0" fillId="2" borderId="3" xfId="0" applyNumberFormat="1" applyFill="1" applyBorder="1"/>
    <xf numFmtId="169" fontId="0" fillId="4" borderId="3" xfId="0" applyNumberFormat="1" applyFill="1" applyBorder="1"/>
    <xf numFmtId="171" fontId="0" fillId="4" borderId="3" xfId="1" applyNumberFormat="1" applyFont="1" applyFill="1" applyBorder="1"/>
    <xf numFmtId="171" fontId="0" fillId="2" borderId="3" xfId="1" applyNumberFormat="1" applyFont="1" applyFill="1" applyBorder="1"/>
    <xf numFmtId="0" fontId="3" fillId="2" borderId="0" xfId="5" applyFill="1" applyAlignment="1">
      <alignment horizontal="right"/>
    </xf>
    <xf numFmtId="0" fontId="0" fillId="0" borderId="0" xfId="0" applyFill="1" applyBorder="1"/>
    <xf numFmtId="0" fontId="10" fillId="2" borderId="0" xfId="0" applyFont="1" applyFill="1"/>
    <xf numFmtId="0" fontId="11" fillId="0" borderId="0" xfId="0" applyFont="1" applyAlignment="1">
      <alignment horizontal="justify"/>
    </xf>
    <xf numFmtId="0" fontId="12" fillId="0" borderId="0" xfId="0" applyFont="1" applyAlignment="1">
      <alignment horizontal="left" indent="6"/>
    </xf>
    <xf numFmtId="0" fontId="0" fillId="2" borderId="0" xfId="0" applyFill="1" applyAlignment="1">
      <alignment horizontal="right" vertical="top"/>
    </xf>
    <xf numFmtId="0" fontId="0" fillId="2" borderId="0" xfId="0" applyFill="1" applyAlignment="1">
      <alignment vertical="top"/>
    </xf>
    <xf numFmtId="170" fontId="0" fillId="2" borderId="3" xfId="1" applyNumberFormat="1" applyFont="1" applyFill="1" applyBorder="1"/>
    <xf numFmtId="170" fontId="0" fillId="4" borderId="3" xfId="1" applyNumberFormat="1" applyFont="1" applyFill="1" applyBorder="1"/>
    <xf numFmtId="165" fontId="0" fillId="2" borderId="3" xfId="0" applyNumberFormat="1" applyFill="1" applyBorder="1" applyAlignment="1">
      <alignment horizontal="right"/>
    </xf>
    <xf numFmtId="165" fontId="0" fillId="4" borderId="3" xfId="0" applyNumberFormat="1" applyFill="1" applyBorder="1" applyAlignment="1">
      <alignment horizontal="right"/>
    </xf>
    <xf numFmtId="0" fontId="11" fillId="2" borderId="0" xfId="0" applyFont="1" applyFill="1" applyAlignment="1">
      <alignment horizontal="left"/>
    </xf>
    <xf numFmtId="0" fontId="14" fillId="2" borderId="0" xfId="0" applyFont="1" applyFill="1"/>
    <xf numFmtId="0" fontId="13" fillId="2" borderId="0" xfId="0" applyFont="1" applyFill="1"/>
    <xf numFmtId="0" fontId="11" fillId="2" borderId="0" xfId="0" applyFont="1" applyFill="1"/>
    <xf numFmtId="0" fontId="11" fillId="2" borderId="0" xfId="0" applyFont="1" applyFill="1" applyAlignment="1">
      <alignment horizontal="left" indent="1"/>
    </xf>
    <xf numFmtId="18" fontId="0" fillId="0" borderId="0" xfId="0" applyNumberFormat="1"/>
    <xf numFmtId="18" fontId="0" fillId="2" borderId="2" xfId="0" applyNumberFormat="1" applyFill="1" applyBorder="1"/>
    <xf numFmtId="18" fontId="0" fillId="4" borderId="2" xfId="0" applyNumberFormat="1" applyFill="1" applyBorder="1"/>
    <xf numFmtId="167" fontId="0" fillId="2" borderId="0" xfId="0" applyNumberFormat="1" applyFill="1"/>
    <xf numFmtId="167" fontId="0" fillId="2" borderId="3" xfId="0" applyNumberFormat="1" applyFill="1" applyBorder="1" applyAlignment="1">
      <alignment wrapText="1"/>
    </xf>
    <xf numFmtId="167" fontId="0" fillId="4" borderId="3" xfId="0" applyNumberFormat="1" applyFill="1" applyBorder="1" applyAlignment="1">
      <alignment wrapText="1"/>
    </xf>
    <xf numFmtId="0" fontId="11" fillId="2" borderId="0" xfId="0" applyFont="1" applyFill="1" applyAlignment="1">
      <alignment horizontal="justify"/>
    </xf>
    <xf numFmtId="0" fontId="15" fillId="2" borderId="0" xfId="0" applyFont="1" applyFill="1" applyAlignment="1">
      <alignment horizontal="justify"/>
    </xf>
    <xf numFmtId="182" fontId="0" fillId="2" borderId="3" xfId="0" applyNumberFormat="1" applyFill="1" applyBorder="1" applyAlignment="1">
      <alignment horizontal="left" indent="1"/>
    </xf>
    <xf numFmtId="169" fontId="0" fillId="0" borderId="2" xfId="0" applyNumberFormat="1" applyFill="1" applyBorder="1"/>
    <xf numFmtId="0" fontId="0" fillId="0" borderId="3" xfId="0" applyFill="1" applyBorder="1"/>
    <xf numFmtId="0" fontId="0" fillId="0" borderId="4" xfId="0" applyFill="1" applyBorder="1"/>
    <xf numFmtId="0" fontId="0" fillId="0" borderId="2" xfId="0" applyFill="1" applyBorder="1"/>
    <xf numFmtId="182" fontId="0" fillId="4" borderId="3" xfId="0" applyNumberFormat="1" applyFill="1" applyBorder="1" applyAlignment="1">
      <alignment horizontal="left" indent="1"/>
    </xf>
    <xf numFmtId="167" fontId="7" fillId="2" borderId="3" xfId="0" applyNumberFormat="1" applyFont="1" applyFill="1" applyBorder="1"/>
    <xf numFmtId="167" fontId="7" fillId="4" borderId="3" xfId="0" applyNumberFormat="1" applyFont="1" applyFill="1" applyBorder="1"/>
    <xf numFmtId="0" fontId="1" fillId="4" borderId="4" xfId="0" applyFont="1" applyFill="1" applyBorder="1"/>
    <xf numFmtId="22" fontId="0" fillId="0" borderId="0" xfId="0" applyNumberFormat="1" applyFill="1"/>
    <xf numFmtId="0" fontId="7" fillId="2" borderId="0" xfId="0" applyFont="1" applyFill="1" applyBorder="1" applyAlignment="1">
      <alignment horizontal="right"/>
    </xf>
    <xf numFmtId="0" fontId="0" fillId="5" borderId="0" xfId="0" applyFill="1"/>
    <xf numFmtId="0" fontId="15" fillId="2" borderId="0" xfId="0" applyFont="1" applyFill="1" applyAlignment="1">
      <alignment horizontal="center"/>
    </xf>
    <xf numFmtId="0" fontId="1" fillId="2" borderId="0" xfId="0" applyFont="1" applyFill="1" applyBorder="1"/>
    <xf numFmtId="0" fontId="9" fillId="5" borderId="0" xfId="0" applyFont="1" applyFill="1" applyBorder="1" applyAlignment="1">
      <alignment horizontal="center" wrapText="1"/>
    </xf>
    <xf numFmtId="0" fontId="15" fillId="2" borderId="0" xfId="0" applyFont="1" applyFill="1" applyAlignment="1">
      <alignment horizontal="left"/>
    </xf>
    <xf numFmtId="0" fontId="0" fillId="4" borderId="0" xfId="0" applyFill="1"/>
    <xf numFmtId="167" fontId="0" fillId="4" borderId="0" xfId="0" applyNumberFormat="1" applyFill="1"/>
    <xf numFmtId="0" fontId="0" fillId="2" borderId="0" xfId="0" applyFill="1" applyBorder="1"/>
    <xf numFmtId="0" fontId="7" fillId="2" borderId="0" xfId="0" applyFont="1" applyFill="1" applyAlignment="1">
      <alignment horizontal="right"/>
    </xf>
    <xf numFmtId="0" fontId="13" fillId="2" borderId="0" xfId="0" applyFont="1" applyFill="1" applyAlignment="1">
      <alignment horizontal="justify"/>
    </xf>
    <xf numFmtId="167" fontId="0" fillId="2" borderId="0" xfId="1" applyNumberFormat="1" applyFont="1" applyFill="1"/>
    <xf numFmtId="167" fontId="0" fillId="4" borderId="0" xfId="1" applyNumberFormat="1" applyFont="1" applyFill="1"/>
    <xf numFmtId="167" fontId="16" fillId="2" borderId="3" xfId="0" applyNumberFormat="1" applyFont="1" applyFill="1" applyBorder="1"/>
    <xf numFmtId="167" fontId="16" fillId="4" borderId="4" xfId="0" applyNumberFormat="1" applyFont="1" applyFill="1" applyBorder="1"/>
    <xf numFmtId="167" fontId="16" fillId="2" borderId="0" xfId="0" applyNumberFormat="1" applyFont="1" applyFill="1"/>
    <xf numFmtId="167" fontId="16" fillId="4" borderId="0" xfId="0" applyNumberFormat="1" applyFont="1" applyFill="1"/>
    <xf numFmtId="0" fontId="1" fillId="2" borderId="5" xfId="0" applyFont="1" applyFill="1" applyBorder="1" applyAlignment="1">
      <alignment wrapText="1"/>
    </xf>
    <xf numFmtId="165" fontId="0" fillId="2" borderId="6" xfId="0" applyNumberFormat="1" applyFill="1" applyBorder="1"/>
    <xf numFmtId="171" fontId="1" fillId="2" borderId="3" xfId="1" applyNumberFormat="1" applyFont="1" applyFill="1" applyBorder="1"/>
    <xf numFmtId="171" fontId="7" fillId="2" borderId="3" xfId="1" applyNumberFormat="1" applyFont="1" applyFill="1" applyBorder="1" applyAlignment="1">
      <alignment horizontal="center" wrapText="1"/>
    </xf>
    <xf numFmtId="0" fontId="0" fillId="2" borderId="7" xfId="0" applyFill="1" applyBorder="1"/>
    <xf numFmtId="2" fontId="0" fillId="2" borderId="6" xfId="0" applyNumberFormat="1" applyFill="1" applyBorder="1"/>
    <xf numFmtId="0" fontId="9" fillId="5" borderId="0" xfId="0" applyFont="1" applyFill="1" applyBorder="1" applyAlignment="1">
      <alignment horizontal="center"/>
    </xf>
    <xf numFmtId="167" fontId="0" fillId="2" borderId="4" xfId="1" applyNumberFormat="1" applyFont="1" applyFill="1" applyBorder="1"/>
    <xf numFmtId="167" fontId="0" fillId="4" borderId="4" xfId="1" applyNumberFormat="1" applyFont="1" applyFill="1" applyBorder="1"/>
    <xf numFmtId="170" fontId="0" fillId="2" borderId="4" xfId="1" applyNumberFormat="1" applyFont="1" applyFill="1" applyBorder="1"/>
    <xf numFmtId="170" fontId="0" fillId="4" borderId="4" xfId="1" applyNumberFormat="1" applyFont="1" applyFill="1" applyBorder="1"/>
    <xf numFmtId="171" fontId="9" fillId="2" borderId="3" xfId="1" applyNumberFormat="1" applyFont="1" applyFill="1" applyBorder="1" applyAlignment="1">
      <alignment horizontal="center" wrapText="1"/>
    </xf>
    <xf numFmtId="9" fontId="5" fillId="2" borderId="0" xfId="0" applyNumberFormat="1" applyFont="1" applyFill="1"/>
    <xf numFmtId="0" fontId="0" fillId="2" borderId="0" xfId="0" applyFill="1" applyAlignment="1">
      <alignment horizontal="left"/>
    </xf>
    <xf numFmtId="165" fontId="3" fillId="2" borderId="4" xfId="5" applyNumberFormat="1" applyBorder="1">
      <alignment horizontal="right"/>
    </xf>
    <xf numFmtId="165" fontId="0" fillId="4" borderId="4" xfId="1" applyNumberFormat="1" applyFont="1" applyFill="1" applyBorder="1"/>
    <xf numFmtId="1" fontId="0" fillId="2" borderId="4" xfId="0" applyNumberFormat="1" applyFill="1" applyBorder="1" applyAlignment="1">
      <alignment horizontal="center"/>
    </xf>
    <xf numFmtId="1" fontId="0" fillId="4" borderId="4" xfId="0" applyNumberFormat="1" applyFill="1" applyBorder="1" applyAlignment="1">
      <alignment horizontal="center"/>
    </xf>
    <xf numFmtId="165" fontId="0" fillId="2" borderId="4" xfId="0" applyNumberFormat="1" applyFill="1" applyBorder="1" applyAlignment="1">
      <alignment horizontal="right"/>
    </xf>
    <xf numFmtId="165" fontId="0" fillId="4" borderId="4" xfId="0" applyNumberFormat="1" applyFill="1" applyBorder="1" applyAlignment="1">
      <alignment horizontal="right"/>
    </xf>
    <xf numFmtId="0" fontId="9" fillId="3" borderId="0" xfId="6" applyFont="1" applyAlignment="1">
      <alignment horizontal="center" wrapText="1"/>
    </xf>
    <xf numFmtId="0" fontId="7" fillId="2" borderId="0" xfId="0" applyFont="1" applyFill="1" applyAlignment="1">
      <alignment horizontal="left"/>
    </xf>
    <xf numFmtId="22" fontId="0" fillId="0" borderId="2" xfId="0" applyNumberFormat="1" applyFill="1" applyBorder="1"/>
    <xf numFmtId="0" fontId="7" fillId="2" borderId="0" xfId="0" applyFont="1" applyFill="1"/>
    <xf numFmtId="171" fontId="0" fillId="4" borderId="3" xfId="0" applyNumberFormat="1" applyFill="1" applyBorder="1"/>
    <xf numFmtId="0" fontId="15" fillId="2" borderId="0" xfId="0" applyFont="1" applyFill="1"/>
    <xf numFmtId="167" fontId="0" fillId="2" borderId="0" xfId="0" applyNumberFormat="1" applyFill="1" applyBorder="1"/>
    <xf numFmtId="167" fontId="0" fillId="4" borderId="0" xfId="0" applyNumberFormat="1" applyFill="1" applyBorder="1"/>
    <xf numFmtId="171" fontId="5" fillId="2" borderId="3" xfId="1" applyNumberFormat="1" applyFont="1" applyFill="1" applyBorder="1"/>
    <xf numFmtId="2" fontId="0" fillId="2" borderId="0" xfId="0" applyNumberFormat="1" applyFill="1" applyBorder="1"/>
    <xf numFmtId="0" fontId="7" fillId="2" borderId="0" xfId="0" applyFont="1" applyFill="1" applyBorder="1" applyAlignment="1"/>
    <xf numFmtId="0" fontId="7" fillId="2" borderId="0" xfId="0" applyFont="1" applyFill="1" applyAlignment="1">
      <alignment horizontal="right" vertical="top"/>
    </xf>
    <xf numFmtId="0" fontId="9" fillId="3" borderId="0" xfId="6" applyFont="1" applyBorder="1">
      <alignment horizontal="center" wrapText="1"/>
    </xf>
    <xf numFmtId="165" fontId="0" fillId="4" borderId="0" xfId="0" applyNumberFormat="1" applyFill="1" applyBorder="1"/>
    <xf numFmtId="0" fontId="9" fillId="3" borderId="0" xfId="6" applyBorder="1">
      <alignment horizontal="center" wrapText="1"/>
    </xf>
    <xf numFmtId="0" fontId="9" fillId="3" borderId="0" xfId="6" quotePrefix="1" applyFont="1">
      <alignment horizontal="center" wrapText="1"/>
    </xf>
    <xf numFmtId="170" fontId="0" fillId="2" borderId="3" xfId="0" applyNumberFormat="1" applyFill="1" applyBorder="1"/>
    <xf numFmtId="170" fontId="0" fillId="4" borderId="3" xfId="0" applyNumberFormat="1" applyFill="1" applyBorder="1"/>
    <xf numFmtId="2" fontId="0" fillId="0" borderId="0" xfId="0" applyNumberFormat="1"/>
    <xf numFmtId="198" fontId="0" fillId="2" borderId="2" xfId="0" applyNumberFormat="1" applyFill="1" applyBorder="1"/>
    <xf numFmtId="198" fontId="0" fillId="4" borderId="2" xfId="0" applyNumberFormat="1" applyFill="1" applyBorder="1"/>
    <xf numFmtId="0" fontId="5" fillId="0" borderId="0" xfId="0" applyFont="1"/>
    <xf numFmtId="165" fontId="0" fillId="0" borderId="0" xfId="0" applyNumberFormat="1"/>
    <xf numFmtId="0" fontId="14" fillId="2" borderId="0" xfId="0" applyFont="1" applyFill="1" applyAlignment="1">
      <alignment wrapText="1"/>
    </xf>
    <xf numFmtId="0" fontId="0" fillId="0" borderId="0" xfId="0" applyAlignment="1"/>
    <xf numFmtId="178" fontId="0" fillId="4" borderId="8" xfId="0" applyNumberFormat="1" applyFill="1" applyBorder="1"/>
    <xf numFmtId="0" fontId="0" fillId="0" borderId="9" xfId="0" applyBorder="1"/>
    <xf numFmtId="0" fontId="0" fillId="0" borderId="10" xfId="0" applyBorder="1"/>
    <xf numFmtId="43" fontId="0" fillId="0" borderId="11" xfId="0" applyNumberFormat="1" applyBorder="1"/>
    <xf numFmtId="0" fontId="0" fillId="0" borderId="12" xfId="0" applyBorder="1"/>
    <xf numFmtId="0" fontId="0" fillId="0" borderId="0" xfId="0" applyBorder="1"/>
    <xf numFmtId="178" fontId="0" fillId="0" borderId="13" xfId="0" applyNumberFormat="1" applyBorder="1"/>
    <xf numFmtId="0" fontId="0" fillId="0" borderId="13" xfId="0" applyBorder="1"/>
    <xf numFmtId="0" fontId="0" fillId="0" borderId="14" xfId="0" applyBorder="1"/>
    <xf numFmtId="0" fontId="0" fillId="0" borderId="15" xfId="0" applyBorder="1"/>
    <xf numFmtId="43" fontId="0" fillId="0" borderId="16" xfId="0" applyNumberFormat="1" applyBorder="1"/>
    <xf numFmtId="0" fontId="15" fillId="2" borderId="0" xfId="0" applyFont="1" applyFill="1" applyAlignment="1">
      <alignment horizontal="justify" vertical="center"/>
    </xf>
    <xf numFmtId="0" fontId="0" fillId="0" borderId="0" xfId="0" applyAlignment="1">
      <alignment horizontal="left" indent="1"/>
    </xf>
    <xf numFmtId="167" fontId="0" fillId="0" borderId="0" xfId="0" quotePrefix="1" applyNumberFormat="1"/>
    <xf numFmtId="178" fontId="0" fillId="4" borderId="17" xfId="0" applyNumberFormat="1" applyFill="1" applyBorder="1"/>
    <xf numFmtId="43" fontId="0" fillId="0" borderId="13" xfId="0" applyNumberFormat="1" applyBorder="1"/>
    <xf numFmtId="0" fontId="0" fillId="0" borderId="16" xfId="0" applyBorder="1"/>
    <xf numFmtId="166" fontId="0" fillId="0" borderId="16" xfId="0" applyNumberFormat="1" applyBorder="1"/>
    <xf numFmtId="0" fontId="0" fillId="0" borderId="5" xfId="0" applyBorder="1"/>
    <xf numFmtId="0" fontId="0" fillId="0" borderId="7" xfId="0" applyBorder="1"/>
    <xf numFmtId="2" fontId="0" fillId="0" borderId="6" xfId="0" applyNumberFormat="1" applyBorder="1"/>
    <xf numFmtId="2" fontId="0" fillId="4" borderId="0" xfId="0" applyNumberFormat="1" applyFill="1" applyBorder="1"/>
    <xf numFmtId="2" fontId="0" fillId="4" borderId="0" xfId="0" applyNumberFormat="1" applyFill="1"/>
    <xf numFmtId="2" fontId="0" fillId="2" borderId="0" xfId="0" applyNumberFormat="1" applyFill="1"/>
    <xf numFmtId="2" fontId="0" fillId="4" borderId="18" xfId="0" applyNumberFormat="1" applyFill="1" applyBorder="1"/>
    <xf numFmtId="2" fontId="0" fillId="4" borderId="17" xfId="0" applyNumberFormat="1" applyFill="1" applyBorder="1"/>
    <xf numFmtId="2" fontId="0" fillId="4" borderId="8" xfId="0" applyNumberFormat="1" applyFill="1" applyBorder="1"/>
    <xf numFmtId="2" fontId="0" fillId="0" borderId="19" xfId="0" applyNumberFormat="1" applyBorder="1"/>
    <xf numFmtId="171" fontId="0" fillId="0" borderId="9" xfId="1" applyNumberFormat="1" applyFont="1" applyBorder="1"/>
    <xf numFmtId="1" fontId="0" fillId="0" borderId="11" xfId="0" applyNumberFormat="1" applyBorder="1"/>
    <xf numFmtId="171" fontId="0" fillId="0" borderId="12" xfId="1" applyNumberFormat="1" applyFont="1" applyBorder="1"/>
    <xf numFmtId="171" fontId="0" fillId="0" borderId="14" xfId="1" applyNumberFormat="1" applyFont="1" applyBorder="1"/>
    <xf numFmtId="0" fontId="11" fillId="0" borderId="0" xfId="0" applyFont="1"/>
    <xf numFmtId="1" fontId="0" fillId="2" borderId="3" xfId="1" applyNumberFormat="1" applyFont="1" applyFill="1" applyBorder="1"/>
    <xf numFmtId="4" fontId="0" fillId="4" borderId="3" xfId="1" applyNumberFormat="1" applyFont="1" applyFill="1" applyBorder="1"/>
    <xf numFmtId="4" fontId="0" fillId="2" borderId="3" xfId="1" applyNumberFormat="1" applyFont="1" applyFill="1" applyBorder="1"/>
    <xf numFmtId="3" fontId="0" fillId="2" borderId="3" xfId="1" applyNumberFormat="1" applyFont="1" applyFill="1" applyBorder="1"/>
    <xf numFmtId="3" fontId="0" fillId="4" borderId="3" xfId="1" applyNumberFormat="1" applyFont="1" applyFill="1" applyBorder="1"/>
    <xf numFmtId="3" fontId="3" fillId="2" borderId="4" xfId="5" applyNumberFormat="1" applyBorder="1">
      <alignment horizontal="right"/>
    </xf>
    <xf numFmtId="3" fontId="0" fillId="4" borderId="4" xfId="1" applyNumberFormat="1" applyFont="1" applyFill="1" applyBorder="1"/>
    <xf numFmtId="4" fontId="0" fillId="2" borderId="3" xfId="0" applyNumberFormat="1" applyFill="1" applyBorder="1"/>
    <xf numFmtId="4" fontId="0" fillId="4" borderId="3" xfId="0" applyNumberFormat="1" applyFill="1" applyBorder="1"/>
    <xf numFmtId="201" fontId="0" fillId="2" borderId="3" xfId="0" applyNumberFormat="1" applyFill="1" applyBorder="1"/>
    <xf numFmtId="201" fontId="0" fillId="2" borderId="4" xfId="0" applyNumberFormat="1" applyFill="1" applyBorder="1"/>
    <xf numFmtId="201" fontId="0" fillId="4" borderId="3" xfId="0" applyNumberFormat="1" applyFill="1" applyBorder="1"/>
    <xf numFmtId="201" fontId="0" fillId="4" borderId="4" xfId="0" applyNumberFormat="1" applyFill="1" applyBorder="1"/>
    <xf numFmtId="3" fontId="0" fillId="2" borderId="3" xfId="0" applyNumberFormat="1" applyFill="1" applyBorder="1"/>
    <xf numFmtId="3" fontId="0" fillId="2" borderId="4" xfId="0" applyNumberFormat="1" applyFill="1" applyBorder="1"/>
    <xf numFmtId="3" fontId="0" fillId="4" borderId="3" xfId="0" applyNumberFormat="1" applyFill="1" applyBorder="1"/>
    <xf numFmtId="3" fontId="0" fillId="4" borderId="4" xfId="0" applyNumberFormat="1" applyFill="1" applyBorder="1"/>
    <xf numFmtId="167" fontId="1" fillId="2" borderId="3" xfId="0" applyNumberFormat="1" applyFont="1" applyFill="1" applyBorder="1"/>
    <xf numFmtId="3" fontId="6" fillId="2" borderId="3" xfId="0" applyNumberFormat="1" applyFont="1" applyFill="1" applyBorder="1"/>
    <xf numFmtId="3" fontId="7" fillId="4" borderId="3" xfId="0" applyNumberFormat="1" applyFont="1" applyFill="1" applyBorder="1"/>
    <xf numFmtId="3" fontId="6" fillId="4" borderId="3" xfId="0" applyNumberFormat="1" applyFont="1" applyFill="1" applyBorder="1"/>
    <xf numFmtId="3" fontId="7" fillId="2" borderId="3" xfId="0" applyNumberFormat="1" applyFont="1" applyFill="1" applyBorder="1"/>
    <xf numFmtId="167" fontId="0" fillId="0" borderId="3" xfId="0" applyNumberFormat="1" applyFill="1" applyBorder="1"/>
    <xf numFmtId="167" fontId="0" fillId="0" borderId="4" xfId="0" applyNumberFormat="1" applyFill="1" applyBorder="1"/>
    <xf numFmtId="179" fontId="0" fillId="2" borderId="0" xfId="1" applyNumberFormat="1" applyFont="1" applyFill="1"/>
    <xf numFmtId="202" fontId="0" fillId="2" borderId="3" xfId="0" applyNumberFormat="1" applyFill="1" applyBorder="1"/>
    <xf numFmtId="202" fontId="0" fillId="4" borderId="3" xfId="0" applyNumberFormat="1" applyFill="1" applyBorder="1"/>
    <xf numFmtId="171" fontId="0" fillId="2" borderId="3" xfId="0" applyNumberFormat="1" applyFill="1" applyBorder="1"/>
    <xf numFmtId="171" fontId="0" fillId="0" borderId="3" xfId="0" applyNumberFormat="1" applyBorder="1"/>
    <xf numFmtId="171" fontId="0" fillId="2" borderId="4" xfId="1" applyNumberFormat="1" applyFont="1" applyFill="1" applyBorder="1"/>
    <xf numFmtId="171" fontId="0" fillId="4" borderId="4" xfId="1" applyNumberFormat="1" applyFont="1" applyFill="1" applyBorder="1"/>
    <xf numFmtId="43" fontId="0" fillId="2" borderId="3" xfId="1" applyNumberFormat="1" applyFont="1" applyFill="1" applyBorder="1"/>
    <xf numFmtId="43" fontId="0" fillId="4" borderId="3" xfId="1" applyNumberFormat="1" applyFont="1" applyFill="1" applyBorder="1"/>
    <xf numFmtId="203" fontId="0" fillId="2" borderId="3" xfId="1" applyNumberFormat="1" applyFont="1" applyFill="1" applyBorder="1"/>
    <xf numFmtId="203" fontId="0" fillId="2" borderId="3" xfId="0" applyNumberFormat="1" applyFill="1" applyBorder="1"/>
    <xf numFmtId="203" fontId="0" fillId="4" borderId="3" xfId="1" applyNumberFormat="1" applyFont="1" applyFill="1" applyBorder="1"/>
    <xf numFmtId="165" fontId="0" fillId="2" borderId="4" xfId="0" applyNumberFormat="1" applyFill="1" applyBorder="1"/>
    <xf numFmtId="201" fontId="16" fillId="2" borderId="4" xfId="0" applyNumberFormat="1" applyFont="1" applyFill="1" applyBorder="1"/>
    <xf numFmtId="201" fontId="16" fillId="4" borderId="4" xfId="0" applyNumberFormat="1" applyFont="1" applyFill="1" applyBorder="1"/>
    <xf numFmtId="4" fontId="6" fillId="2" borderId="3" xfId="0" applyNumberFormat="1" applyFont="1" applyFill="1" applyBorder="1"/>
    <xf numFmtId="4" fontId="6" fillId="4" borderId="3" xfId="0" applyNumberFormat="1" applyFont="1" applyFill="1" applyBorder="1"/>
    <xf numFmtId="3" fontId="0" fillId="2" borderId="0" xfId="0" applyNumberFormat="1" applyFill="1"/>
    <xf numFmtId="3" fontId="0" fillId="4" borderId="0" xfId="0" applyNumberFormat="1" applyFill="1"/>
    <xf numFmtId="43" fontId="0" fillId="0" borderId="20" xfId="0" applyNumberFormat="1" applyBorder="1"/>
    <xf numFmtId="171" fontId="0" fillId="2" borderId="0" xfId="1" applyNumberFormat="1" applyFont="1" applyFill="1" applyBorder="1"/>
    <xf numFmtId="4" fontId="16" fillId="2" borderId="3" xfId="1" applyNumberFormat="1" applyFont="1" applyFill="1" applyBorder="1"/>
    <xf numFmtId="4" fontId="16" fillId="4" borderId="3" xfId="1" applyNumberFormat="1" applyFont="1" applyFill="1" applyBorder="1"/>
    <xf numFmtId="203" fontId="0" fillId="4" borderId="3" xfId="0" applyNumberFormat="1" applyFill="1" applyBorder="1"/>
    <xf numFmtId="171" fontId="0" fillId="2" borderId="21" xfId="1" applyNumberFormat="1" applyFont="1" applyFill="1" applyBorder="1"/>
    <xf numFmtId="165" fontId="0" fillId="2" borderId="3" xfId="1" applyNumberFormat="1" applyFont="1" applyFill="1" applyBorder="1"/>
    <xf numFmtId="165" fontId="0" fillId="4" borderId="3" xfId="1" applyNumberFormat="1" applyFont="1" applyFill="1" applyBorder="1"/>
    <xf numFmtId="171" fontId="1" fillId="2" borderId="3" xfId="0" applyNumberFormat="1" applyFont="1" applyFill="1" applyBorder="1"/>
    <xf numFmtId="203" fontId="6" fillId="2" borderId="3" xfId="1" applyNumberFormat="1" applyFont="1" applyFill="1" applyBorder="1"/>
    <xf numFmtId="203" fontId="6" fillId="4" borderId="3" xfId="1" applyNumberFormat="1" applyFont="1" applyFill="1" applyBorder="1"/>
    <xf numFmtId="167" fontId="0" fillId="2" borderId="3" xfId="0" applyNumberFormat="1" applyFill="1" applyBorder="1" applyAlignment="1">
      <alignment horizontal="right"/>
    </xf>
    <xf numFmtId="167" fontId="0" fillId="4" borderId="3" xfId="0" applyNumberFormat="1" applyFill="1" applyBorder="1" applyAlignment="1">
      <alignment horizontal="right"/>
    </xf>
    <xf numFmtId="43" fontId="0" fillId="0" borderId="0" xfId="1" applyFont="1"/>
    <xf numFmtId="0" fontId="3" fillId="2" borderId="0" xfId="5" applyFont="1" applyFill="1">
      <alignment horizontal="right"/>
    </xf>
    <xf numFmtId="0" fontId="0" fillId="6" borderId="22" xfId="0" applyFill="1" applyBorder="1"/>
    <xf numFmtId="0" fontId="17" fillId="6" borderId="23" xfId="0" applyFont="1" applyFill="1" applyBorder="1" applyAlignment="1">
      <alignment horizontal="center"/>
    </xf>
    <xf numFmtId="0" fontId="0" fillId="6" borderId="23" xfId="0" applyFill="1" applyBorder="1" applyAlignment="1">
      <alignment horizontal="center" wrapText="1"/>
    </xf>
    <xf numFmtId="0" fontId="0" fillId="6" borderId="23" xfId="0" applyFill="1" applyBorder="1"/>
    <xf numFmtId="0" fontId="18" fillId="6" borderId="23" xfId="0" applyFont="1" applyFill="1" applyBorder="1" applyAlignment="1">
      <alignment wrapText="1"/>
    </xf>
    <xf numFmtId="0" fontId="5" fillId="6" borderId="23" xfId="0" applyFont="1" applyFill="1" applyBorder="1" applyAlignment="1">
      <alignment wrapText="1"/>
    </xf>
    <xf numFmtId="0" fontId="19" fillId="6" borderId="23" xfId="0" applyFont="1" applyFill="1" applyBorder="1" applyAlignment="1">
      <alignment wrapText="1"/>
    </xf>
    <xf numFmtId="0" fontId="20" fillId="6" borderId="23" xfId="3" applyFont="1" applyFill="1" applyBorder="1" applyAlignment="1" applyProtection="1"/>
    <xf numFmtId="0" fontId="19" fillId="6" borderId="23" xfId="0" applyFont="1" applyFill="1" applyBorder="1"/>
    <xf numFmtId="0" fontId="0" fillId="6" borderId="23" xfId="0" applyFill="1" applyBorder="1" applyAlignment="1">
      <alignment horizontal="center"/>
    </xf>
    <xf numFmtId="0" fontId="0" fillId="6" borderId="24" xfId="0" applyFill="1" applyBorder="1" applyAlignment="1">
      <alignment horizontal="center" wrapText="1"/>
    </xf>
    <xf numFmtId="0" fontId="18" fillId="0" borderId="0" xfId="0" applyFont="1"/>
    <xf numFmtId="0" fontId="8" fillId="0" borderId="0" xfId="3" applyAlignment="1" applyProtection="1"/>
    <xf numFmtId="167" fontId="3" fillId="2" borderId="3" xfId="5" applyNumberFormat="1" applyBorder="1">
      <alignment horizontal="right"/>
    </xf>
    <xf numFmtId="167" fontId="3" fillId="2" borderId="4" xfId="5" applyNumberFormat="1" applyBorder="1">
      <alignment horizontal="right"/>
    </xf>
    <xf numFmtId="167" fontId="3" fillId="2" borderId="4" xfId="1" applyNumberFormat="1" applyFill="1" applyBorder="1" applyAlignment="1">
      <alignment horizontal="right"/>
    </xf>
    <xf numFmtId="167" fontId="3" fillId="2" borderId="2" xfId="1" applyNumberFormat="1" applyFill="1" applyBorder="1" applyAlignment="1">
      <alignment horizontal="right"/>
    </xf>
    <xf numFmtId="167" fontId="3" fillId="2" borderId="3" xfId="1" applyNumberFormat="1" applyFill="1" applyBorder="1" applyAlignment="1">
      <alignment horizontal="right"/>
    </xf>
    <xf numFmtId="167" fontId="0" fillId="4" borderId="3" xfId="2" applyNumberFormat="1" applyFont="1" applyFill="1" applyBorder="1"/>
    <xf numFmtId="167" fontId="0" fillId="4" borderId="2" xfId="1" applyNumberFormat="1" applyFont="1" applyFill="1" applyBorder="1"/>
    <xf numFmtId="203" fontId="3" fillId="4" borderId="3" xfId="1" applyNumberFormat="1" applyFill="1" applyBorder="1"/>
    <xf numFmtId="3" fontId="3" fillId="4" borderId="3" xfId="1" applyNumberFormat="1" applyFill="1" applyBorder="1"/>
    <xf numFmtId="203" fontId="21" fillId="2" borderId="3" xfId="1" applyNumberFormat="1" applyFont="1" applyFill="1" applyBorder="1"/>
    <xf numFmtId="203" fontId="21" fillId="4" borderId="3" xfId="1" applyNumberFormat="1" applyFont="1" applyFill="1" applyBorder="1"/>
    <xf numFmtId="0" fontId="18" fillId="6" borderId="23" xfId="0" applyFont="1" applyFill="1" applyBorder="1" applyAlignment="1">
      <alignment horizontal="center"/>
    </xf>
    <xf numFmtId="203" fontId="3" fillId="2" borderId="3" xfId="1" applyNumberFormat="1" applyFill="1" applyBorder="1"/>
    <xf numFmtId="3" fontId="3" fillId="2" borderId="3" xfId="1" applyNumberFormat="1" applyFill="1" applyBorder="1"/>
    <xf numFmtId="0" fontId="0" fillId="4" borderId="0" xfId="0" applyFill="1" applyBorder="1"/>
    <xf numFmtId="169" fontId="0" fillId="4" borderId="0" xfId="0" applyNumberFormat="1" applyFill="1" applyBorder="1"/>
    <xf numFmtId="170" fontId="0" fillId="4" borderId="0" xfId="1" applyNumberFormat="1" applyFont="1" applyFill="1" applyBorder="1"/>
    <xf numFmtId="43" fontId="0" fillId="0" borderId="0" xfId="0" applyNumberFormat="1" applyBorder="1"/>
    <xf numFmtId="171" fontId="0" fillId="0" borderId="0" xfId="1" applyNumberFormat="1" applyFont="1" applyBorder="1"/>
    <xf numFmtId="0" fontId="5" fillId="2" borderId="0" xfId="0" applyFont="1" applyFill="1" applyAlignment="1"/>
    <xf numFmtId="165" fontId="6" fillId="2" borderId="3" xfId="0" applyNumberFormat="1" applyFont="1" applyFill="1" applyBorder="1"/>
    <xf numFmtId="165" fontId="6" fillId="4" borderId="3" xfId="0" applyNumberFormat="1" applyFont="1" applyFill="1" applyBorder="1"/>
    <xf numFmtId="167" fontId="6" fillId="2" borderId="4" xfId="0" applyNumberFormat="1" applyFont="1" applyFill="1" applyBorder="1"/>
    <xf numFmtId="167" fontId="6" fillId="4" borderId="4" xfId="0" applyNumberFormat="1" applyFont="1" applyFill="1" applyBorder="1"/>
    <xf numFmtId="204" fontId="11" fillId="2" borderId="0" xfId="2" applyNumberFormat="1" applyFont="1" applyFill="1" applyAlignment="1">
      <alignment horizontal="left"/>
    </xf>
    <xf numFmtId="0" fontId="16" fillId="2" borderId="3" xfId="0" applyFont="1" applyFill="1" applyBorder="1"/>
    <xf numFmtId="167" fontId="16" fillId="4" borderId="3" xfId="0" applyNumberFormat="1" applyFont="1" applyFill="1" applyBorder="1"/>
    <xf numFmtId="0" fontId="16" fillId="4" borderId="3" xfId="0" applyFont="1" applyFill="1" applyBorder="1"/>
    <xf numFmtId="43" fontId="16" fillId="2" borderId="3" xfId="1" applyNumberFormat="1" applyFont="1" applyFill="1" applyBorder="1"/>
    <xf numFmtId="43" fontId="16" fillId="4" borderId="3" xfId="1" applyNumberFormat="1" applyFont="1" applyFill="1" applyBorder="1"/>
    <xf numFmtId="0" fontId="0" fillId="2" borderId="0" xfId="0" applyFill="1" applyAlignment="1"/>
    <xf numFmtId="0" fontId="0" fillId="2" borderId="0" xfId="0" applyFill="1" applyAlignment="1">
      <alignment horizontal="left" wrapText="1"/>
    </xf>
    <xf numFmtId="0" fontId="13" fillId="0" borderId="0" xfId="0" applyFont="1"/>
    <xf numFmtId="14" fontId="0" fillId="0" borderId="0" xfId="0" applyNumberFormat="1" applyFill="1" applyBorder="1"/>
    <xf numFmtId="0" fontId="5" fillId="2" borderId="0" xfId="5" applyFont="1" applyAlignment="1">
      <alignment horizontal="left" vertical="top"/>
    </xf>
    <xf numFmtId="0" fontId="22" fillId="0" borderId="0" xfId="0" applyFont="1"/>
    <xf numFmtId="0" fontId="25" fillId="0" borderId="0" xfId="0" applyFont="1"/>
    <xf numFmtId="165" fontId="26" fillId="2" borderId="3" xfId="0" applyNumberFormat="1" applyFont="1" applyFill="1" applyBorder="1"/>
    <xf numFmtId="165" fontId="26" fillId="4" borderId="3" xfId="0" applyNumberFormat="1" applyFont="1" applyFill="1" applyBorder="1"/>
    <xf numFmtId="0" fontId="8" fillId="2" borderId="0" xfId="3" applyFill="1" applyAlignment="1" applyProtection="1"/>
    <xf numFmtId="0" fontId="0" fillId="2" borderId="0" xfId="0" quotePrefix="1" applyFill="1" applyAlignment="1">
      <alignment horizontal="right"/>
    </xf>
    <xf numFmtId="0" fontId="11" fillId="2" borderId="0" xfId="0" applyFont="1" applyFill="1" applyAlignment="1">
      <alignment horizontal="justify" wrapText="1"/>
    </xf>
    <xf numFmtId="0" fontId="10" fillId="2" borderId="0" xfId="0" applyFont="1" applyFill="1" applyAlignment="1">
      <alignment horizontal="left" wrapText="1"/>
    </xf>
    <xf numFmtId="0" fontId="11" fillId="2" borderId="0" xfId="0" applyFont="1" applyFill="1" applyAlignment="1">
      <alignment horizontal="left" indent="2"/>
    </xf>
    <xf numFmtId="0" fontId="27" fillId="2" borderId="0" xfId="0" applyFont="1" applyFill="1" applyAlignment="1">
      <alignment horizontal="center"/>
    </xf>
    <xf numFmtId="0" fontId="22" fillId="2" borderId="0" xfId="0" applyFont="1" applyFill="1" applyAlignment="1">
      <alignment horizontal="center"/>
    </xf>
    <xf numFmtId="0" fontId="11" fillId="0" borderId="0" xfId="0" applyFont="1" applyAlignment="1">
      <alignment horizontal="left" indent="4"/>
    </xf>
    <xf numFmtId="0" fontId="11" fillId="0" borderId="0" xfId="0" applyFont="1" applyAlignment="1">
      <alignment horizontal="left" indent="2"/>
    </xf>
    <xf numFmtId="0" fontId="11" fillId="0" borderId="0" xfId="0" applyFont="1" applyAlignment="1">
      <alignment horizontal="left"/>
    </xf>
    <xf numFmtId="0" fontId="7" fillId="2" borderId="0" xfId="0" applyFont="1" applyFill="1" applyBorder="1" applyAlignment="1">
      <alignment horizontal="right" vertical="top"/>
    </xf>
    <xf numFmtId="0" fontId="22" fillId="0" borderId="0" xfId="0" applyFont="1" applyAlignment="1">
      <alignment horizontal="center"/>
    </xf>
    <xf numFmtId="0" fontId="11" fillId="2" borderId="0" xfId="0" applyFont="1" applyFill="1" applyAlignment="1">
      <alignment horizontal="center" wrapText="1"/>
    </xf>
    <xf numFmtId="0" fontId="28" fillId="0" borderId="0" xfId="0" applyFont="1" applyAlignment="1">
      <alignment horizontal="left" indent="2"/>
    </xf>
    <xf numFmtId="0" fontId="28" fillId="2" borderId="0" xfId="0" applyFont="1" applyFill="1" applyAlignment="1">
      <alignment horizontal="left"/>
    </xf>
    <xf numFmtId="0" fontId="7" fillId="4" borderId="3" xfId="0" applyFont="1" applyFill="1" applyBorder="1"/>
    <xf numFmtId="0" fontId="15" fillId="2" borderId="0" xfId="0" applyFont="1" applyFill="1" applyAlignment="1">
      <alignment horizontal="left" indent="4"/>
    </xf>
    <xf numFmtId="0" fontId="11" fillId="2" borderId="0" xfId="0" applyFont="1" applyFill="1" applyAlignment="1">
      <alignment wrapText="1"/>
    </xf>
    <xf numFmtId="0" fontId="0" fillId="0" borderId="0" xfId="0" applyAlignment="1">
      <alignment horizontal="left"/>
    </xf>
    <xf numFmtId="170" fontId="0" fillId="0" borderId="0" xfId="1" applyNumberFormat="1" applyFont="1" applyAlignment="1">
      <alignment horizontal="left"/>
    </xf>
    <xf numFmtId="0" fontId="0" fillId="0" borderId="0" xfId="0" applyFill="1" applyAlignment="1">
      <alignment horizontal="center"/>
    </xf>
    <xf numFmtId="0" fontId="25" fillId="2" borderId="0" xfId="0" applyFont="1" applyFill="1"/>
    <xf numFmtId="0" fontId="0" fillId="2" borderId="0" xfId="0" applyFill="1" applyAlignment="1">
      <alignment horizontal="center"/>
    </xf>
    <xf numFmtId="0" fontId="0" fillId="2" borderId="25" xfId="0" applyFill="1" applyBorder="1"/>
    <xf numFmtId="169" fontId="0" fillId="2" borderId="26" xfId="0" applyNumberFormat="1" applyFill="1" applyBorder="1"/>
    <xf numFmtId="0" fontId="0" fillId="2" borderId="27" xfId="0" applyFill="1" applyBorder="1"/>
    <xf numFmtId="169" fontId="0" fillId="4" borderId="26" xfId="0" applyNumberFormat="1" applyFill="1" applyBorder="1"/>
    <xf numFmtId="0" fontId="0" fillId="4" borderId="27" xfId="0" applyFill="1" applyBorder="1"/>
    <xf numFmtId="169" fontId="0" fillId="4" borderId="28" xfId="0" applyNumberFormat="1" applyFill="1" applyBorder="1"/>
    <xf numFmtId="167" fontId="0" fillId="4" borderId="15" xfId="0" applyNumberFormat="1" applyFill="1" applyBorder="1"/>
    <xf numFmtId="169" fontId="0" fillId="2" borderId="29" xfId="0" applyNumberFormat="1" applyFill="1" applyBorder="1"/>
    <xf numFmtId="167" fontId="0" fillId="2" borderId="10" xfId="0" applyNumberFormat="1" applyFill="1" applyBorder="1"/>
    <xf numFmtId="43" fontId="16" fillId="2" borderId="30" xfId="1" applyNumberFormat="1" applyFont="1" applyFill="1" applyBorder="1"/>
    <xf numFmtId="167" fontId="16" fillId="2" borderId="30" xfId="0" applyNumberFormat="1" applyFont="1" applyFill="1" applyBorder="1"/>
    <xf numFmtId="0" fontId="16" fillId="2" borderId="30" xfId="0" applyFont="1" applyFill="1" applyBorder="1"/>
    <xf numFmtId="0" fontId="0" fillId="2" borderId="30" xfId="0" applyFill="1" applyBorder="1"/>
    <xf numFmtId="43" fontId="16" fillId="4" borderId="31" xfId="1" applyNumberFormat="1" applyFont="1" applyFill="1" applyBorder="1"/>
    <xf numFmtId="167" fontId="16" fillId="4" borderId="31" xfId="0" applyNumberFormat="1" applyFont="1" applyFill="1" applyBorder="1"/>
    <xf numFmtId="0" fontId="16" fillId="4" borderId="31" xfId="0" applyFont="1" applyFill="1" applyBorder="1"/>
    <xf numFmtId="0" fontId="0" fillId="4" borderId="31" xfId="0" applyFill="1" applyBorder="1"/>
    <xf numFmtId="0" fontId="0" fillId="4" borderId="32" xfId="0" applyFill="1" applyBorder="1"/>
    <xf numFmtId="169" fontId="30" fillId="7" borderId="29" xfId="0" applyNumberFormat="1" applyFont="1" applyFill="1" applyBorder="1"/>
    <xf numFmtId="167" fontId="30" fillId="7" borderId="10" xfId="0" applyNumberFormat="1" applyFont="1" applyFill="1" applyBorder="1"/>
    <xf numFmtId="43" fontId="30" fillId="7" borderId="31" xfId="1" applyNumberFormat="1" applyFont="1" applyFill="1" applyBorder="1"/>
    <xf numFmtId="167" fontId="30" fillId="7" borderId="31" xfId="0" applyNumberFormat="1" applyFont="1" applyFill="1" applyBorder="1"/>
    <xf numFmtId="0" fontId="30" fillId="7" borderId="3" xfId="0" applyFont="1" applyFill="1" applyBorder="1"/>
    <xf numFmtId="167" fontId="0" fillId="2" borderId="30" xfId="1" applyNumberFormat="1" applyFont="1" applyFill="1" applyBorder="1"/>
    <xf numFmtId="43" fontId="0" fillId="2" borderId="30" xfId="1" applyNumberFormat="1" applyFont="1" applyFill="1" applyBorder="1"/>
    <xf numFmtId="167" fontId="0" fillId="2" borderId="30" xfId="0" applyNumberFormat="1" applyFill="1" applyBorder="1"/>
    <xf numFmtId="167" fontId="5" fillId="2" borderId="30" xfId="0" applyNumberFormat="1" applyFont="1" applyFill="1" applyBorder="1"/>
    <xf numFmtId="171" fontId="0" fillId="2" borderId="30" xfId="1" applyNumberFormat="1" applyFont="1" applyFill="1" applyBorder="1"/>
    <xf numFmtId="167" fontId="0" fillId="4" borderId="31" xfId="1" applyNumberFormat="1" applyFont="1" applyFill="1" applyBorder="1"/>
    <xf numFmtId="43" fontId="0" fillId="4" borderId="31" xfId="1" applyNumberFormat="1" applyFont="1" applyFill="1" applyBorder="1"/>
    <xf numFmtId="167" fontId="0" fillId="4" borderId="31" xfId="0" applyNumberFormat="1" applyFill="1" applyBorder="1"/>
    <xf numFmtId="171" fontId="0" fillId="4" borderId="31" xfId="1" applyNumberFormat="1" applyFont="1" applyFill="1" applyBorder="1"/>
    <xf numFmtId="169" fontId="30" fillId="7" borderId="2" xfId="0" applyNumberFormat="1" applyFont="1" applyFill="1" applyBorder="1"/>
    <xf numFmtId="167" fontId="30" fillId="7" borderId="0" xfId="0" applyNumberFormat="1" applyFont="1" applyFill="1"/>
    <xf numFmtId="43" fontId="30" fillId="7" borderId="3" xfId="1" applyNumberFormat="1" applyFont="1" applyFill="1" applyBorder="1"/>
    <xf numFmtId="167" fontId="30" fillId="7" borderId="3" xfId="0" applyNumberFormat="1" applyFont="1" applyFill="1" applyBorder="1"/>
    <xf numFmtId="0" fontId="30" fillId="7" borderId="0" xfId="0" applyFont="1" applyFill="1" applyBorder="1"/>
    <xf numFmtId="167" fontId="30" fillId="7" borderId="0" xfId="0" applyNumberFormat="1" applyFont="1" applyFill="1" applyBorder="1"/>
    <xf numFmtId="0" fontId="30" fillId="7" borderId="4" xfId="0" applyFont="1" applyFill="1" applyBorder="1"/>
    <xf numFmtId="0" fontId="5" fillId="2" borderId="30" xfId="0" applyFont="1" applyFill="1" applyBorder="1"/>
    <xf numFmtId="169" fontId="30" fillId="7" borderId="33" xfId="0" applyNumberFormat="1" applyFont="1" applyFill="1" applyBorder="1"/>
    <xf numFmtId="167" fontId="30" fillId="7" borderId="7" xfId="0" applyNumberFormat="1" applyFont="1" applyFill="1" applyBorder="1"/>
    <xf numFmtId="43" fontId="30" fillId="7" borderId="34" xfId="1" applyNumberFormat="1" applyFont="1" applyFill="1" applyBorder="1"/>
    <xf numFmtId="167" fontId="30" fillId="7" borderId="34" xfId="0" applyNumberFormat="1" applyFont="1" applyFill="1" applyBorder="1"/>
    <xf numFmtId="0" fontId="30" fillId="7" borderId="34" xfId="0" applyFont="1" applyFill="1" applyBorder="1"/>
    <xf numFmtId="0" fontId="30" fillId="7" borderId="35" xfId="0" applyFont="1" applyFill="1" applyBorder="1"/>
    <xf numFmtId="0" fontId="5" fillId="2" borderId="3" xfId="0" applyFont="1" applyFill="1" applyBorder="1"/>
    <xf numFmtId="169" fontId="0" fillId="2" borderId="28" xfId="0" applyNumberFormat="1" applyFill="1" applyBorder="1"/>
    <xf numFmtId="167" fontId="0" fillId="2" borderId="31" xfId="0" applyNumberFormat="1" applyFill="1" applyBorder="1"/>
    <xf numFmtId="43" fontId="0" fillId="2" borderId="31" xfId="1" applyNumberFormat="1" applyFont="1" applyFill="1" applyBorder="1"/>
    <xf numFmtId="0" fontId="0" fillId="2" borderId="31" xfId="0" applyFill="1" applyBorder="1"/>
    <xf numFmtId="0" fontId="0" fillId="2" borderId="32" xfId="0" applyFill="1" applyBorder="1"/>
    <xf numFmtId="169" fontId="30" fillId="7" borderId="36" xfId="0" applyNumberFormat="1" applyFont="1" applyFill="1" applyBorder="1"/>
    <xf numFmtId="167" fontId="0" fillId="2" borderId="21" xfId="0" applyNumberFormat="1" applyFill="1" applyBorder="1"/>
    <xf numFmtId="0" fontId="30" fillId="2" borderId="2" xfId="0" applyFont="1" applyFill="1" applyBorder="1"/>
    <xf numFmtId="169" fontId="30" fillId="0" borderId="0" xfId="0" applyNumberFormat="1" applyFont="1" applyFill="1" applyBorder="1"/>
    <xf numFmtId="167" fontId="30" fillId="0" borderId="0" xfId="0" applyNumberFormat="1" applyFont="1" applyFill="1" applyBorder="1"/>
    <xf numFmtId="43" fontId="30" fillId="0" borderId="0" xfId="1" applyNumberFormat="1" applyFont="1" applyFill="1" applyBorder="1"/>
    <xf numFmtId="0" fontId="30" fillId="0" borderId="0" xfId="0" applyFont="1" applyFill="1" applyBorder="1"/>
    <xf numFmtId="1" fontId="0" fillId="0" borderId="0" xfId="0" applyNumberFormat="1" applyFill="1" applyBorder="1"/>
    <xf numFmtId="169" fontId="0" fillId="0" borderId="0" xfId="0" applyNumberFormat="1" applyFill="1" applyBorder="1"/>
    <xf numFmtId="167" fontId="0" fillId="0" borderId="0" xfId="0" applyNumberFormat="1" applyFill="1" applyBorder="1"/>
    <xf numFmtId="0" fontId="11" fillId="0" borderId="0" xfId="0" applyFont="1" applyFill="1"/>
    <xf numFmtId="0" fontId="11" fillId="0" borderId="0" xfId="0" applyFont="1" applyFill="1" applyAlignment="1">
      <alignment horizontal="left"/>
    </xf>
    <xf numFmtId="167" fontId="11" fillId="0" borderId="3" xfId="0" applyNumberFormat="1" applyFont="1" applyFill="1" applyBorder="1"/>
    <xf numFmtId="184" fontId="0" fillId="0" borderId="0" xfId="2" applyNumberFormat="1" applyFont="1"/>
    <xf numFmtId="165" fontId="16" fillId="2" borderId="0" xfId="0" applyNumberFormat="1" applyFont="1" applyFill="1" applyBorder="1"/>
    <xf numFmtId="165" fontId="6" fillId="2" borderId="0" xfId="0" applyNumberFormat="1" applyFont="1" applyFill="1" applyBorder="1"/>
    <xf numFmtId="0" fontId="11" fillId="0" borderId="0" xfId="0" applyFont="1" applyFill="1" applyBorder="1"/>
    <xf numFmtId="167" fontId="16" fillId="2" borderId="0" xfId="0" applyNumberFormat="1" applyFont="1" applyFill="1" applyBorder="1"/>
    <xf numFmtId="167" fontId="6" fillId="2" borderId="0" xfId="0" applyNumberFormat="1" applyFont="1" applyFill="1" applyBorder="1"/>
    <xf numFmtId="0" fontId="11" fillId="2" borderId="0" xfId="0" applyFont="1" applyFill="1" applyAlignment="1">
      <alignment horizontal="left" wrapText="1"/>
    </xf>
    <xf numFmtId="0" fontId="11" fillId="0" borderId="0" xfId="0" applyFont="1" applyAlignment="1">
      <alignment horizontal="left" wrapText="1"/>
    </xf>
    <xf numFmtId="49" fontId="11" fillId="0" borderId="0" xfId="1" applyNumberFormat="1" applyFont="1" applyAlignment="1">
      <alignment horizontal="left" wrapText="1"/>
    </xf>
    <xf numFmtId="0" fontId="11" fillId="2" borderId="0" xfId="0" applyFont="1" applyFill="1" applyAlignment="1">
      <alignment horizontal="justify"/>
    </xf>
    <xf numFmtId="0" fontId="0" fillId="2" borderId="0" xfId="0" applyFill="1" applyAlignment="1"/>
    <xf numFmtId="0" fontId="11" fillId="2" borderId="0" xfId="0" applyFont="1" applyFill="1" applyAlignment="1">
      <alignment horizontal="left"/>
    </xf>
    <xf numFmtId="0" fontId="11" fillId="2" borderId="0" xfId="0" applyFont="1" applyFill="1" applyAlignment="1">
      <alignment wrapText="1"/>
    </xf>
    <xf numFmtId="0" fontId="14" fillId="2" borderId="0" xfId="0" applyFont="1" applyFill="1" applyAlignment="1">
      <alignment wrapText="1"/>
    </xf>
    <xf numFmtId="0" fontId="0" fillId="2" borderId="0" xfId="0" applyFill="1" applyAlignment="1">
      <alignment horizontal="left" wrapText="1"/>
    </xf>
    <xf numFmtId="0" fontId="0" fillId="0" borderId="0" xfId="0" applyAlignment="1"/>
    <xf numFmtId="0" fontId="15" fillId="2" borderId="0" xfId="0" applyFont="1" applyFill="1" applyAlignment="1">
      <alignment horizontal="left" wrapText="1"/>
    </xf>
    <xf numFmtId="0" fontId="11" fillId="2" borderId="0" xfId="0" applyFont="1" applyFill="1" applyAlignment="1">
      <alignment horizontal="justify" wrapText="1"/>
    </xf>
    <xf numFmtId="0" fontId="15" fillId="2" borderId="0" xfId="0" applyFont="1" applyFill="1" applyAlignment="1">
      <alignment horizontal="justify" wrapText="1"/>
    </xf>
    <xf numFmtId="0" fontId="2" fillId="2" borderId="0" xfId="0" applyFont="1" applyFill="1" applyAlignment="1">
      <alignment wrapText="1"/>
    </xf>
    <xf numFmtId="0" fontId="2" fillId="0" borderId="0" xfId="0" applyFont="1" applyAlignment="1">
      <alignment wrapText="1"/>
    </xf>
    <xf numFmtId="0" fontId="5" fillId="2" borderId="0" xfId="0" applyFont="1" applyFill="1" applyBorder="1" applyAlignment="1">
      <alignment horizontal="left" wrapText="1"/>
    </xf>
    <xf numFmtId="0" fontId="0" fillId="2" borderId="0" xfId="0" applyFill="1" applyAlignment="1">
      <alignment wrapText="1"/>
    </xf>
    <xf numFmtId="0" fontId="0" fillId="0" borderId="0" xfId="0" applyAlignment="1">
      <alignment horizontal="left" wrapText="1"/>
    </xf>
    <xf numFmtId="0" fontId="28" fillId="0" borderId="0" xfId="0" applyFont="1" applyAlignment="1">
      <alignment horizontal="left" wrapText="1"/>
    </xf>
    <xf numFmtId="0" fontId="11" fillId="0" borderId="0" xfId="0" applyFont="1" applyFill="1" applyAlignment="1">
      <alignment horizontal="left" wrapText="1"/>
    </xf>
    <xf numFmtId="0" fontId="0" fillId="0" borderId="0" xfId="0" applyAlignment="1">
      <alignment wrapText="1"/>
    </xf>
    <xf numFmtId="0" fontId="28" fillId="2" borderId="0" xfId="0" applyFont="1" applyFill="1" applyAlignment="1">
      <alignment horizontal="left" wrapText="1"/>
    </xf>
    <xf numFmtId="14" fontId="0" fillId="0" borderId="0" xfId="0" applyNumberFormat="1" applyAlignment="1">
      <alignment horizontal="left" wrapText="1"/>
    </xf>
    <xf numFmtId="0" fontId="15" fillId="2" borderId="0" xfId="0" applyFont="1" applyFill="1" applyAlignment="1">
      <alignment horizontal="left" wrapText="1" indent="1"/>
    </xf>
  </cellXfs>
  <cellStyles count="7">
    <cellStyle name="Comma" xfId="1" builtinId="3"/>
    <cellStyle name="Currency" xfId="2" builtinId="4"/>
    <cellStyle name="Hyperlink" xfId="3" builtinId="8"/>
    <cellStyle name="Normal" xfId="0" builtinId="0"/>
    <cellStyle name="Percent" xfId="4" builtinId="5"/>
    <cellStyle name="TAAZ" xfId="5"/>
    <cellStyle name="TAZ Heading" xfId="6"/>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101" Type="http://schemas.openxmlformats.org/officeDocument/2006/relationships/worksheet" Target="worksheets/sheet101.xml"/><Relationship Id="rId102" Type="http://schemas.openxmlformats.org/officeDocument/2006/relationships/worksheet" Target="worksheets/sheet102.xml"/><Relationship Id="rId103" Type="http://schemas.openxmlformats.org/officeDocument/2006/relationships/theme" Target="theme/theme1.xml"/><Relationship Id="rId104" Type="http://schemas.openxmlformats.org/officeDocument/2006/relationships/styles" Target="styles.xml"/><Relationship Id="rId105" Type="http://schemas.openxmlformats.org/officeDocument/2006/relationships/sharedStrings" Target="sharedStrings.xml"/><Relationship Id="rId106" Type="http://schemas.openxmlformats.org/officeDocument/2006/relationships/calcChain" Target="calcChain.xml"/><Relationship Id="rId10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30" Type="http://schemas.openxmlformats.org/officeDocument/2006/relationships/worksheet" Target="worksheets/sheet30.xml"/><Relationship Id="rId31" Type="http://schemas.openxmlformats.org/officeDocument/2006/relationships/worksheet" Target="worksheets/sheet31.xml"/><Relationship Id="rId32" Type="http://schemas.openxmlformats.org/officeDocument/2006/relationships/worksheet" Target="worksheets/sheet32.xml"/><Relationship Id="rId33" Type="http://schemas.openxmlformats.org/officeDocument/2006/relationships/worksheet" Target="worksheets/sheet33.xml"/><Relationship Id="rId34" Type="http://schemas.openxmlformats.org/officeDocument/2006/relationships/worksheet" Target="worksheets/sheet34.xml"/><Relationship Id="rId35" Type="http://schemas.openxmlformats.org/officeDocument/2006/relationships/worksheet" Target="worksheets/sheet35.xml"/><Relationship Id="rId36" Type="http://schemas.openxmlformats.org/officeDocument/2006/relationships/worksheet" Target="worksheets/sheet36.xml"/><Relationship Id="rId37" Type="http://schemas.openxmlformats.org/officeDocument/2006/relationships/worksheet" Target="worksheets/sheet37.xml"/><Relationship Id="rId38" Type="http://schemas.openxmlformats.org/officeDocument/2006/relationships/worksheet" Target="worksheets/sheet38.xml"/><Relationship Id="rId39" Type="http://schemas.openxmlformats.org/officeDocument/2006/relationships/worksheet" Target="worksheets/sheet39.xml"/><Relationship Id="rId50" Type="http://schemas.openxmlformats.org/officeDocument/2006/relationships/worksheet" Target="worksheets/sheet50.xml"/><Relationship Id="rId51" Type="http://schemas.openxmlformats.org/officeDocument/2006/relationships/worksheet" Target="worksheets/sheet51.xml"/><Relationship Id="rId52" Type="http://schemas.openxmlformats.org/officeDocument/2006/relationships/worksheet" Target="worksheets/sheet52.xml"/><Relationship Id="rId53" Type="http://schemas.openxmlformats.org/officeDocument/2006/relationships/worksheet" Target="worksheets/sheet53.xml"/><Relationship Id="rId54" Type="http://schemas.openxmlformats.org/officeDocument/2006/relationships/worksheet" Target="worksheets/sheet54.xml"/><Relationship Id="rId55" Type="http://schemas.openxmlformats.org/officeDocument/2006/relationships/worksheet" Target="worksheets/sheet55.xml"/><Relationship Id="rId56" Type="http://schemas.openxmlformats.org/officeDocument/2006/relationships/worksheet" Target="worksheets/sheet56.xml"/><Relationship Id="rId57" Type="http://schemas.openxmlformats.org/officeDocument/2006/relationships/worksheet" Target="worksheets/sheet57.xml"/><Relationship Id="rId58" Type="http://schemas.openxmlformats.org/officeDocument/2006/relationships/worksheet" Target="worksheets/sheet58.xml"/><Relationship Id="rId59" Type="http://schemas.openxmlformats.org/officeDocument/2006/relationships/worksheet" Target="worksheets/sheet59.xml"/><Relationship Id="rId70" Type="http://schemas.openxmlformats.org/officeDocument/2006/relationships/worksheet" Target="worksheets/sheet70.xml"/><Relationship Id="rId71" Type="http://schemas.openxmlformats.org/officeDocument/2006/relationships/worksheet" Target="worksheets/sheet71.xml"/><Relationship Id="rId72" Type="http://schemas.openxmlformats.org/officeDocument/2006/relationships/worksheet" Target="worksheets/sheet72.xml"/><Relationship Id="rId73" Type="http://schemas.openxmlformats.org/officeDocument/2006/relationships/worksheet" Target="worksheets/sheet73.xml"/><Relationship Id="rId74" Type="http://schemas.openxmlformats.org/officeDocument/2006/relationships/worksheet" Target="worksheets/sheet74.xml"/><Relationship Id="rId75" Type="http://schemas.openxmlformats.org/officeDocument/2006/relationships/worksheet" Target="worksheets/sheet75.xml"/><Relationship Id="rId76" Type="http://schemas.openxmlformats.org/officeDocument/2006/relationships/worksheet" Target="worksheets/sheet76.xml"/><Relationship Id="rId77" Type="http://schemas.openxmlformats.org/officeDocument/2006/relationships/worksheet" Target="worksheets/sheet77.xml"/><Relationship Id="rId78" Type="http://schemas.openxmlformats.org/officeDocument/2006/relationships/worksheet" Target="worksheets/sheet78.xml"/><Relationship Id="rId79" Type="http://schemas.openxmlformats.org/officeDocument/2006/relationships/worksheet" Target="worksheets/sheet79.xml"/><Relationship Id="rId90" Type="http://schemas.openxmlformats.org/officeDocument/2006/relationships/worksheet" Target="worksheets/sheet90.xml"/><Relationship Id="rId91" Type="http://schemas.openxmlformats.org/officeDocument/2006/relationships/worksheet" Target="worksheets/sheet91.xml"/><Relationship Id="rId92" Type="http://schemas.openxmlformats.org/officeDocument/2006/relationships/worksheet" Target="worksheets/sheet92.xml"/><Relationship Id="rId93" Type="http://schemas.openxmlformats.org/officeDocument/2006/relationships/worksheet" Target="worksheets/sheet93.xml"/><Relationship Id="rId94" Type="http://schemas.openxmlformats.org/officeDocument/2006/relationships/worksheet" Target="worksheets/sheet94.xml"/><Relationship Id="rId95" Type="http://schemas.openxmlformats.org/officeDocument/2006/relationships/worksheet" Target="worksheets/sheet95.xml"/><Relationship Id="rId96" Type="http://schemas.openxmlformats.org/officeDocument/2006/relationships/worksheet" Target="worksheets/sheet96.xml"/><Relationship Id="rId97" Type="http://schemas.openxmlformats.org/officeDocument/2006/relationships/worksheet" Target="worksheets/sheet97.xml"/><Relationship Id="rId98" Type="http://schemas.openxmlformats.org/officeDocument/2006/relationships/worksheet" Target="worksheets/sheet98.xml"/><Relationship Id="rId99" Type="http://schemas.openxmlformats.org/officeDocument/2006/relationships/worksheet" Target="worksheets/sheet9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40" Type="http://schemas.openxmlformats.org/officeDocument/2006/relationships/worksheet" Target="worksheets/sheet40.xml"/><Relationship Id="rId41" Type="http://schemas.openxmlformats.org/officeDocument/2006/relationships/worksheet" Target="worksheets/sheet41.xml"/><Relationship Id="rId42" Type="http://schemas.openxmlformats.org/officeDocument/2006/relationships/worksheet" Target="worksheets/sheet42.xml"/><Relationship Id="rId43" Type="http://schemas.openxmlformats.org/officeDocument/2006/relationships/worksheet" Target="worksheets/sheet43.xml"/><Relationship Id="rId44" Type="http://schemas.openxmlformats.org/officeDocument/2006/relationships/worksheet" Target="worksheets/sheet44.xml"/><Relationship Id="rId45" Type="http://schemas.openxmlformats.org/officeDocument/2006/relationships/worksheet" Target="worksheets/sheet45.xml"/><Relationship Id="rId46" Type="http://schemas.openxmlformats.org/officeDocument/2006/relationships/worksheet" Target="worksheets/sheet46.xml"/><Relationship Id="rId47" Type="http://schemas.openxmlformats.org/officeDocument/2006/relationships/worksheet" Target="worksheets/sheet47.xml"/><Relationship Id="rId48" Type="http://schemas.openxmlformats.org/officeDocument/2006/relationships/worksheet" Target="worksheets/sheet48.xml"/><Relationship Id="rId49" Type="http://schemas.openxmlformats.org/officeDocument/2006/relationships/worksheet" Target="worksheets/sheet49.xml"/><Relationship Id="rId60" Type="http://schemas.openxmlformats.org/officeDocument/2006/relationships/worksheet" Target="worksheets/sheet60.xml"/><Relationship Id="rId61" Type="http://schemas.openxmlformats.org/officeDocument/2006/relationships/worksheet" Target="worksheets/sheet61.xml"/><Relationship Id="rId62" Type="http://schemas.openxmlformats.org/officeDocument/2006/relationships/worksheet" Target="worksheets/sheet62.xml"/><Relationship Id="rId63" Type="http://schemas.openxmlformats.org/officeDocument/2006/relationships/worksheet" Target="worksheets/sheet63.xml"/><Relationship Id="rId64" Type="http://schemas.openxmlformats.org/officeDocument/2006/relationships/worksheet" Target="worksheets/sheet64.xml"/><Relationship Id="rId65" Type="http://schemas.openxmlformats.org/officeDocument/2006/relationships/worksheet" Target="worksheets/sheet65.xml"/><Relationship Id="rId66" Type="http://schemas.openxmlformats.org/officeDocument/2006/relationships/worksheet" Target="worksheets/sheet66.xml"/><Relationship Id="rId67" Type="http://schemas.openxmlformats.org/officeDocument/2006/relationships/worksheet" Target="worksheets/sheet67.xml"/><Relationship Id="rId68" Type="http://schemas.openxmlformats.org/officeDocument/2006/relationships/worksheet" Target="worksheets/sheet68.xml"/><Relationship Id="rId69" Type="http://schemas.openxmlformats.org/officeDocument/2006/relationships/worksheet" Target="worksheets/sheet69.xml"/><Relationship Id="rId100" Type="http://schemas.openxmlformats.org/officeDocument/2006/relationships/worksheet" Target="worksheets/sheet100.xml"/><Relationship Id="rId80" Type="http://schemas.openxmlformats.org/officeDocument/2006/relationships/worksheet" Target="worksheets/sheet80.xml"/><Relationship Id="rId81" Type="http://schemas.openxmlformats.org/officeDocument/2006/relationships/worksheet" Target="worksheets/sheet81.xml"/><Relationship Id="rId82" Type="http://schemas.openxmlformats.org/officeDocument/2006/relationships/worksheet" Target="worksheets/sheet82.xml"/><Relationship Id="rId83" Type="http://schemas.openxmlformats.org/officeDocument/2006/relationships/worksheet" Target="worksheets/sheet83.xml"/><Relationship Id="rId84" Type="http://schemas.openxmlformats.org/officeDocument/2006/relationships/worksheet" Target="worksheets/sheet84.xml"/><Relationship Id="rId85" Type="http://schemas.openxmlformats.org/officeDocument/2006/relationships/worksheet" Target="worksheets/sheet85.xml"/><Relationship Id="rId86" Type="http://schemas.openxmlformats.org/officeDocument/2006/relationships/worksheet" Target="worksheets/sheet86.xml"/><Relationship Id="rId87" Type="http://schemas.openxmlformats.org/officeDocument/2006/relationships/worksheet" Target="worksheets/sheet87.xml"/><Relationship Id="rId88" Type="http://schemas.openxmlformats.org/officeDocument/2006/relationships/worksheet" Target="worksheets/sheet88.xml"/><Relationship Id="rId89" Type="http://schemas.openxmlformats.org/officeDocument/2006/relationships/worksheet" Target="worksheets/sheet8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 Id="rId2"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 Id="rId2" Type="http://schemas.openxmlformats.org/officeDocument/2006/relationships/image" Target="../media/image7.emf"/><Relationship Id="rId3"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w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4.emf"/><Relationship Id="rId2" Type="http://schemas.openxmlformats.org/officeDocument/2006/relationships/image" Target="../media/image15.w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6.w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7.wmf"/><Relationship Id="rId2" Type="http://schemas.openxmlformats.org/officeDocument/2006/relationships/image" Target="../media/image18.wmf"/><Relationship Id="rId3" Type="http://schemas.openxmlformats.org/officeDocument/2006/relationships/image" Target="../media/image19.w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20.w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21.w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22.w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23.wmf"/></Relationships>
</file>

<file path=xl/drawings/_rels/vmlDrawing32.vml.rels><?xml version="1.0" encoding="UTF-8" standalone="yes"?>
<Relationships xmlns="http://schemas.openxmlformats.org/package/2006/relationships"><Relationship Id="rId3" Type="http://schemas.openxmlformats.org/officeDocument/2006/relationships/image" Target="../media/image26.emf"/><Relationship Id="rId4" Type="http://schemas.openxmlformats.org/officeDocument/2006/relationships/image" Target="../media/image27.emf"/><Relationship Id="rId5" Type="http://schemas.openxmlformats.org/officeDocument/2006/relationships/image" Target="../media/image28.emf"/><Relationship Id="rId6" Type="http://schemas.openxmlformats.org/officeDocument/2006/relationships/image" Target="../media/image29.emf"/><Relationship Id="rId7" Type="http://schemas.openxmlformats.org/officeDocument/2006/relationships/image" Target="../media/image30.emf"/><Relationship Id="rId8" Type="http://schemas.openxmlformats.org/officeDocument/2006/relationships/image" Target="../media/image31.emf"/><Relationship Id="rId9" Type="http://schemas.openxmlformats.org/officeDocument/2006/relationships/image" Target="../media/image32.emf"/><Relationship Id="rId10" Type="http://schemas.openxmlformats.org/officeDocument/2006/relationships/image" Target="../media/image33.wmf"/><Relationship Id="rId11" Type="http://schemas.openxmlformats.org/officeDocument/2006/relationships/image" Target="../media/image34.emf"/><Relationship Id="rId1" Type="http://schemas.openxmlformats.org/officeDocument/2006/relationships/image" Target="../media/image24.wmf"/><Relationship Id="rId2" Type="http://schemas.openxmlformats.org/officeDocument/2006/relationships/image" Target="../media/image25.emf"/></Relationships>
</file>

<file path=xl/drawings/_rels/vmlDrawing33.vml.rels><?xml version="1.0" encoding="UTF-8" standalone="yes"?>
<Relationships xmlns="http://schemas.openxmlformats.org/package/2006/relationships"><Relationship Id="rId1" Type="http://schemas.openxmlformats.org/officeDocument/2006/relationships/image" Target="../media/image35.w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36.wmf"/></Relationships>
</file>

<file path=xl/drawings/_rels/vmlDrawing36.vml.rels><?xml version="1.0" encoding="UTF-8" standalone="yes"?>
<Relationships xmlns="http://schemas.openxmlformats.org/package/2006/relationships"><Relationship Id="rId1" Type="http://schemas.openxmlformats.org/officeDocument/2006/relationships/image" Target="../media/image37.wmf"/></Relationships>
</file>

<file path=xl/drawings/_rels/vmlDrawing39.vml.rels><?xml version="1.0" encoding="UTF-8" standalone="yes"?>
<Relationships xmlns="http://schemas.openxmlformats.org/package/2006/relationships"><Relationship Id="rId1" Type="http://schemas.openxmlformats.org/officeDocument/2006/relationships/image" Target="../media/image38.wmf"/></Relationships>
</file>

<file path=xl/drawings/_rels/vmlDrawing40.vml.rels><?xml version="1.0" encoding="UTF-8" standalone="yes"?>
<Relationships xmlns="http://schemas.openxmlformats.org/package/2006/relationships"><Relationship Id="rId1" Type="http://schemas.openxmlformats.org/officeDocument/2006/relationships/image" Target="../media/image39.wmf"/></Relationships>
</file>

<file path=xl/drawings/_rels/vmlDrawing41.vml.rels><?xml version="1.0" encoding="UTF-8" standalone="yes"?>
<Relationships xmlns="http://schemas.openxmlformats.org/package/2006/relationships"><Relationship Id="rId1" Type="http://schemas.openxmlformats.org/officeDocument/2006/relationships/image" Target="../media/image40.wmf"/></Relationships>
</file>

<file path=xl/drawings/_rels/vmlDrawing42.vml.rels><?xml version="1.0" encoding="UTF-8" standalone="yes"?>
<Relationships xmlns="http://schemas.openxmlformats.org/package/2006/relationships"><Relationship Id="rId1" Type="http://schemas.openxmlformats.org/officeDocument/2006/relationships/image" Target="../media/image41.wmf"/><Relationship Id="rId2" Type="http://schemas.openxmlformats.org/officeDocument/2006/relationships/image" Target="../media/image42.wmf"/><Relationship Id="rId3" Type="http://schemas.openxmlformats.org/officeDocument/2006/relationships/image" Target="../media/image43.wmf"/></Relationships>
</file>

<file path=xl/drawings/_rels/vmlDrawing43.vml.rels><?xml version="1.0" encoding="UTF-8" standalone="yes"?>
<Relationships xmlns="http://schemas.openxmlformats.org/package/2006/relationships"><Relationship Id="rId1" Type="http://schemas.openxmlformats.org/officeDocument/2006/relationships/image" Target="../media/image44.wmf"/><Relationship Id="rId2" Type="http://schemas.openxmlformats.org/officeDocument/2006/relationships/image" Target="../media/image45.wmf"/><Relationship Id="rId3" Type="http://schemas.openxmlformats.org/officeDocument/2006/relationships/image" Target="../media/image46.wmf"/></Relationships>
</file>

<file path=xl/drawings/_rels/vmlDrawing44.vml.rels><?xml version="1.0" encoding="UTF-8" standalone="yes"?>
<Relationships xmlns="http://schemas.openxmlformats.org/package/2006/relationships"><Relationship Id="rId1" Type="http://schemas.openxmlformats.org/officeDocument/2006/relationships/image" Target="../media/image44.wmf"/></Relationships>
</file>

<file path=xl/drawings/_rels/vmlDrawing45.vml.rels><?xml version="1.0" encoding="UTF-8" standalone="yes"?>
<Relationships xmlns="http://schemas.openxmlformats.org/package/2006/relationships"><Relationship Id="rId1" Type="http://schemas.openxmlformats.org/officeDocument/2006/relationships/image" Target="../media/image44.wmf"/></Relationships>
</file>

<file path=xl/drawings/_rels/vmlDrawing46.vml.rels><?xml version="1.0" encoding="UTF-8" standalone="yes"?>
<Relationships xmlns="http://schemas.openxmlformats.org/package/2006/relationships"><Relationship Id="rId1" Type="http://schemas.openxmlformats.org/officeDocument/2006/relationships/image" Target="../media/image44.wmf"/></Relationships>
</file>

<file path=xl/drawings/_rels/vmlDrawing47.vml.rels><?xml version="1.0" encoding="UTF-8" standalone="yes"?>
<Relationships xmlns="http://schemas.openxmlformats.org/package/2006/relationships"><Relationship Id="rId1" Type="http://schemas.openxmlformats.org/officeDocument/2006/relationships/image" Target="../media/image44.wmf"/><Relationship Id="rId2" Type="http://schemas.openxmlformats.org/officeDocument/2006/relationships/image" Target="../media/image47.wmf"/></Relationships>
</file>

<file path=xl/drawings/_rels/vmlDrawing48.vml.rels><?xml version="1.0" encoding="UTF-8" standalone="yes"?>
<Relationships xmlns="http://schemas.openxmlformats.org/package/2006/relationships"><Relationship Id="rId1" Type="http://schemas.openxmlformats.org/officeDocument/2006/relationships/image" Target="../media/image44.wmf"/></Relationships>
</file>

<file path=xl/drawings/_rels/vmlDrawing49.vml.rels><?xml version="1.0" encoding="UTF-8" standalone="yes"?>
<Relationships xmlns="http://schemas.openxmlformats.org/package/2006/relationships"><Relationship Id="rId1" Type="http://schemas.openxmlformats.org/officeDocument/2006/relationships/image" Target="../media/image44.wmf"/></Relationships>
</file>

<file path=xl/drawings/_rels/vmlDrawing50.vml.rels><?xml version="1.0" encoding="UTF-8" standalone="yes"?>
<Relationships xmlns="http://schemas.openxmlformats.org/package/2006/relationships"><Relationship Id="rId1" Type="http://schemas.openxmlformats.org/officeDocument/2006/relationships/image" Target="../media/image48.wmf"/></Relationships>
</file>

<file path=xl/drawings/_rels/vmlDrawing53.vml.rels><?xml version="1.0" encoding="UTF-8" standalone="yes"?>
<Relationships xmlns="http://schemas.openxmlformats.org/package/2006/relationships"><Relationship Id="rId1" Type="http://schemas.openxmlformats.org/officeDocument/2006/relationships/image" Target="../media/image49.wmf"/></Relationships>
</file>

<file path=xl/drawings/_rels/vmlDrawing54.vml.rels><?xml version="1.0" encoding="UTF-8" standalone="yes"?>
<Relationships xmlns="http://schemas.openxmlformats.org/package/2006/relationships"><Relationship Id="rId1" Type="http://schemas.openxmlformats.org/officeDocument/2006/relationships/image" Target="../media/image50.wmf"/></Relationships>
</file>

<file path=xl/drawings/_rels/vmlDrawing55.vml.rels><?xml version="1.0" encoding="UTF-8" standalone="yes"?>
<Relationships xmlns="http://schemas.openxmlformats.org/package/2006/relationships"><Relationship Id="rId1" Type="http://schemas.openxmlformats.org/officeDocument/2006/relationships/image" Target="../media/image51.wmf"/></Relationships>
</file>

<file path=xl/drawings/_rels/vmlDrawing57.vml.rels><?xml version="1.0" encoding="UTF-8" standalone="yes"?>
<Relationships xmlns="http://schemas.openxmlformats.org/package/2006/relationships"><Relationship Id="rId1" Type="http://schemas.openxmlformats.org/officeDocument/2006/relationships/image" Target="../media/image52.wmf"/></Relationships>
</file>

<file path=xl/drawings/_rels/vmlDrawing60.vml.rels><?xml version="1.0" encoding="UTF-8" standalone="yes"?>
<Relationships xmlns="http://schemas.openxmlformats.org/package/2006/relationships"><Relationship Id="rId1" Type="http://schemas.openxmlformats.org/officeDocument/2006/relationships/image" Target="../media/image53.wmf"/></Relationships>
</file>

<file path=xl/drawings/_rels/vmlDrawing61.vml.rels><?xml version="1.0" encoding="UTF-8" standalone="yes"?>
<Relationships xmlns="http://schemas.openxmlformats.org/package/2006/relationships"><Relationship Id="rId1" Type="http://schemas.openxmlformats.org/officeDocument/2006/relationships/image" Target="../media/image54.wmf"/></Relationships>
</file>

<file path=xl/drawings/_rels/vmlDrawing63.vml.rels><?xml version="1.0" encoding="UTF-8" standalone="yes"?>
<Relationships xmlns="http://schemas.openxmlformats.org/package/2006/relationships"><Relationship Id="rId1" Type="http://schemas.openxmlformats.org/officeDocument/2006/relationships/image" Target="../media/image55.wmf"/></Relationships>
</file>

<file path=xl/drawings/_rels/vmlDrawing64.vml.rels><?xml version="1.0" encoding="UTF-8" standalone="yes"?>
<Relationships xmlns="http://schemas.openxmlformats.org/package/2006/relationships"><Relationship Id="rId1" Type="http://schemas.openxmlformats.org/officeDocument/2006/relationships/image" Target="../media/image56.wmf"/></Relationships>
</file>

<file path=xl/drawings/_rels/vmlDrawing65.vml.rels><?xml version="1.0" encoding="UTF-8" standalone="yes"?>
<Relationships xmlns="http://schemas.openxmlformats.org/package/2006/relationships"><Relationship Id="rId1" Type="http://schemas.openxmlformats.org/officeDocument/2006/relationships/image" Target="../media/image57.wmf"/></Relationships>
</file>

<file path=xl/drawings/_rels/vmlDrawing66.vml.rels><?xml version="1.0" encoding="UTF-8" standalone="yes"?>
<Relationships xmlns="http://schemas.openxmlformats.org/package/2006/relationships"><Relationship Id="rId1" Type="http://schemas.openxmlformats.org/officeDocument/2006/relationships/image" Target="../media/image58.wmf"/><Relationship Id="rId2" Type="http://schemas.openxmlformats.org/officeDocument/2006/relationships/image" Target="../media/image59.wmf"/><Relationship Id="rId3" Type="http://schemas.openxmlformats.org/officeDocument/2006/relationships/image" Target="../media/image60.wmf"/></Relationships>
</file>

<file path=xl/drawings/_rels/vmlDrawing67.vml.rels><?xml version="1.0" encoding="UTF-8" standalone="yes"?>
<Relationships xmlns="http://schemas.openxmlformats.org/package/2006/relationships"><Relationship Id="rId1" Type="http://schemas.openxmlformats.org/officeDocument/2006/relationships/image" Target="../media/image61.wmf"/></Relationships>
</file>

<file path=xl/drawings/_rels/vmlDrawing68.vml.rels><?xml version="1.0" encoding="UTF-8" standalone="yes"?>
<Relationships xmlns="http://schemas.openxmlformats.org/package/2006/relationships"><Relationship Id="rId1" Type="http://schemas.openxmlformats.org/officeDocument/2006/relationships/image" Target="../media/image62.wmf"/></Relationships>
</file>

<file path=xl/drawings/_rels/vmlDrawing69.vml.rels><?xml version="1.0" encoding="UTF-8" standalone="yes"?>
<Relationships xmlns="http://schemas.openxmlformats.org/package/2006/relationships"><Relationship Id="rId1" Type="http://schemas.openxmlformats.org/officeDocument/2006/relationships/image" Target="../media/image63.wmf"/></Relationships>
</file>

<file path=xl/drawings/_rels/vmlDrawing70.vml.rels><?xml version="1.0" encoding="UTF-8" standalone="yes"?>
<Relationships xmlns="http://schemas.openxmlformats.org/package/2006/relationships"><Relationship Id="rId1" Type="http://schemas.openxmlformats.org/officeDocument/2006/relationships/image" Target="../media/image33.wmf"/></Relationships>
</file>

<file path=xl/drawings/_rels/vmlDrawing72.vml.rels><?xml version="1.0" encoding="UTF-8" standalone="yes"?>
<Relationships xmlns="http://schemas.openxmlformats.org/package/2006/relationships"><Relationship Id="rId1" Type="http://schemas.openxmlformats.org/officeDocument/2006/relationships/image" Target="../media/image64.wmf"/><Relationship Id="rId2" Type="http://schemas.openxmlformats.org/officeDocument/2006/relationships/image" Target="../media/image65.wmf"/></Relationships>
</file>

<file path=xl/drawings/_rels/vmlDrawing75.vml.rels><?xml version="1.0" encoding="UTF-8" standalone="yes"?>
<Relationships xmlns="http://schemas.openxmlformats.org/package/2006/relationships"><Relationship Id="rId1" Type="http://schemas.openxmlformats.org/officeDocument/2006/relationships/image" Target="../media/image66.wmf"/></Relationships>
</file>

<file path=xl/drawings/_rels/vmlDrawing77.vml.rels><?xml version="1.0" encoding="UTF-8" standalone="yes"?>
<Relationships xmlns="http://schemas.openxmlformats.org/package/2006/relationships"><Relationship Id="rId1" Type="http://schemas.openxmlformats.org/officeDocument/2006/relationships/image" Target="../media/image67.wmf"/></Relationships>
</file>

<file path=xl/drawings/_rels/vmlDrawing79.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82.vml.rels><?xml version="1.0" encoding="UTF-8" standalone="yes"?>
<Relationships xmlns="http://schemas.openxmlformats.org/package/2006/relationships"><Relationship Id="rId1" Type="http://schemas.openxmlformats.org/officeDocument/2006/relationships/image" Target="../media/image68.wmf"/></Relationships>
</file>

<file path=xl/drawings/_rels/vmlDrawing84.vml.rels><?xml version="1.0" encoding="UTF-8" standalone="yes"?>
<Relationships xmlns="http://schemas.openxmlformats.org/package/2006/relationships"><Relationship Id="rId1" Type="http://schemas.openxmlformats.org/officeDocument/2006/relationships/image" Target="../media/image69.wmf"/><Relationship Id="rId2" Type="http://schemas.openxmlformats.org/officeDocument/2006/relationships/image" Target="../media/image70.wmf"/></Relationships>
</file>

<file path=xl/drawings/_rels/vmlDrawing85.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88.vml.rels><?xml version="1.0" encoding="UTF-8" standalone="yes"?>
<Relationships xmlns="http://schemas.openxmlformats.org/package/2006/relationships"><Relationship Id="rId1" Type="http://schemas.openxmlformats.org/officeDocument/2006/relationships/image" Target="../media/image72.wmf"/></Relationships>
</file>

<file path=xl/drawings/_rels/vmlDrawing90.vml.rels><?xml version="1.0" encoding="UTF-8" standalone="yes"?>
<Relationships xmlns="http://schemas.openxmlformats.org/package/2006/relationships"><Relationship Id="rId1" Type="http://schemas.openxmlformats.org/officeDocument/2006/relationships/image" Target="../media/image73.wmf"/></Relationships>
</file>

<file path=xl/drawings/_rels/vmlDrawing91.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92.vml.rels><?xml version="1.0" encoding="UTF-8" standalone="yes"?>
<Relationships xmlns="http://schemas.openxmlformats.org/package/2006/relationships"><Relationship Id="rId1" Type="http://schemas.openxmlformats.org/officeDocument/2006/relationships/image" Target="../media/image75.wmf"/></Relationships>
</file>

<file path=xl/drawings/_rels/vmlDrawing94.vml.rels><?xml version="1.0" encoding="UTF-8" standalone="yes"?>
<Relationships xmlns="http://schemas.openxmlformats.org/package/2006/relationships"><Relationship Id="rId1" Type="http://schemas.openxmlformats.org/officeDocument/2006/relationships/image" Target="../media/image76.wmf"/><Relationship Id="rId2" Type="http://schemas.openxmlformats.org/officeDocument/2006/relationships/image" Target="../media/image77.wmf"/></Relationships>
</file>

<file path=xl/drawings/_rels/vmlDrawing95.vml.rels><?xml version="1.0" encoding="UTF-8" standalone="yes"?>
<Relationships xmlns="http://schemas.openxmlformats.org/package/2006/relationships"><Relationship Id="rId1" Type="http://schemas.openxmlformats.org/officeDocument/2006/relationships/image" Target="../media/image78.wmf"/></Relationships>
</file>

<file path=xl/drawings/_rels/vmlDrawing96.vml.rels><?xml version="1.0" encoding="UTF-8" standalone="yes"?>
<Relationships xmlns="http://schemas.openxmlformats.org/package/2006/relationships"><Relationship Id="rId1" Type="http://schemas.openxmlformats.org/officeDocument/2006/relationships/image" Target="../media/image79.wmf"/></Relationships>
</file>

<file path=xl/drawings/_rels/vmlDrawing97.vml.rels><?xml version="1.0" encoding="UTF-8" standalone="yes"?>
<Relationships xmlns="http://schemas.openxmlformats.org/package/2006/relationships"><Relationship Id="rId1" Type="http://schemas.openxmlformats.org/officeDocument/2006/relationships/image" Target="../media/image80.wmf"/></Relationships>
</file>

<file path=xl/drawings/_rels/vmlDrawing98.vml.rels><?xml version="1.0" encoding="UTF-8" standalone="yes"?>
<Relationships xmlns="http://schemas.openxmlformats.org/package/2006/relationships"><Relationship Id="rId1" Type="http://schemas.openxmlformats.org/officeDocument/2006/relationships/image" Target="../media/image81.wmf"/></Relationships>
</file>

<file path=xl/drawings/_rels/vmlDrawing99.vml.rels><?xml version="1.0" encoding="UTF-8" standalone="yes"?>
<Relationships xmlns="http://schemas.openxmlformats.org/package/2006/relationships"><Relationship Id="rId1" Type="http://schemas.openxmlformats.org/officeDocument/2006/relationships/image" Target="../media/image82.wmf"/></Relationships>
</file>

<file path=xl/drawings/_rels/vmlDrawing101.vml.rels><?xml version="1.0" encoding="UTF-8" standalone="yes"?>
<Relationships xmlns="http://schemas.openxmlformats.org/package/2006/relationships"><Relationship Id="rId1" Type="http://schemas.openxmlformats.org/officeDocument/2006/relationships/image" Target="../media/image83.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71712" name="Button 32" hidden="1">
              <a:extLst>
                <a:ext uri="{63B3BB69-23CF-44E3-9099-C40C66FF867C}">
                  <a14:compatExt spid="_x0000_s7171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71713" name="Button 33" hidden="1">
              <a:extLst>
                <a:ext uri="{63B3BB69-23CF-44E3-9099-C40C66FF867C}">
                  <a14:compatExt spid="_x0000_s717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71714" name="Button 34" hidden="1">
              <a:extLst>
                <a:ext uri="{63B3BB69-23CF-44E3-9099-C40C66FF867C}">
                  <a14:compatExt spid="_x0000_s717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71715" name="Button 35" hidden="1">
              <a:extLst>
                <a:ext uri="{63B3BB69-23CF-44E3-9099-C40C66FF867C}">
                  <a14:compatExt spid="_x0000_s7171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622300</xdr:colOff>
          <xdr:row>4</xdr:row>
          <xdr:rowOff>812800</xdr:rowOff>
        </xdr:from>
        <xdr:to>
          <xdr:col>6</xdr:col>
          <xdr:colOff>114300</xdr:colOff>
          <xdr:row>5</xdr:row>
          <xdr:rowOff>444500</xdr:rowOff>
        </xdr:to>
        <xdr:sp macro="" textlink="">
          <xdr:nvSpPr>
            <xdr:cNvPr id="1025" name="Picture 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06497" name="Button 1" hidden="1">
              <a:extLst>
                <a:ext uri="{63B3BB69-23CF-44E3-9099-C40C66FF867C}">
                  <a14:compatExt spid="_x0000_s1064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06498" name="Button 2" hidden="1">
              <a:extLst>
                <a:ext uri="{63B3BB69-23CF-44E3-9099-C40C66FF867C}">
                  <a14:compatExt spid="_x0000_s1064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06499" name="Button 3" hidden="1">
              <a:extLst>
                <a:ext uri="{63B3BB69-23CF-44E3-9099-C40C66FF867C}">
                  <a14:compatExt spid="_x0000_s1064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06500" name="Button 4" hidden="1">
              <a:extLst>
                <a:ext uri="{63B3BB69-23CF-44E3-9099-C40C66FF867C}">
                  <a14:compatExt spid="_x0000_s10650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72710" name="Button 6" hidden="1">
              <a:extLst>
                <a:ext uri="{63B3BB69-23CF-44E3-9099-C40C66FF867C}">
                  <a14:compatExt spid="_x0000_s7271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72711" name="Button 7" hidden="1">
              <a:extLst>
                <a:ext uri="{63B3BB69-23CF-44E3-9099-C40C66FF867C}">
                  <a14:compatExt spid="_x0000_s7271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72712" name="Button 8" hidden="1">
              <a:extLst>
                <a:ext uri="{63B3BB69-23CF-44E3-9099-C40C66FF867C}">
                  <a14:compatExt spid="_x0000_s7271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72713" name="Button 9" hidden="1">
              <a:extLst>
                <a:ext uri="{63B3BB69-23CF-44E3-9099-C40C66FF867C}">
                  <a14:compatExt spid="_x0000_s727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4</xdr:row>
          <xdr:rowOff>12700</xdr:rowOff>
        </xdr:from>
        <xdr:to>
          <xdr:col>3</xdr:col>
          <xdr:colOff>431800</xdr:colOff>
          <xdr:row>4</xdr:row>
          <xdr:rowOff>431800</xdr:rowOff>
        </xdr:to>
        <xdr:sp macro="" textlink="">
          <xdr:nvSpPr>
            <xdr:cNvPr id="28674" name="Object 2" hidden="1">
              <a:extLst>
                <a:ext uri="{63B3BB69-23CF-44E3-9099-C40C66FF867C}">
                  <a14:compatExt spid="_x0000_s286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28675" name="Button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28676" name="Button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28677" name="Button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8678" name="Button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54274" name="Button 2" hidden="1">
              <a:extLst>
                <a:ext uri="{63B3BB69-23CF-44E3-9099-C40C66FF867C}">
                  <a14:compatExt spid="_x0000_s542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54275" name="Button 3" hidden="1">
              <a:extLst>
                <a:ext uri="{63B3BB69-23CF-44E3-9099-C40C66FF867C}">
                  <a14:compatExt spid="_x0000_s542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203200</xdr:colOff>
          <xdr:row>1</xdr:row>
          <xdr:rowOff>25400</xdr:rowOff>
        </xdr:from>
        <xdr:to>
          <xdr:col>4</xdr:col>
          <xdr:colOff>152400</xdr:colOff>
          <xdr:row>1</xdr:row>
          <xdr:rowOff>254000</xdr:rowOff>
        </xdr:to>
        <xdr:sp macro="" textlink="">
          <xdr:nvSpPr>
            <xdr:cNvPr id="54276" name="Button 4" hidden="1">
              <a:extLst>
                <a:ext uri="{63B3BB69-23CF-44E3-9099-C40C66FF867C}">
                  <a14:compatExt spid="_x0000_s5427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54277" name="Button 5" hidden="1">
              <a:extLst>
                <a:ext uri="{63B3BB69-23CF-44E3-9099-C40C66FF867C}">
                  <a14:compatExt spid="_x0000_s542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4</xdr:row>
          <xdr:rowOff>12700</xdr:rowOff>
        </xdr:from>
        <xdr:to>
          <xdr:col>5</xdr:col>
          <xdr:colOff>76200</xdr:colOff>
          <xdr:row>4</xdr:row>
          <xdr:rowOff>419100</xdr:rowOff>
        </xdr:to>
        <xdr:sp macro="" textlink="">
          <xdr:nvSpPr>
            <xdr:cNvPr id="2050" name="Object 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279400</xdr:colOff>
          <xdr:row>6</xdr:row>
          <xdr:rowOff>63500</xdr:rowOff>
        </xdr:from>
        <xdr:to>
          <xdr:col>7</xdr:col>
          <xdr:colOff>342900</xdr:colOff>
          <xdr:row>7</xdr:row>
          <xdr:rowOff>292100</xdr:rowOff>
        </xdr:to>
        <xdr:sp macro="" textlink="">
          <xdr:nvSpPr>
            <xdr:cNvPr id="27653" name="Object 5" hidden="1">
              <a:extLst>
                <a:ext uri="{63B3BB69-23CF-44E3-9099-C40C66FF867C}">
                  <a14:compatExt spid="_x0000_s276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8</xdr:row>
          <xdr:rowOff>50800</xdr:rowOff>
        </xdr:from>
        <xdr:to>
          <xdr:col>7</xdr:col>
          <xdr:colOff>114300</xdr:colOff>
          <xdr:row>8</xdr:row>
          <xdr:rowOff>431800</xdr:rowOff>
        </xdr:to>
        <xdr:sp macro="" textlink="">
          <xdr:nvSpPr>
            <xdr:cNvPr id="27654" name="Object 6" hidden="1">
              <a:extLst>
                <a:ext uri="{63B3BB69-23CF-44E3-9099-C40C66FF867C}">
                  <a14:compatExt spid="_x0000_s276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27655" name="Button 7" hidden="1">
              <a:extLst>
                <a:ext uri="{63B3BB69-23CF-44E3-9099-C40C66FF867C}">
                  <a14:compatExt spid="_x0000_s2765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27656" name="Button 8" hidden="1">
              <a:extLst>
                <a:ext uri="{63B3BB69-23CF-44E3-9099-C40C66FF867C}">
                  <a14:compatExt spid="_x0000_s2765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27657" name="Button 9" hidden="1">
              <a:extLst>
                <a:ext uri="{63B3BB69-23CF-44E3-9099-C40C66FF867C}">
                  <a14:compatExt spid="_x0000_s2765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7658" name="Button 10" hidden="1">
              <a:extLst>
                <a:ext uri="{63B3BB69-23CF-44E3-9099-C40C66FF867C}">
                  <a14:compatExt spid="_x0000_s2765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73729" name="Button 1" hidden="1">
              <a:extLst>
                <a:ext uri="{63B3BB69-23CF-44E3-9099-C40C66FF867C}">
                  <a14:compatExt spid="_x0000_s737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73730" name="Button 2" hidden="1">
              <a:extLst>
                <a:ext uri="{63B3BB69-23CF-44E3-9099-C40C66FF867C}">
                  <a14:compatExt spid="_x0000_s7373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73731" name="Button 3" hidden="1">
              <a:extLst>
                <a:ext uri="{63B3BB69-23CF-44E3-9099-C40C66FF867C}">
                  <a14:compatExt spid="_x0000_s7373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73732" name="Button 4" hidden="1">
              <a:extLst>
                <a:ext uri="{63B3BB69-23CF-44E3-9099-C40C66FF867C}">
                  <a14:compatExt spid="_x0000_s7373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88900</xdr:rowOff>
        </xdr:from>
        <xdr:to>
          <xdr:col>4</xdr:col>
          <xdr:colOff>254000</xdr:colOff>
          <xdr:row>6</xdr:row>
          <xdr:rowOff>723900</xdr:rowOff>
        </xdr:to>
        <xdr:sp macro="" textlink="">
          <xdr:nvSpPr>
            <xdr:cNvPr id="53252" name="Object 4" hidden="1">
              <a:extLst>
                <a:ext uri="{63B3BB69-23CF-44E3-9099-C40C66FF867C}">
                  <a14:compatExt spid="_x0000_s53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787400</xdr:colOff>
          <xdr:row>8</xdr:row>
          <xdr:rowOff>203200</xdr:rowOff>
        </xdr:from>
        <xdr:to>
          <xdr:col>7</xdr:col>
          <xdr:colOff>508000</xdr:colOff>
          <xdr:row>9</xdr:row>
          <xdr:rowOff>673100</xdr:rowOff>
        </xdr:to>
        <xdr:sp macro="" textlink="">
          <xdr:nvSpPr>
            <xdr:cNvPr id="53253" name="Object 5" hidden="1">
              <a:extLst>
                <a:ext uri="{63B3BB69-23CF-44E3-9099-C40C66FF867C}">
                  <a14:compatExt spid="_x0000_s53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673100</xdr:colOff>
          <xdr:row>11</xdr:row>
          <xdr:rowOff>215900</xdr:rowOff>
        </xdr:from>
        <xdr:to>
          <xdr:col>7</xdr:col>
          <xdr:colOff>139700</xdr:colOff>
          <xdr:row>12</xdr:row>
          <xdr:rowOff>76200</xdr:rowOff>
        </xdr:to>
        <xdr:sp macro="" textlink="">
          <xdr:nvSpPr>
            <xdr:cNvPr id="53254" name="Object 6" hidden="1">
              <a:extLst>
                <a:ext uri="{63B3BB69-23CF-44E3-9099-C40C66FF867C}">
                  <a14:compatExt spid="_x0000_s53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53255" name="Button 7" hidden="1">
              <a:extLst>
                <a:ext uri="{63B3BB69-23CF-44E3-9099-C40C66FF867C}">
                  <a14:compatExt spid="_x0000_s5325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53256" name="Button 8" hidden="1">
              <a:extLst>
                <a:ext uri="{63B3BB69-23CF-44E3-9099-C40C66FF867C}">
                  <a14:compatExt spid="_x0000_s5325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53257" name="Button 9" hidden="1">
              <a:extLst>
                <a:ext uri="{63B3BB69-23CF-44E3-9099-C40C66FF867C}">
                  <a14:compatExt spid="_x0000_s5325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53258" name="Button 10" hidden="1">
              <a:extLst>
                <a:ext uri="{63B3BB69-23CF-44E3-9099-C40C66FF867C}">
                  <a14:compatExt spid="_x0000_s5325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50800</xdr:colOff>
          <xdr:row>4</xdr:row>
          <xdr:rowOff>12700</xdr:rowOff>
        </xdr:from>
        <xdr:to>
          <xdr:col>5</xdr:col>
          <xdr:colOff>317500</xdr:colOff>
          <xdr:row>4</xdr:row>
          <xdr:rowOff>431800</xdr:rowOff>
        </xdr:to>
        <xdr:sp macro="" textlink="">
          <xdr:nvSpPr>
            <xdr:cNvPr id="3074" name="Object 2"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838200</xdr:colOff>
          <xdr:row>5</xdr:row>
          <xdr:rowOff>12700</xdr:rowOff>
        </xdr:from>
        <xdr:to>
          <xdr:col>5</xdr:col>
          <xdr:colOff>495300</xdr:colOff>
          <xdr:row>5</xdr:row>
          <xdr:rowOff>406400</xdr:rowOff>
        </xdr:to>
        <xdr:sp macro="" textlink="">
          <xdr:nvSpPr>
            <xdr:cNvPr id="4098" name="Object 2"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4101" name="Button 5" hidden="1">
              <a:extLst>
                <a:ext uri="{63B3BB69-23CF-44E3-9099-C40C66FF867C}">
                  <a14:compatExt spid="_x0000_s410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4102" name="Button 6" hidden="1">
              <a:extLst>
                <a:ext uri="{63B3BB69-23CF-44E3-9099-C40C66FF867C}">
                  <a14:compatExt spid="_x0000_s410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5</xdr:row>
          <xdr:rowOff>50800</xdr:rowOff>
        </xdr:from>
        <xdr:to>
          <xdr:col>5</xdr:col>
          <xdr:colOff>838200</xdr:colOff>
          <xdr:row>5</xdr:row>
          <xdr:rowOff>939800</xdr:rowOff>
        </xdr:to>
        <xdr:sp macro="" textlink="">
          <xdr:nvSpPr>
            <xdr:cNvPr id="5123" name="Object 3" hidden="1">
              <a:extLst>
                <a:ext uri="{63B3BB69-23CF-44E3-9099-C40C66FF867C}">
                  <a14:compatExt spid="_x0000_s5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5124" name="Button 4" hidden="1">
              <a:extLst>
                <a:ext uri="{63B3BB69-23CF-44E3-9099-C40C66FF867C}">
                  <a14:compatExt spid="_x0000_s512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5125" name="Button 5" hidden="1">
              <a:extLst>
                <a:ext uri="{63B3BB69-23CF-44E3-9099-C40C66FF867C}">
                  <a14:compatExt spid="_x0000_s51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5126" name="Button 6" hidden="1">
              <a:extLst>
                <a:ext uri="{63B3BB69-23CF-44E3-9099-C40C66FF867C}">
                  <a14:compatExt spid="_x0000_s51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5127" name="Button 7" hidden="1">
              <a:extLst>
                <a:ext uri="{63B3BB69-23CF-44E3-9099-C40C66FF867C}">
                  <a14:compatExt spid="_x0000_s51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74753" name="Button 1" hidden="1">
              <a:extLst>
                <a:ext uri="{63B3BB69-23CF-44E3-9099-C40C66FF867C}">
                  <a14:compatExt spid="_x0000_s747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74754" name="Button 2" hidden="1">
              <a:extLst>
                <a:ext uri="{63B3BB69-23CF-44E3-9099-C40C66FF867C}">
                  <a14:compatExt spid="_x0000_s747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74755" name="Button 3" hidden="1">
              <a:extLst>
                <a:ext uri="{63B3BB69-23CF-44E3-9099-C40C66FF867C}">
                  <a14:compatExt spid="_x0000_s7475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74756" name="Button 4" hidden="1">
              <a:extLst>
                <a:ext uri="{63B3BB69-23CF-44E3-9099-C40C66FF867C}">
                  <a14:compatExt spid="_x0000_s7475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584200</xdr:colOff>
          <xdr:row>5</xdr:row>
          <xdr:rowOff>101600</xdr:rowOff>
        </xdr:from>
        <xdr:to>
          <xdr:col>3</xdr:col>
          <xdr:colOff>139700</xdr:colOff>
          <xdr:row>5</xdr:row>
          <xdr:rowOff>533400</xdr:rowOff>
        </xdr:to>
        <xdr:sp macro="" textlink="">
          <xdr:nvSpPr>
            <xdr:cNvPr id="6146" name="Object 2" hidden="1">
              <a:extLst>
                <a:ext uri="{63B3BB69-23CF-44E3-9099-C40C66FF867C}">
                  <a14:compatExt spid="_x0000_s61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6148" name="Button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6149" name="Button 5" hidden="1">
              <a:extLst>
                <a:ext uri="{63B3BB69-23CF-44E3-9099-C40C66FF867C}">
                  <a14:compatExt spid="_x0000_s61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6150" name="Button 6" hidden="1">
              <a:extLst>
                <a:ext uri="{63B3BB69-23CF-44E3-9099-C40C66FF867C}">
                  <a14:compatExt spid="_x0000_s61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75777" name="Button 1" hidden="1">
              <a:extLst>
                <a:ext uri="{63B3BB69-23CF-44E3-9099-C40C66FF867C}">
                  <a14:compatExt spid="_x0000_s757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75778" name="Button 2" hidden="1">
              <a:extLst>
                <a:ext uri="{63B3BB69-23CF-44E3-9099-C40C66FF867C}">
                  <a14:compatExt spid="_x0000_s757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75779" name="Button 3" hidden="1">
              <a:extLst>
                <a:ext uri="{63B3BB69-23CF-44E3-9099-C40C66FF867C}">
                  <a14:compatExt spid="_x0000_s7577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75780" name="Button 4" hidden="1">
              <a:extLst>
                <a:ext uri="{63B3BB69-23CF-44E3-9099-C40C66FF867C}">
                  <a14:compatExt spid="_x0000_s7578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105473" name="Button 1" hidden="1">
              <a:extLst>
                <a:ext uri="{63B3BB69-23CF-44E3-9099-C40C66FF867C}">
                  <a14:compatExt spid="_x0000_s1054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05474" name="Button 2" hidden="1">
              <a:extLst>
                <a:ext uri="{63B3BB69-23CF-44E3-9099-C40C66FF867C}">
                  <a14:compatExt spid="_x0000_s1054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05475" name="Button 3" hidden="1">
              <a:extLst>
                <a:ext uri="{63B3BB69-23CF-44E3-9099-C40C66FF867C}">
                  <a14:compatExt spid="_x0000_s1054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05476" name="Button 4" hidden="1">
              <a:extLst>
                <a:ext uri="{63B3BB69-23CF-44E3-9099-C40C66FF867C}">
                  <a14:compatExt spid="_x0000_s10547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317500</xdr:colOff>
          <xdr:row>4</xdr:row>
          <xdr:rowOff>38100</xdr:rowOff>
        </xdr:from>
        <xdr:to>
          <xdr:col>5</xdr:col>
          <xdr:colOff>533400</xdr:colOff>
          <xdr:row>4</xdr:row>
          <xdr:rowOff>596900</xdr:rowOff>
        </xdr:to>
        <xdr:sp macro="" textlink="">
          <xdr:nvSpPr>
            <xdr:cNvPr id="56321" name="Object 1" hidden="1">
              <a:extLst>
                <a:ext uri="{63B3BB69-23CF-44E3-9099-C40C66FF867C}">
                  <a14:compatExt spid="_x0000_s56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56322" name="Button 2" hidden="1">
              <a:extLst>
                <a:ext uri="{63B3BB69-23CF-44E3-9099-C40C66FF867C}">
                  <a14:compatExt spid="_x0000_s563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56323" name="Button 3" hidden="1">
              <a:extLst>
                <a:ext uri="{63B3BB69-23CF-44E3-9099-C40C66FF867C}">
                  <a14:compatExt spid="_x0000_s5632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56324" name="Button 4" hidden="1">
              <a:extLst>
                <a:ext uri="{63B3BB69-23CF-44E3-9099-C40C66FF867C}">
                  <a14:compatExt spid="_x0000_s5632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56325" name="Button 5" hidden="1">
              <a:extLst>
                <a:ext uri="{63B3BB69-23CF-44E3-9099-C40C66FF867C}">
                  <a14:compatExt spid="_x0000_s563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76801" name="Button 1" hidden="1">
              <a:extLst>
                <a:ext uri="{63B3BB69-23CF-44E3-9099-C40C66FF867C}">
                  <a14:compatExt spid="_x0000_s7680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76802" name="Button 2" hidden="1">
              <a:extLst>
                <a:ext uri="{63B3BB69-23CF-44E3-9099-C40C66FF867C}">
                  <a14:compatExt spid="_x0000_s7680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76803" name="Button 3" hidden="1">
              <a:extLst>
                <a:ext uri="{63B3BB69-23CF-44E3-9099-C40C66FF867C}">
                  <a14:compatExt spid="_x0000_s7680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76804" name="Button 4" hidden="1">
              <a:extLst>
                <a:ext uri="{63B3BB69-23CF-44E3-9099-C40C66FF867C}">
                  <a14:compatExt spid="_x0000_s7680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77825" name="Button 1" hidden="1">
              <a:extLst>
                <a:ext uri="{63B3BB69-23CF-44E3-9099-C40C66FF867C}">
                  <a14:compatExt spid="_x0000_s778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77826" name="Button 2" hidden="1">
              <a:extLst>
                <a:ext uri="{63B3BB69-23CF-44E3-9099-C40C66FF867C}">
                  <a14:compatExt spid="_x0000_s778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77827" name="Button 3" hidden="1">
              <a:extLst>
                <a:ext uri="{63B3BB69-23CF-44E3-9099-C40C66FF867C}">
                  <a14:compatExt spid="_x0000_s778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77828" name="Button 4" hidden="1">
              <a:extLst>
                <a:ext uri="{63B3BB69-23CF-44E3-9099-C40C66FF867C}">
                  <a14:compatExt spid="_x0000_s7782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78849" name="Button 1" hidden="1">
              <a:extLst>
                <a:ext uri="{63B3BB69-23CF-44E3-9099-C40C66FF867C}">
                  <a14:compatExt spid="_x0000_s788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78850" name="Button 2" hidden="1">
              <a:extLst>
                <a:ext uri="{63B3BB69-23CF-44E3-9099-C40C66FF867C}">
                  <a14:compatExt spid="_x0000_s788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78851" name="Button 3" hidden="1">
              <a:extLst>
                <a:ext uri="{63B3BB69-23CF-44E3-9099-C40C66FF867C}">
                  <a14:compatExt spid="_x0000_s7885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78852" name="Button 4" hidden="1">
              <a:extLst>
                <a:ext uri="{63B3BB69-23CF-44E3-9099-C40C66FF867C}">
                  <a14:compatExt spid="_x0000_s788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12700</xdr:colOff>
          <xdr:row>79</xdr:row>
          <xdr:rowOff>88900</xdr:rowOff>
        </xdr:from>
        <xdr:to>
          <xdr:col>5</xdr:col>
          <xdr:colOff>241300</xdr:colOff>
          <xdr:row>80</xdr:row>
          <xdr:rowOff>139700</xdr:rowOff>
        </xdr:to>
        <xdr:sp macro="" textlink="">
          <xdr:nvSpPr>
            <xdr:cNvPr id="57346" name="Object 2" hidden="1">
              <a:extLst>
                <a:ext uri="{63B3BB69-23CF-44E3-9099-C40C66FF867C}">
                  <a14:compatExt spid="_x0000_s57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12700</xdr:colOff>
          <xdr:row>84</xdr:row>
          <xdr:rowOff>12700</xdr:rowOff>
        </xdr:from>
        <xdr:to>
          <xdr:col>5</xdr:col>
          <xdr:colOff>495300</xdr:colOff>
          <xdr:row>85</xdr:row>
          <xdr:rowOff>0</xdr:rowOff>
        </xdr:to>
        <xdr:sp macro="" textlink="">
          <xdr:nvSpPr>
            <xdr:cNvPr id="57347" name="Object 3" hidden="1">
              <a:extLst>
                <a:ext uri="{63B3BB69-23CF-44E3-9099-C40C66FF867C}">
                  <a14:compatExt spid="_x0000_s57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57348" name="Button 4" hidden="1">
              <a:extLst>
                <a:ext uri="{63B3BB69-23CF-44E3-9099-C40C66FF867C}">
                  <a14:compatExt spid="_x0000_s5734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57349" name="Button 5" hidden="1">
              <a:extLst>
                <a:ext uri="{63B3BB69-23CF-44E3-9099-C40C66FF867C}">
                  <a14:compatExt spid="_x0000_s573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57350" name="Button 6" hidden="1">
              <a:extLst>
                <a:ext uri="{63B3BB69-23CF-44E3-9099-C40C66FF867C}">
                  <a14:compatExt spid="_x0000_s573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57351" name="Button 7" hidden="1">
              <a:extLst>
                <a:ext uri="{63B3BB69-23CF-44E3-9099-C40C66FF867C}">
                  <a14:compatExt spid="_x0000_s5735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711200</xdr:colOff>
          <xdr:row>7</xdr:row>
          <xdr:rowOff>0</xdr:rowOff>
        </xdr:from>
        <xdr:to>
          <xdr:col>8</xdr:col>
          <xdr:colOff>723900</xdr:colOff>
          <xdr:row>8</xdr:row>
          <xdr:rowOff>38100</xdr:rowOff>
        </xdr:to>
        <xdr:sp macro="" textlink="">
          <xdr:nvSpPr>
            <xdr:cNvPr id="68610" name="Object 2" hidden="1">
              <a:extLst>
                <a:ext uri="{63B3BB69-23CF-44E3-9099-C40C66FF867C}">
                  <a14:compatExt spid="_x0000_s686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68611" name="Button 3" hidden="1">
              <a:extLst>
                <a:ext uri="{63B3BB69-23CF-44E3-9099-C40C66FF867C}">
                  <a14:compatExt spid="_x0000_s6861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68612" name="Button 4" hidden="1">
              <a:extLst>
                <a:ext uri="{63B3BB69-23CF-44E3-9099-C40C66FF867C}">
                  <a14:compatExt spid="_x0000_s6861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203200</xdr:colOff>
          <xdr:row>1</xdr:row>
          <xdr:rowOff>25400</xdr:rowOff>
        </xdr:from>
        <xdr:to>
          <xdr:col>4</xdr:col>
          <xdr:colOff>152400</xdr:colOff>
          <xdr:row>1</xdr:row>
          <xdr:rowOff>254000</xdr:rowOff>
        </xdr:to>
        <xdr:sp macro="" textlink="">
          <xdr:nvSpPr>
            <xdr:cNvPr id="68613" name="Button 5" hidden="1">
              <a:extLst>
                <a:ext uri="{63B3BB69-23CF-44E3-9099-C40C66FF867C}">
                  <a14:compatExt spid="_x0000_s686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68614" name="Button 6" hidden="1">
              <a:extLst>
                <a:ext uri="{63B3BB69-23CF-44E3-9099-C40C66FF867C}">
                  <a14:compatExt spid="_x0000_s686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6</xdr:row>
          <xdr:rowOff>25400</xdr:rowOff>
        </xdr:from>
        <xdr:to>
          <xdr:col>6</xdr:col>
          <xdr:colOff>508000</xdr:colOff>
          <xdr:row>7</xdr:row>
          <xdr:rowOff>190500</xdr:rowOff>
        </xdr:to>
        <xdr:sp macro="" textlink="">
          <xdr:nvSpPr>
            <xdr:cNvPr id="35852" name="Object 12" hidden="1">
              <a:extLst>
                <a:ext uri="{63B3BB69-23CF-44E3-9099-C40C66FF867C}">
                  <a14:compatExt spid="_x0000_s358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228600</xdr:colOff>
          <xdr:row>8</xdr:row>
          <xdr:rowOff>12700</xdr:rowOff>
        </xdr:from>
        <xdr:to>
          <xdr:col>4</xdr:col>
          <xdr:colOff>431800</xdr:colOff>
          <xdr:row>8</xdr:row>
          <xdr:rowOff>419100</xdr:rowOff>
        </xdr:to>
        <xdr:sp macro="" textlink="">
          <xdr:nvSpPr>
            <xdr:cNvPr id="35851" name="Object 11" hidden="1">
              <a:extLst>
                <a:ext uri="{63B3BB69-23CF-44E3-9099-C40C66FF867C}">
                  <a14:compatExt spid="_x0000_s358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10</xdr:row>
          <xdr:rowOff>25400</xdr:rowOff>
        </xdr:from>
        <xdr:to>
          <xdr:col>3</xdr:col>
          <xdr:colOff>660400</xdr:colOff>
          <xdr:row>10</xdr:row>
          <xdr:rowOff>406400</xdr:rowOff>
        </xdr:to>
        <xdr:sp macro="" textlink="">
          <xdr:nvSpPr>
            <xdr:cNvPr id="35850" name="Object 10" hidden="1">
              <a:extLst>
                <a:ext uri="{63B3BB69-23CF-44E3-9099-C40C66FF867C}">
                  <a14:compatExt spid="_x0000_s358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35853" name="Button 13" hidden="1">
              <a:extLst>
                <a:ext uri="{63B3BB69-23CF-44E3-9099-C40C66FF867C}">
                  <a14:compatExt spid="_x0000_s358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35854" name="Button 14" hidden="1">
              <a:extLst>
                <a:ext uri="{63B3BB69-23CF-44E3-9099-C40C66FF867C}">
                  <a14:compatExt spid="_x0000_s358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35855" name="Button 15" hidden="1">
              <a:extLst>
                <a:ext uri="{63B3BB69-23CF-44E3-9099-C40C66FF867C}">
                  <a14:compatExt spid="_x0000_s3585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35856" name="Button 16" hidden="1">
              <a:extLst>
                <a:ext uri="{63B3BB69-23CF-44E3-9099-C40C66FF867C}">
                  <a14:compatExt spid="_x0000_s3585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79873" name="Button 1" hidden="1">
              <a:extLst>
                <a:ext uri="{63B3BB69-23CF-44E3-9099-C40C66FF867C}">
                  <a14:compatExt spid="_x0000_s798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79874" name="Button 2" hidden="1">
              <a:extLst>
                <a:ext uri="{63B3BB69-23CF-44E3-9099-C40C66FF867C}">
                  <a14:compatExt spid="_x0000_s798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79875" name="Button 3" hidden="1">
              <a:extLst>
                <a:ext uri="{63B3BB69-23CF-44E3-9099-C40C66FF867C}">
                  <a14:compatExt spid="_x0000_s798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79876" name="Button 4" hidden="1">
              <a:extLst>
                <a:ext uri="{63B3BB69-23CF-44E3-9099-C40C66FF867C}">
                  <a14:compatExt spid="_x0000_s7987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63500</xdr:colOff>
          <xdr:row>5</xdr:row>
          <xdr:rowOff>12700</xdr:rowOff>
        </xdr:from>
        <xdr:to>
          <xdr:col>6</xdr:col>
          <xdr:colOff>228600</xdr:colOff>
          <xdr:row>6</xdr:row>
          <xdr:rowOff>0</xdr:rowOff>
        </xdr:to>
        <xdr:sp macro="" textlink="">
          <xdr:nvSpPr>
            <xdr:cNvPr id="52226" name="Object 2" hidden="1">
              <a:extLst>
                <a:ext uri="{63B3BB69-23CF-44E3-9099-C40C66FF867C}">
                  <a14:compatExt spid="_x0000_s52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52227" name="Button 3" hidden="1">
              <a:extLst>
                <a:ext uri="{63B3BB69-23CF-44E3-9099-C40C66FF867C}">
                  <a14:compatExt spid="_x0000_s522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52228" name="Button 4" hidden="1">
              <a:extLst>
                <a:ext uri="{63B3BB69-23CF-44E3-9099-C40C66FF867C}">
                  <a14:compatExt spid="_x0000_s5222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203200</xdr:colOff>
          <xdr:row>1</xdr:row>
          <xdr:rowOff>25400</xdr:rowOff>
        </xdr:from>
        <xdr:to>
          <xdr:col>4</xdr:col>
          <xdr:colOff>152400</xdr:colOff>
          <xdr:row>1</xdr:row>
          <xdr:rowOff>254000</xdr:rowOff>
        </xdr:to>
        <xdr:sp macro="" textlink="">
          <xdr:nvSpPr>
            <xdr:cNvPr id="52229" name="Button 5" hidden="1">
              <a:extLst>
                <a:ext uri="{63B3BB69-23CF-44E3-9099-C40C66FF867C}">
                  <a14:compatExt spid="_x0000_s522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52230" name="Button 6" hidden="1">
              <a:extLst>
                <a:ext uri="{63B3BB69-23CF-44E3-9099-C40C66FF867C}">
                  <a14:compatExt spid="_x0000_s5223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04449" name="Button 1" hidden="1">
              <a:extLst>
                <a:ext uri="{63B3BB69-23CF-44E3-9099-C40C66FF867C}">
                  <a14:compatExt spid="_x0000_s1044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04450" name="Button 2" hidden="1">
              <a:extLst>
                <a:ext uri="{63B3BB69-23CF-44E3-9099-C40C66FF867C}">
                  <a14:compatExt spid="_x0000_s1044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04451" name="Button 3" hidden="1">
              <a:extLst>
                <a:ext uri="{63B3BB69-23CF-44E3-9099-C40C66FF867C}">
                  <a14:compatExt spid="_x0000_s10445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04452" name="Button 4" hidden="1">
              <a:extLst>
                <a:ext uri="{63B3BB69-23CF-44E3-9099-C40C66FF867C}">
                  <a14:compatExt spid="_x0000_s1044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165100</xdr:colOff>
          <xdr:row>6</xdr:row>
          <xdr:rowOff>63500</xdr:rowOff>
        </xdr:from>
        <xdr:to>
          <xdr:col>4</xdr:col>
          <xdr:colOff>190500</xdr:colOff>
          <xdr:row>6</xdr:row>
          <xdr:rowOff>508000</xdr:rowOff>
        </xdr:to>
        <xdr:sp macro="" textlink="">
          <xdr:nvSpPr>
            <xdr:cNvPr id="8194" name="Object 2"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12700</xdr:colOff>
          <xdr:row>6</xdr:row>
          <xdr:rowOff>38100</xdr:rowOff>
        </xdr:from>
        <xdr:to>
          <xdr:col>5</xdr:col>
          <xdr:colOff>368300</xdr:colOff>
          <xdr:row>7</xdr:row>
          <xdr:rowOff>12700</xdr:rowOff>
        </xdr:to>
        <xdr:sp macro="" textlink="">
          <xdr:nvSpPr>
            <xdr:cNvPr id="58371" name="Object 3" hidden="1">
              <a:extLst>
                <a:ext uri="{63B3BB69-23CF-44E3-9099-C40C66FF867C}">
                  <a14:compatExt spid="_x0000_s583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58372" name="Button 4" hidden="1">
              <a:extLst>
                <a:ext uri="{63B3BB69-23CF-44E3-9099-C40C66FF867C}">
                  <a14:compatExt spid="_x0000_s583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58373" name="Button 5" hidden="1">
              <a:extLst>
                <a:ext uri="{63B3BB69-23CF-44E3-9099-C40C66FF867C}">
                  <a14:compatExt spid="_x0000_s583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58374" name="Button 6" hidden="1">
              <a:extLst>
                <a:ext uri="{63B3BB69-23CF-44E3-9099-C40C66FF867C}">
                  <a14:compatExt spid="_x0000_s583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58375" name="Button 7" hidden="1">
              <a:extLst>
                <a:ext uri="{63B3BB69-23CF-44E3-9099-C40C66FF867C}">
                  <a14:compatExt spid="_x0000_s583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673100</xdr:colOff>
          <xdr:row>4</xdr:row>
          <xdr:rowOff>25400</xdr:rowOff>
        </xdr:from>
        <xdr:to>
          <xdr:col>4</xdr:col>
          <xdr:colOff>88900</xdr:colOff>
          <xdr:row>4</xdr:row>
          <xdr:rowOff>406400</xdr:rowOff>
        </xdr:to>
        <xdr:sp macro="" textlink="">
          <xdr:nvSpPr>
            <xdr:cNvPr id="9219" name="Object 3" hidden="1">
              <a:extLst>
                <a:ext uri="{63B3BB69-23CF-44E3-9099-C40C66FF867C}">
                  <a14:compatExt spid="_x0000_s9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220" name="Button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221" name="Button 5" hidden="1">
              <a:extLst>
                <a:ext uri="{63B3BB69-23CF-44E3-9099-C40C66FF867C}">
                  <a14:compatExt spid="_x0000_s92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222" name="Button 6" hidden="1">
              <a:extLst>
                <a:ext uri="{63B3BB69-23CF-44E3-9099-C40C66FF867C}">
                  <a14:compatExt spid="_x0000_s92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223" name="Button 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80897" name="Button 1" hidden="1">
              <a:extLst>
                <a:ext uri="{63B3BB69-23CF-44E3-9099-C40C66FF867C}">
                  <a14:compatExt spid="_x0000_s808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80898" name="Button 2" hidden="1">
              <a:extLst>
                <a:ext uri="{63B3BB69-23CF-44E3-9099-C40C66FF867C}">
                  <a14:compatExt spid="_x0000_s808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80899" name="Button 3" hidden="1">
              <a:extLst>
                <a:ext uri="{63B3BB69-23CF-44E3-9099-C40C66FF867C}">
                  <a14:compatExt spid="_x0000_s808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80900" name="Button 4" hidden="1">
              <a:extLst>
                <a:ext uri="{63B3BB69-23CF-44E3-9099-C40C66FF867C}">
                  <a14:compatExt spid="_x0000_s8090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431800</xdr:colOff>
          <xdr:row>7</xdr:row>
          <xdr:rowOff>50800</xdr:rowOff>
        </xdr:from>
        <xdr:to>
          <xdr:col>2</xdr:col>
          <xdr:colOff>457200</xdr:colOff>
          <xdr:row>8</xdr:row>
          <xdr:rowOff>76200</xdr:rowOff>
        </xdr:to>
        <xdr:sp macro="" textlink="">
          <xdr:nvSpPr>
            <xdr:cNvPr id="36866" name="Object 2" hidden="1">
              <a:extLst>
                <a:ext uri="{63B3BB69-23CF-44E3-9099-C40C66FF867C}">
                  <a14:compatExt spid="_x0000_s368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177800</xdr:colOff>
          <xdr:row>8</xdr:row>
          <xdr:rowOff>0</xdr:rowOff>
        </xdr:from>
        <xdr:to>
          <xdr:col>4</xdr:col>
          <xdr:colOff>711200</xdr:colOff>
          <xdr:row>9</xdr:row>
          <xdr:rowOff>88900</xdr:rowOff>
        </xdr:to>
        <xdr:sp macro="" textlink="">
          <xdr:nvSpPr>
            <xdr:cNvPr id="36865" name="Object 1" hidden="1">
              <a:extLst>
                <a:ext uri="{63B3BB69-23CF-44E3-9099-C40C66FF867C}">
                  <a14:compatExt spid="_x0000_s368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482600</xdr:colOff>
          <xdr:row>29</xdr:row>
          <xdr:rowOff>152400</xdr:rowOff>
        </xdr:from>
        <xdr:to>
          <xdr:col>1</xdr:col>
          <xdr:colOff>1028700</xdr:colOff>
          <xdr:row>31</xdr:row>
          <xdr:rowOff>50800</xdr:rowOff>
        </xdr:to>
        <xdr:sp macro="" textlink="">
          <xdr:nvSpPr>
            <xdr:cNvPr id="36867" name="Object 3" hidden="1">
              <a:extLst>
                <a:ext uri="{63B3BB69-23CF-44E3-9099-C40C66FF867C}">
                  <a14:compatExt spid="_x0000_s368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29</xdr:row>
          <xdr:rowOff>139700</xdr:rowOff>
        </xdr:from>
        <xdr:to>
          <xdr:col>0</xdr:col>
          <xdr:colOff>647700</xdr:colOff>
          <xdr:row>31</xdr:row>
          <xdr:rowOff>50800</xdr:rowOff>
        </xdr:to>
        <xdr:sp macro="" textlink="">
          <xdr:nvSpPr>
            <xdr:cNvPr id="36868" name="Object 4" hidden="1">
              <a:extLst>
                <a:ext uri="{63B3BB69-23CF-44E3-9099-C40C66FF867C}">
                  <a14:compatExt spid="_x0000_s368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30</xdr:row>
          <xdr:rowOff>25400</xdr:rowOff>
        </xdr:from>
        <xdr:to>
          <xdr:col>3</xdr:col>
          <xdr:colOff>711200</xdr:colOff>
          <xdr:row>31</xdr:row>
          <xdr:rowOff>38100</xdr:rowOff>
        </xdr:to>
        <xdr:sp macro="" textlink="">
          <xdr:nvSpPr>
            <xdr:cNvPr id="36870" name="Object 6" hidden="1">
              <a:extLst>
                <a:ext uri="{63B3BB69-23CF-44E3-9099-C40C66FF867C}">
                  <a14:compatExt spid="_x0000_s368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139700</xdr:colOff>
          <xdr:row>32</xdr:row>
          <xdr:rowOff>127000</xdr:rowOff>
        </xdr:from>
        <xdr:to>
          <xdr:col>0</xdr:col>
          <xdr:colOff>685800</xdr:colOff>
          <xdr:row>34</xdr:row>
          <xdr:rowOff>127000</xdr:rowOff>
        </xdr:to>
        <xdr:sp macro="" textlink="">
          <xdr:nvSpPr>
            <xdr:cNvPr id="36871" name="Object 7" hidden="1">
              <a:extLst>
                <a:ext uri="{63B3BB69-23CF-44E3-9099-C40C66FF867C}">
                  <a14:compatExt spid="_x0000_s368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30</xdr:row>
          <xdr:rowOff>12700</xdr:rowOff>
        </xdr:from>
        <xdr:to>
          <xdr:col>4</xdr:col>
          <xdr:colOff>876300</xdr:colOff>
          <xdr:row>31</xdr:row>
          <xdr:rowOff>50800</xdr:rowOff>
        </xdr:to>
        <xdr:sp macro="" textlink="">
          <xdr:nvSpPr>
            <xdr:cNvPr id="36872" name="Object 8" hidden="1">
              <a:extLst>
                <a:ext uri="{63B3BB69-23CF-44E3-9099-C40C66FF867C}">
                  <a14:compatExt spid="_x0000_s36872"/>
                </a:ext>
              </a:extLst>
            </xdr:cNvPr>
            <xdr:cNvSpPr/>
          </xdr:nvSpPr>
          <xdr:spPr>
            <a:xfrm>
              <a:off x="0" y="0"/>
              <a:ext cx="0" cy="0"/>
            </a:xfrm>
            <a:prstGeom prst="rect">
              <a:avLst/>
            </a:prstGeom>
          </xdr:spPr>
        </xdr:sp>
        <xdr:clientData/>
      </xdr:twoCellAnchor>
    </mc:Choice>
    <mc:Fallback/>
  </mc:AlternateContent>
  <xdr:twoCellAnchor editAs="oneCell">
    <xdr:from>
      <xdr:col>7</xdr:col>
      <xdr:colOff>0</xdr:colOff>
      <xdr:row>7</xdr:row>
      <xdr:rowOff>0</xdr:rowOff>
    </xdr:from>
    <xdr:to>
      <xdr:col>7</xdr:col>
      <xdr:colOff>342900</xdr:colOff>
      <xdr:row>7</xdr:row>
      <xdr:rowOff>304800</xdr:rowOff>
    </xdr:to>
    <xdr:sp macro="" textlink="">
      <xdr:nvSpPr>
        <xdr:cNvPr id="36873" name="AutoShape 9" descr="Equation"/>
        <xdr:cNvSpPr>
          <a:spLocks noChangeAspect="1" noChangeArrowheads="1"/>
        </xdr:cNvSpPr>
      </xdr:nvSpPr>
      <xdr:spPr bwMode="auto">
        <a:xfrm>
          <a:off x="6311900" y="1295400"/>
          <a:ext cx="342900" cy="304800"/>
        </a:xfrm>
        <a:prstGeom prst="rect">
          <a:avLst/>
        </a:prstGeom>
        <a:noFill/>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clientData/>
  </xdr:twoCellAnchor>
  <xdr:twoCellAnchor editAs="oneCell">
    <xdr:from>
      <xdr:col>7</xdr:col>
      <xdr:colOff>0</xdr:colOff>
      <xdr:row>7</xdr:row>
      <xdr:rowOff>0</xdr:rowOff>
    </xdr:from>
    <xdr:to>
      <xdr:col>7</xdr:col>
      <xdr:colOff>342900</xdr:colOff>
      <xdr:row>7</xdr:row>
      <xdr:rowOff>304800</xdr:rowOff>
    </xdr:to>
    <xdr:sp macro="" textlink="">
      <xdr:nvSpPr>
        <xdr:cNvPr id="36874" name="AutoShape 10" descr="Equation"/>
        <xdr:cNvSpPr>
          <a:spLocks noChangeAspect="1" noChangeArrowheads="1"/>
        </xdr:cNvSpPr>
      </xdr:nvSpPr>
      <xdr:spPr bwMode="auto">
        <a:xfrm>
          <a:off x="6311900" y="1295400"/>
          <a:ext cx="342900" cy="304800"/>
        </a:xfrm>
        <a:prstGeom prst="rect">
          <a:avLst/>
        </a:prstGeom>
        <a:noFill/>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clientData/>
  </xdr:twoCellAnchor>
  <xdr:twoCellAnchor editAs="oneCell">
    <xdr:from>
      <xdr:col>7</xdr:col>
      <xdr:colOff>0</xdr:colOff>
      <xdr:row>8</xdr:row>
      <xdr:rowOff>0</xdr:rowOff>
    </xdr:from>
    <xdr:to>
      <xdr:col>7</xdr:col>
      <xdr:colOff>342900</xdr:colOff>
      <xdr:row>8</xdr:row>
      <xdr:rowOff>304800</xdr:rowOff>
    </xdr:to>
    <xdr:sp macro="" textlink="">
      <xdr:nvSpPr>
        <xdr:cNvPr id="36875" name="AutoShape 11" descr="Equation"/>
        <xdr:cNvSpPr>
          <a:spLocks noChangeAspect="1" noChangeArrowheads="1"/>
        </xdr:cNvSpPr>
      </xdr:nvSpPr>
      <xdr:spPr bwMode="auto">
        <a:xfrm>
          <a:off x="6311900" y="1651000"/>
          <a:ext cx="342900" cy="304800"/>
        </a:xfrm>
        <a:prstGeom prst="rect">
          <a:avLst/>
        </a:prstGeom>
        <a:noFill/>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clientData/>
  </xdr:twoCellAnchor>
  <xdr:twoCellAnchor editAs="oneCell">
    <xdr:from>
      <xdr:col>7</xdr:col>
      <xdr:colOff>0</xdr:colOff>
      <xdr:row>8</xdr:row>
      <xdr:rowOff>0</xdr:rowOff>
    </xdr:from>
    <xdr:to>
      <xdr:col>7</xdr:col>
      <xdr:colOff>342900</xdr:colOff>
      <xdr:row>8</xdr:row>
      <xdr:rowOff>304800</xdr:rowOff>
    </xdr:to>
    <xdr:sp macro="" textlink="">
      <xdr:nvSpPr>
        <xdr:cNvPr id="36876" name="AutoShape 12" descr="Equation"/>
        <xdr:cNvSpPr>
          <a:spLocks noChangeAspect="1" noChangeArrowheads="1"/>
        </xdr:cNvSpPr>
      </xdr:nvSpPr>
      <xdr:spPr bwMode="auto">
        <a:xfrm>
          <a:off x="6311900" y="1651000"/>
          <a:ext cx="342900" cy="304800"/>
        </a:xfrm>
        <a:prstGeom prst="rect">
          <a:avLst/>
        </a:prstGeom>
        <a:noFill/>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clientData/>
  </xdr:twoCellAnchor>
  <xdr:twoCellAnchor editAs="oneCell">
    <xdr:from>
      <xdr:col>7</xdr:col>
      <xdr:colOff>0</xdr:colOff>
      <xdr:row>8</xdr:row>
      <xdr:rowOff>0</xdr:rowOff>
    </xdr:from>
    <xdr:to>
      <xdr:col>7</xdr:col>
      <xdr:colOff>342900</xdr:colOff>
      <xdr:row>8</xdr:row>
      <xdr:rowOff>304800</xdr:rowOff>
    </xdr:to>
    <xdr:sp macro="" textlink="">
      <xdr:nvSpPr>
        <xdr:cNvPr id="36877" name="AutoShape 13" descr="Equation"/>
        <xdr:cNvSpPr>
          <a:spLocks noChangeAspect="1" noChangeArrowheads="1"/>
        </xdr:cNvSpPr>
      </xdr:nvSpPr>
      <xdr:spPr bwMode="auto">
        <a:xfrm>
          <a:off x="6311900" y="1651000"/>
          <a:ext cx="342900" cy="304800"/>
        </a:xfrm>
        <a:prstGeom prst="rect">
          <a:avLst/>
        </a:prstGeom>
        <a:noFill/>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clientData/>
  </xdr:twoCellAnchor>
  <xdr:twoCellAnchor editAs="oneCell">
    <xdr:from>
      <xdr:col>7</xdr:col>
      <xdr:colOff>0</xdr:colOff>
      <xdr:row>8</xdr:row>
      <xdr:rowOff>0</xdr:rowOff>
    </xdr:from>
    <xdr:to>
      <xdr:col>7</xdr:col>
      <xdr:colOff>342900</xdr:colOff>
      <xdr:row>8</xdr:row>
      <xdr:rowOff>304800</xdr:rowOff>
    </xdr:to>
    <xdr:sp macro="" textlink="">
      <xdr:nvSpPr>
        <xdr:cNvPr id="36878" name="AutoShape 14" descr="Equation"/>
        <xdr:cNvSpPr>
          <a:spLocks noChangeAspect="1" noChangeArrowheads="1"/>
        </xdr:cNvSpPr>
      </xdr:nvSpPr>
      <xdr:spPr bwMode="auto">
        <a:xfrm>
          <a:off x="6311900" y="1651000"/>
          <a:ext cx="342900" cy="304800"/>
        </a:xfrm>
        <a:prstGeom prst="rect">
          <a:avLst/>
        </a:prstGeom>
        <a:noFill/>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clientData/>
  </xdr:twoCellAnchor>
  <xdr:twoCellAnchor editAs="oneCell">
    <xdr:from>
      <xdr:col>7</xdr:col>
      <xdr:colOff>0</xdr:colOff>
      <xdr:row>8</xdr:row>
      <xdr:rowOff>0</xdr:rowOff>
    </xdr:from>
    <xdr:to>
      <xdr:col>7</xdr:col>
      <xdr:colOff>342900</xdr:colOff>
      <xdr:row>8</xdr:row>
      <xdr:rowOff>304800</xdr:rowOff>
    </xdr:to>
    <xdr:sp macro="" textlink="">
      <xdr:nvSpPr>
        <xdr:cNvPr id="36879" name="AutoShape 15" descr="Equation"/>
        <xdr:cNvSpPr>
          <a:spLocks noChangeAspect="1" noChangeArrowheads="1"/>
        </xdr:cNvSpPr>
      </xdr:nvSpPr>
      <xdr:spPr bwMode="auto">
        <a:xfrm>
          <a:off x="6311900" y="1651000"/>
          <a:ext cx="342900" cy="304800"/>
        </a:xfrm>
        <a:prstGeom prst="rect">
          <a:avLst/>
        </a:prstGeom>
        <a:noFill/>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2</xdr:col>
          <xdr:colOff>101600</xdr:colOff>
          <xdr:row>30</xdr:row>
          <xdr:rowOff>25400</xdr:rowOff>
        </xdr:from>
        <xdr:to>
          <xdr:col>2</xdr:col>
          <xdr:colOff>698500</xdr:colOff>
          <xdr:row>31</xdr:row>
          <xdr:rowOff>50800</xdr:rowOff>
        </xdr:to>
        <xdr:sp macro="" textlink="">
          <xdr:nvSpPr>
            <xdr:cNvPr id="36880" name="Object 16" hidden="1">
              <a:extLst>
                <a:ext uri="{63B3BB69-23CF-44E3-9099-C40C66FF867C}">
                  <a14:compatExt spid="_x0000_s368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368300</xdr:colOff>
          <xdr:row>32</xdr:row>
          <xdr:rowOff>127000</xdr:rowOff>
        </xdr:from>
        <xdr:to>
          <xdr:col>1</xdr:col>
          <xdr:colOff>914400</xdr:colOff>
          <xdr:row>34</xdr:row>
          <xdr:rowOff>88900</xdr:rowOff>
        </xdr:to>
        <xdr:sp macro="" textlink="">
          <xdr:nvSpPr>
            <xdr:cNvPr id="36881" name="Object 17" hidden="1">
              <a:extLst>
                <a:ext uri="{63B3BB69-23CF-44E3-9099-C40C66FF867C}">
                  <a14:compatExt spid="_x0000_s368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406400</xdr:colOff>
          <xdr:row>47</xdr:row>
          <xdr:rowOff>63500</xdr:rowOff>
        </xdr:from>
        <xdr:to>
          <xdr:col>4</xdr:col>
          <xdr:colOff>609600</xdr:colOff>
          <xdr:row>52</xdr:row>
          <xdr:rowOff>139700</xdr:rowOff>
        </xdr:to>
        <xdr:sp macro="" textlink="">
          <xdr:nvSpPr>
            <xdr:cNvPr id="36882" name="Object 18" hidden="1">
              <a:extLst>
                <a:ext uri="{63B3BB69-23CF-44E3-9099-C40C66FF867C}">
                  <a14:compatExt spid="_x0000_s36882"/>
                </a:ext>
              </a:extLst>
            </xdr:cNvPr>
            <xdr:cNvSpPr/>
          </xdr:nvSpPr>
          <xdr:spPr>
            <a:xfrm>
              <a:off x="0" y="0"/>
              <a:ext cx="0" cy="0"/>
            </a:xfrm>
            <a:prstGeom prst="rect">
              <a:avLst/>
            </a:prstGeom>
          </xdr:spPr>
        </xdr:sp>
        <xdr:clientData/>
      </xdr:twoCellAnchor>
    </mc:Choice>
    <mc:Fallback/>
  </mc:AlternateContent>
  <xdr:twoCellAnchor editAs="oneCell">
    <xdr:from>
      <xdr:col>1</xdr:col>
      <xdr:colOff>0</xdr:colOff>
      <xdr:row>63</xdr:row>
      <xdr:rowOff>0</xdr:rowOff>
    </xdr:from>
    <xdr:to>
      <xdr:col>1</xdr:col>
      <xdr:colOff>355600</xdr:colOff>
      <xdr:row>64</xdr:row>
      <xdr:rowOff>139700</xdr:rowOff>
    </xdr:to>
    <xdr:sp macro="" textlink="">
      <xdr:nvSpPr>
        <xdr:cNvPr id="36884" name="AutoShape 20" descr="Equation"/>
        <xdr:cNvSpPr>
          <a:spLocks noChangeAspect="1" noChangeArrowheads="1"/>
        </xdr:cNvSpPr>
      </xdr:nvSpPr>
      <xdr:spPr bwMode="auto">
        <a:xfrm>
          <a:off x="711200" y="11049000"/>
          <a:ext cx="355600" cy="292100"/>
        </a:xfrm>
        <a:prstGeom prst="rect">
          <a:avLst/>
        </a:prstGeom>
        <a:noFill/>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1</xdr:col>
          <xdr:colOff>76200</xdr:colOff>
          <xdr:row>63</xdr:row>
          <xdr:rowOff>101600</xdr:rowOff>
        </xdr:from>
        <xdr:to>
          <xdr:col>5</xdr:col>
          <xdr:colOff>330200</xdr:colOff>
          <xdr:row>67</xdr:row>
          <xdr:rowOff>76200</xdr:rowOff>
        </xdr:to>
        <xdr:sp macro="" textlink="">
          <xdr:nvSpPr>
            <xdr:cNvPr id="36886" name="Object 22" hidden="1">
              <a:extLst>
                <a:ext uri="{63B3BB69-23CF-44E3-9099-C40C66FF867C}">
                  <a14:compatExt spid="_x0000_s368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36887" name="Button 23" hidden="1">
              <a:extLst>
                <a:ext uri="{63B3BB69-23CF-44E3-9099-C40C66FF867C}">
                  <a14:compatExt spid="_x0000_s3688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36888" name="Button 24" hidden="1">
              <a:extLst>
                <a:ext uri="{63B3BB69-23CF-44E3-9099-C40C66FF867C}">
                  <a14:compatExt spid="_x0000_s3688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36889" name="Button 25" hidden="1">
              <a:extLst>
                <a:ext uri="{63B3BB69-23CF-44E3-9099-C40C66FF867C}">
                  <a14:compatExt spid="_x0000_s368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36890" name="Button 26" hidden="1">
              <a:extLst>
                <a:ext uri="{63B3BB69-23CF-44E3-9099-C40C66FF867C}">
                  <a14:compatExt spid="_x0000_s3689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25400</xdr:colOff>
          <xdr:row>5</xdr:row>
          <xdr:rowOff>0</xdr:rowOff>
        </xdr:from>
        <xdr:to>
          <xdr:col>4</xdr:col>
          <xdr:colOff>38100</xdr:colOff>
          <xdr:row>6</xdr:row>
          <xdr:rowOff>12700</xdr:rowOff>
        </xdr:to>
        <xdr:sp macro="" textlink="">
          <xdr:nvSpPr>
            <xdr:cNvPr id="37890" name="Object 2" hidden="1">
              <a:extLst>
                <a:ext uri="{63B3BB69-23CF-44E3-9099-C40C66FF867C}">
                  <a14:compatExt spid="_x0000_s378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37891" name="Button 3" hidden="1">
              <a:extLst>
                <a:ext uri="{63B3BB69-23CF-44E3-9099-C40C66FF867C}">
                  <a14:compatExt spid="_x0000_s378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37892" name="Button 4" hidden="1">
              <a:extLst>
                <a:ext uri="{63B3BB69-23CF-44E3-9099-C40C66FF867C}">
                  <a14:compatExt spid="_x0000_s378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37893" name="Button 5" hidden="1">
              <a:extLst>
                <a:ext uri="{63B3BB69-23CF-44E3-9099-C40C66FF867C}">
                  <a14:compatExt spid="_x0000_s378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37894" name="Button 6" hidden="1">
              <a:extLst>
                <a:ext uri="{63B3BB69-23CF-44E3-9099-C40C66FF867C}">
                  <a14:compatExt spid="_x0000_s378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81921" name="Button 1" hidden="1">
              <a:extLst>
                <a:ext uri="{63B3BB69-23CF-44E3-9099-C40C66FF867C}">
                  <a14:compatExt spid="_x0000_s819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81922" name="Button 2" hidden="1">
              <a:extLst>
                <a:ext uri="{63B3BB69-23CF-44E3-9099-C40C66FF867C}">
                  <a14:compatExt spid="_x0000_s819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81923" name="Button 3" hidden="1">
              <a:extLst>
                <a:ext uri="{63B3BB69-23CF-44E3-9099-C40C66FF867C}">
                  <a14:compatExt spid="_x0000_s8192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81924" name="Button 4" hidden="1">
              <a:extLst>
                <a:ext uri="{63B3BB69-23CF-44E3-9099-C40C66FF867C}">
                  <a14:compatExt spid="_x0000_s8192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635000</xdr:colOff>
          <xdr:row>4</xdr:row>
          <xdr:rowOff>177800</xdr:rowOff>
        </xdr:from>
        <xdr:to>
          <xdr:col>3</xdr:col>
          <xdr:colOff>177800</xdr:colOff>
          <xdr:row>5</xdr:row>
          <xdr:rowOff>381000</xdr:rowOff>
        </xdr:to>
        <xdr:sp macro="" textlink="">
          <xdr:nvSpPr>
            <xdr:cNvPr id="38914" name="Object 2" hidden="1">
              <a:extLst>
                <a:ext uri="{63B3BB69-23CF-44E3-9099-C40C66FF867C}">
                  <a14:compatExt spid="_x0000_s389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38915" name="Button 3" hidden="1">
              <a:extLst>
                <a:ext uri="{63B3BB69-23CF-44E3-9099-C40C66FF867C}">
                  <a14:compatExt spid="_x0000_s3891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38916" name="Button 4" hidden="1">
              <a:extLst>
                <a:ext uri="{63B3BB69-23CF-44E3-9099-C40C66FF867C}">
                  <a14:compatExt spid="_x0000_s3891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38917" name="Button 5" hidden="1">
              <a:extLst>
                <a:ext uri="{63B3BB69-23CF-44E3-9099-C40C66FF867C}">
                  <a14:compatExt spid="_x0000_s3891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38918" name="Button 6" hidden="1">
              <a:extLst>
                <a:ext uri="{63B3BB69-23CF-44E3-9099-C40C66FF867C}">
                  <a14:compatExt spid="_x0000_s3891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5</xdr:row>
          <xdr:rowOff>0</xdr:rowOff>
        </xdr:from>
        <xdr:to>
          <xdr:col>5</xdr:col>
          <xdr:colOff>508000</xdr:colOff>
          <xdr:row>5</xdr:row>
          <xdr:rowOff>482600</xdr:rowOff>
        </xdr:to>
        <xdr:sp macro="" textlink="">
          <xdr:nvSpPr>
            <xdr:cNvPr id="10242" name="Object 2"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0244" name="Button 4"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0246" name="Button 6"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82945" name="Button 1" hidden="1">
              <a:extLst>
                <a:ext uri="{63B3BB69-23CF-44E3-9099-C40C66FF867C}">
                  <a14:compatExt spid="_x0000_s8294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82946" name="Button 2" hidden="1">
              <a:extLst>
                <a:ext uri="{63B3BB69-23CF-44E3-9099-C40C66FF867C}">
                  <a14:compatExt spid="_x0000_s8294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82947" name="Button 3" hidden="1">
              <a:extLst>
                <a:ext uri="{63B3BB69-23CF-44E3-9099-C40C66FF867C}">
                  <a14:compatExt spid="_x0000_s8294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82948" name="Button 4" hidden="1">
              <a:extLst>
                <a:ext uri="{63B3BB69-23CF-44E3-9099-C40C66FF867C}">
                  <a14:compatExt spid="_x0000_s8294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83969" name="Button 1" hidden="1">
              <a:extLst>
                <a:ext uri="{63B3BB69-23CF-44E3-9099-C40C66FF867C}">
                  <a14:compatExt spid="_x0000_s839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83970" name="Button 2" hidden="1">
              <a:extLst>
                <a:ext uri="{63B3BB69-23CF-44E3-9099-C40C66FF867C}">
                  <a14:compatExt spid="_x0000_s839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83971" name="Button 3" hidden="1">
              <a:extLst>
                <a:ext uri="{63B3BB69-23CF-44E3-9099-C40C66FF867C}">
                  <a14:compatExt spid="_x0000_s8397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83972" name="Button 4" hidden="1">
              <a:extLst>
                <a:ext uri="{63B3BB69-23CF-44E3-9099-C40C66FF867C}">
                  <a14:compatExt spid="_x0000_s839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546100</xdr:colOff>
          <xdr:row>5</xdr:row>
          <xdr:rowOff>0</xdr:rowOff>
        </xdr:from>
        <xdr:to>
          <xdr:col>3</xdr:col>
          <xdr:colOff>114300</xdr:colOff>
          <xdr:row>5</xdr:row>
          <xdr:rowOff>393700</xdr:rowOff>
        </xdr:to>
        <xdr:sp macro="" textlink="">
          <xdr:nvSpPr>
            <xdr:cNvPr id="11266" name="Object 2" hidden="1">
              <a:extLst>
                <a:ext uri="{63B3BB69-23CF-44E3-9099-C40C66FF867C}">
                  <a14:compatExt spid="_x0000_s11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762000</xdr:colOff>
          <xdr:row>4</xdr:row>
          <xdr:rowOff>0</xdr:rowOff>
        </xdr:from>
        <xdr:to>
          <xdr:col>5</xdr:col>
          <xdr:colOff>165100</xdr:colOff>
          <xdr:row>5</xdr:row>
          <xdr:rowOff>12700</xdr:rowOff>
        </xdr:to>
        <xdr:sp macro="" textlink="">
          <xdr:nvSpPr>
            <xdr:cNvPr id="39939" name="Object 3" hidden="1">
              <a:extLst>
                <a:ext uri="{63B3BB69-23CF-44E3-9099-C40C66FF867C}">
                  <a14:compatExt spid="_x0000_s399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39940" name="Button 4" hidden="1">
              <a:extLst>
                <a:ext uri="{63B3BB69-23CF-44E3-9099-C40C66FF867C}">
                  <a14:compatExt spid="_x0000_s399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39941" name="Button 5" hidden="1">
              <a:extLst>
                <a:ext uri="{63B3BB69-23CF-44E3-9099-C40C66FF867C}">
                  <a14:compatExt spid="_x0000_s399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39942" name="Button 6" hidden="1">
              <a:extLst>
                <a:ext uri="{63B3BB69-23CF-44E3-9099-C40C66FF867C}">
                  <a14:compatExt spid="_x0000_s399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39943" name="Button 7" hidden="1">
              <a:extLst>
                <a:ext uri="{63B3BB69-23CF-44E3-9099-C40C66FF867C}">
                  <a14:compatExt spid="_x0000_s3994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4</xdr:col>
          <xdr:colOff>38100</xdr:colOff>
          <xdr:row>6</xdr:row>
          <xdr:rowOff>25400</xdr:rowOff>
        </xdr:to>
        <xdr:sp macro="" textlink="">
          <xdr:nvSpPr>
            <xdr:cNvPr id="12291" name="Object 3" hidden="1">
              <a:extLst>
                <a:ext uri="{63B3BB69-23CF-44E3-9099-C40C66FF867C}">
                  <a14:compatExt spid="_x0000_s122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203200</xdr:colOff>
          <xdr:row>1</xdr:row>
          <xdr:rowOff>25400</xdr:rowOff>
        </xdr:from>
        <xdr:to>
          <xdr:col>4</xdr:col>
          <xdr:colOff>152400</xdr:colOff>
          <xdr:row>1</xdr:row>
          <xdr:rowOff>254000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2295" name="Button 7" hidden="1">
              <a:extLst>
                <a:ext uri="{63B3BB69-23CF-44E3-9099-C40C66FF867C}">
                  <a14:compatExt spid="_x0000_s1229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17</xdr:row>
          <xdr:rowOff>50800</xdr:rowOff>
        </xdr:from>
        <xdr:to>
          <xdr:col>5</xdr:col>
          <xdr:colOff>508000</xdr:colOff>
          <xdr:row>17</xdr:row>
          <xdr:rowOff>457200</xdr:rowOff>
        </xdr:to>
        <xdr:sp macro="" textlink="">
          <xdr:nvSpPr>
            <xdr:cNvPr id="13317" name="Object 5" hidden="1">
              <a:extLst>
                <a:ext uri="{63B3BB69-23CF-44E3-9099-C40C66FF867C}">
                  <a14:compatExt spid="_x0000_s13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25400</xdr:colOff>
          <xdr:row>5</xdr:row>
          <xdr:rowOff>25400</xdr:rowOff>
        </xdr:from>
        <xdr:to>
          <xdr:col>5</xdr:col>
          <xdr:colOff>381000</xdr:colOff>
          <xdr:row>12</xdr:row>
          <xdr:rowOff>88900</xdr:rowOff>
        </xdr:to>
        <xdr:sp macro="" textlink="">
          <xdr:nvSpPr>
            <xdr:cNvPr id="13323" name="Object 11" hidden="1">
              <a:extLst>
                <a:ext uri="{63B3BB69-23CF-44E3-9099-C40C66FF867C}">
                  <a14:compatExt spid="_x0000_s13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76200</xdr:colOff>
          <xdr:row>19</xdr:row>
          <xdr:rowOff>0</xdr:rowOff>
        </xdr:from>
        <xdr:to>
          <xdr:col>6</xdr:col>
          <xdr:colOff>254000</xdr:colOff>
          <xdr:row>20</xdr:row>
          <xdr:rowOff>12700</xdr:rowOff>
        </xdr:to>
        <xdr:sp macro="" textlink="">
          <xdr:nvSpPr>
            <xdr:cNvPr id="13324" name="Object 12" hidden="1">
              <a:extLst>
                <a:ext uri="{63B3BB69-23CF-44E3-9099-C40C66FF867C}">
                  <a14:compatExt spid="_x0000_s13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3325" name="Button 13" hidden="1">
              <a:extLst>
                <a:ext uri="{63B3BB69-23CF-44E3-9099-C40C66FF867C}">
                  <a14:compatExt spid="_x0000_s133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3326" name="Button 14" hidden="1">
              <a:extLst>
                <a:ext uri="{63B3BB69-23CF-44E3-9099-C40C66FF867C}">
                  <a14:compatExt spid="_x0000_s133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3327" name="Button 15" hidden="1">
              <a:extLst>
                <a:ext uri="{63B3BB69-23CF-44E3-9099-C40C66FF867C}">
                  <a14:compatExt spid="_x0000_s133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3328" name="Button 16" hidden="1">
              <a:extLst>
                <a:ext uri="{63B3BB69-23CF-44E3-9099-C40C66FF867C}">
                  <a14:compatExt spid="_x0000_s1332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190500</xdr:colOff>
          <xdr:row>7</xdr:row>
          <xdr:rowOff>0</xdr:rowOff>
        </xdr:to>
        <xdr:sp macro="" textlink="">
          <xdr:nvSpPr>
            <xdr:cNvPr id="60417" name="Object 1" hidden="1">
              <a:extLst>
                <a:ext uri="{63B3BB69-23CF-44E3-9099-C40C66FF867C}">
                  <a14:compatExt spid="_x0000_s604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8</xdr:row>
          <xdr:rowOff>0</xdr:rowOff>
        </xdr:from>
        <xdr:to>
          <xdr:col>5</xdr:col>
          <xdr:colOff>647700</xdr:colOff>
          <xdr:row>8</xdr:row>
          <xdr:rowOff>393700</xdr:rowOff>
        </xdr:to>
        <xdr:sp macro="" textlink="">
          <xdr:nvSpPr>
            <xdr:cNvPr id="60418" name="Object 2" hidden="1">
              <a:extLst>
                <a:ext uri="{63B3BB69-23CF-44E3-9099-C40C66FF867C}">
                  <a14:compatExt spid="_x0000_s604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50800</xdr:rowOff>
        </xdr:from>
        <xdr:to>
          <xdr:col>4</xdr:col>
          <xdr:colOff>812800</xdr:colOff>
          <xdr:row>10</xdr:row>
          <xdr:rowOff>508000</xdr:rowOff>
        </xdr:to>
        <xdr:sp macro="" textlink="">
          <xdr:nvSpPr>
            <xdr:cNvPr id="60419" name="Object 3" hidden="1">
              <a:extLst>
                <a:ext uri="{63B3BB69-23CF-44E3-9099-C40C66FF867C}">
                  <a14:compatExt spid="_x0000_s604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60420" name="Button 4" hidden="1">
              <a:extLst>
                <a:ext uri="{63B3BB69-23CF-44E3-9099-C40C66FF867C}">
                  <a14:compatExt spid="_x0000_s6042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60421" name="Button 5" hidden="1">
              <a:extLst>
                <a:ext uri="{63B3BB69-23CF-44E3-9099-C40C66FF867C}">
                  <a14:compatExt spid="_x0000_s604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60422" name="Button 6" hidden="1">
              <a:extLst>
                <a:ext uri="{63B3BB69-23CF-44E3-9099-C40C66FF867C}">
                  <a14:compatExt spid="_x0000_s604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60423" name="Button 7" hidden="1">
              <a:extLst>
                <a:ext uri="{63B3BB69-23CF-44E3-9099-C40C66FF867C}">
                  <a14:compatExt spid="_x0000_s6042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850900</xdr:colOff>
          <xdr:row>4</xdr:row>
          <xdr:rowOff>723900</xdr:rowOff>
        </xdr:from>
        <xdr:to>
          <xdr:col>3</xdr:col>
          <xdr:colOff>342900</xdr:colOff>
          <xdr:row>6</xdr:row>
          <xdr:rowOff>393700</xdr:rowOff>
        </xdr:to>
        <xdr:sp macro="" textlink="">
          <xdr:nvSpPr>
            <xdr:cNvPr id="40962" name="Object 2" hidden="1">
              <a:extLst>
                <a:ext uri="{63B3BB69-23CF-44E3-9099-C40C66FF867C}">
                  <a14:compatExt spid="_x0000_s409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40963" name="Button 3" hidden="1">
              <a:extLst>
                <a:ext uri="{63B3BB69-23CF-44E3-9099-C40C66FF867C}">
                  <a14:compatExt spid="_x0000_s4096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40964" name="Button 4" hidden="1">
              <a:extLst>
                <a:ext uri="{63B3BB69-23CF-44E3-9099-C40C66FF867C}">
                  <a14:compatExt spid="_x0000_s4096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40965" name="Button 5" hidden="1">
              <a:extLst>
                <a:ext uri="{63B3BB69-23CF-44E3-9099-C40C66FF867C}">
                  <a14:compatExt spid="_x0000_s4096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40966" name="Button 6" hidden="1">
              <a:extLst>
                <a:ext uri="{63B3BB69-23CF-44E3-9099-C40C66FF867C}">
                  <a14:compatExt spid="_x0000_s409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190500</xdr:colOff>
          <xdr:row>6</xdr:row>
          <xdr:rowOff>0</xdr:rowOff>
        </xdr:to>
        <xdr:sp macro="" textlink="">
          <xdr:nvSpPr>
            <xdr:cNvPr id="63489" name="Object 1" hidden="1">
              <a:extLst>
                <a:ext uri="{63B3BB69-23CF-44E3-9099-C40C66FF867C}">
                  <a14:compatExt spid="_x0000_s634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63490" name="Button 2" hidden="1">
              <a:extLst>
                <a:ext uri="{63B3BB69-23CF-44E3-9099-C40C66FF867C}">
                  <a14:compatExt spid="_x0000_s6349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63491" name="Button 3" hidden="1">
              <a:extLst>
                <a:ext uri="{63B3BB69-23CF-44E3-9099-C40C66FF867C}">
                  <a14:compatExt spid="_x0000_s634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63492" name="Button 4" hidden="1">
              <a:extLst>
                <a:ext uri="{63B3BB69-23CF-44E3-9099-C40C66FF867C}">
                  <a14:compatExt spid="_x0000_s634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63493" name="Button 5" hidden="1">
              <a:extLst>
                <a:ext uri="{63B3BB69-23CF-44E3-9099-C40C66FF867C}">
                  <a14:compatExt spid="_x0000_s634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190500</xdr:colOff>
          <xdr:row>6</xdr:row>
          <xdr:rowOff>0</xdr:rowOff>
        </xdr:to>
        <xdr:sp macro="" textlink="">
          <xdr:nvSpPr>
            <xdr:cNvPr id="62465" name="Object 1" hidden="1">
              <a:extLst>
                <a:ext uri="{63B3BB69-23CF-44E3-9099-C40C66FF867C}">
                  <a14:compatExt spid="_x0000_s624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62466" name="Button 2" hidden="1">
              <a:extLst>
                <a:ext uri="{63B3BB69-23CF-44E3-9099-C40C66FF867C}">
                  <a14:compatExt spid="_x0000_s624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62467" name="Button 3" hidden="1">
              <a:extLst>
                <a:ext uri="{63B3BB69-23CF-44E3-9099-C40C66FF867C}">
                  <a14:compatExt spid="_x0000_s6246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62468" name="Button 4" hidden="1">
              <a:extLst>
                <a:ext uri="{63B3BB69-23CF-44E3-9099-C40C66FF867C}">
                  <a14:compatExt spid="_x0000_s6246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62469" name="Button 5" hidden="1">
              <a:extLst>
                <a:ext uri="{63B3BB69-23CF-44E3-9099-C40C66FF867C}">
                  <a14:compatExt spid="_x0000_s624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190500</xdr:colOff>
          <xdr:row>6</xdr:row>
          <xdr:rowOff>0</xdr:rowOff>
        </xdr:to>
        <xdr:sp macro="" textlink="">
          <xdr:nvSpPr>
            <xdr:cNvPr id="66561" name="Object 1" hidden="1">
              <a:extLst>
                <a:ext uri="{63B3BB69-23CF-44E3-9099-C40C66FF867C}">
                  <a14:compatExt spid="_x0000_s665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215900</xdr:colOff>
          <xdr:row>7</xdr:row>
          <xdr:rowOff>0</xdr:rowOff>
        </xdr:from>
        <xdr:to>
          <xdr:col>3</xdr:col>
          <xdr:colOff>330200</xdr:colOff>
          <xdr:row>8</xdr:row>
          <xdr:rowOff>12700</xdr:rowOff>
        </xdr:to>
        <xdr:sp macro="" textlink="">
          <xdr:nvSpPr>
            <xdr:cNvPr id="66563" name="Object 3" hidden="1">
              <a:extLst>
                <a:ext uri="{63B3BB69-23CF-44E3-9099-C40C66FF867C}">
                  <a14:compatExt spid="_x0000_s66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66564" name="Button 4" hidden="1">
              <a:extLst>
                <a:ext uri="{63B3BB69-23CF-44E3-9099-C40C66FF867C}">
                  <a14:compatExt spid="_x0000_s6656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66565" name="Button 5" hidden="1">
              <a:extLst>
                <a:ext uri="{63B3BB69-23CF-44E3-9099-C40C66FF867C}">
                  <a14:compatExt spid="_x0000_s6656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66566" name="Button 6" hidden="1">
              <a:extLst>
                <a:ext uri="{63B3BB69-23CF-44E3-9099-C40C66FF867C}">
                  <a14:compatExt spid="_x0000_s665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66567" name="Button 7" hidden="1">
              <a:extLst>
                <a:ext uri="{63B3BB69-23CF-44E3-9099-C40C66FF867C}">
                  <a14:compatExt spid="_x0000_s6656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190500</xdr:colOff>
          <xdr:row>4</xdr:row>
          <xdr:rowOff>0</xdr:rowOff>
        </xdr:to>
        <xdr:sp macro="" textlink="">
          <xdr:nvSpPr>
            <xdr:cNvPr id="64513" name="Object 1" hidden="1">
              <a:extLst>
                <a:ext uri="{63B3BB69-23CF-44E3-9099-C40C66FF867C}">
                  <a14:compatExt spid="_x0000_s645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64514" name="Button 2" hidden="1">
              <a:extLst>
                <a:ext uri="{63B3BB69-23CF-44E3-9099-C40C66FF867C}">
                  <a14:compatExt spid="_x0000_s645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64515" name="Button 3" hidden="1">
              <a:extLst>
                <a:ext uri="{63B3BB69-23CF-44E3-9099-C40C66FF867C}">
                  <a14:compatExt spid="_x0000_s6451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64516" name="Button 4" hidden="1">
              <a:extLst>
                <a:ext uri="{63B3BB69-23CF-44E3-9099-C40C66FF867C}">
                  <a14:compatExt spid="_x0000_s6451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64517" name="Button 5" hidden="1">
              <a:extLst>
                <a:ext uri="{63B3BB69-23CF-44E3-9099-C40C66FF867C}">
                  <a14:compatExt spid="_x0000_s6451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203200</xdr:colOff>
          <xdr:row>4</xdr:row>
          <xdr:rowOff>0</xdr:rowOff>
        </xdr:to>
        <xdr:sp macro="" textlink="">
          <xdr:nvSpPr>
            <xdr:cNvPr id="61441" name="Object 1" hidden="1">
              <a:extLst>
                <a:ext uri="{63B3BB69-23CF-44E3-9099-C40C66FF867C}">
                  <a14:compatExt spid="_x0000_s614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61442" name="Button 2" hidden="1">
              <a:extLst>
                <a:ext uri="{63B3BB69-23CF-44E3-9099-C40C66FF867C}">
                  <a14:compatExt spid="_x0000_s614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61443" name="Button 3" hidden="1">
              <a:extLst>
                <a:ext uri="{63B3BB69-23CF-44E3-9099-C40C66FF867C}">
                  <a14:compatExt spid="_x0000_s6144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61444" name="Button 4" hidden="1">
              <a:extLst>
                <a:ext uri="{63B3BB69-23CF-44E3-9099-C40C66FF867C}">
                  <a14:compatExt spid="_x0000_s6144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61445" name="Button 5" hidden="1">
              <a:extLst>
                <a:ext uri="{63B3BB69-23CF-44E3-9099-C40C66FF867C}">
                  <a14:compatExt spid="_x0000_s6144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393700</xdr:colOff>
          <xdr:row>6</xdr:row>
          <xdr:rowOff>25400</xdr:rowOff>
        </xdr:from>
        <xdr:to>
          <xdr:col>6</xdr:col>
          <xdr:colOff>812800</xdr:colOff>
          <xdr:row>7</xdr:row>
          <xdr:rowOff>50800</xdr:rowOff>
        </xdr:to>
        <xdr:sp macro="" textlink="">
          <xdr:nvSpPr>
            <xdr:cNvPr id="14340" name="Object 4" hidden="1">
              <a:extLst>
                <a:ext uri="{63B3BB69-23CF-44E3-9099-C40C66FF867C}">
                  <a14:compatExt spid="_x0000_s143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14341" name="Button 5" hidden="1">
              <a:extLst>
                <a:ext uri="{63B3BB69-23CF-44E3-9099-C40C66FF867C}">
                  <a14:compatExt spid="_x0000_s143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4342" name="Button 6" hidden="1">
              <a:extLst>
                <a:ext uri="{63B3BB69-23CF-44E3-9099-C40C66FF867C}">
                  <a14:compatExt spid="_x0000_s143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4343" name="Button 7" hidden="1">
              <a:extLst>
                <a:ext uri="{63B3BB69-23CF-44E3-9099-C40C66FF867C}">
                  <a14:compatExt spid="_x0000_s1434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4344" name="Button 8" hidden="1">
              <a:extLst>
                <a:ext uri="{63B3BB69-23CF-44E3-9099-C40C66FF867C}">
                  <a14:compatExt spid="_x0000_s1434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84993" name="Button 1" hidden="1">
              <a:extLst>
                <a:ext uri="{63B3BB69-23CF-44E3-9099-C40C66FF867C}">
                  <a14:compatExt spid="_x0000_s849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84994" name="Button 2" hidden="1">
              <a:extLst>
                <a:ext uri="{63B3BB69-23CF-44E3-9099-C40C66FF867C}">
                  <a14:compatExt spid="_x0000_s849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84995" name="Button 3" hidden="1">
              <a:extLst>
                <a:ext uri="{63B3BB69-23CF-44E3-9099-C40C66FF867C}">
                  <a14:compatExt spid="_x0000_s8499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84996" name="Button 4" hidden="1">
              <a:extLst>
                <a:ext uri="{63B3BB69-23CF-44E3-9099-C40C66FF867C}">
                  <a14:compatExt spid="_x0000_s8499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86017" name="Button 1" hidden="1">
              <a:extLst>
                <a:ext uri="{63B3BB69-23CF-44E3-9099-C40C66FF867C}">
                  <a14:compatExt spid="_x0000_s8601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86018" name="Button 2" hidden="1">
              <a:extLst>
                <a:ext uri="{63B3BB69-23CF-44E3-9099-C40C66FF867C}">
                  <a14:compatExt spid="_x0000_s8601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203200</xdr:colOff>
          <xdr:row>1</xdr:row>
          <xdr:rowOff>25400</xdr:rowOff>
        </xdr:from>
        <xdr:to>
          <xdr:col>4</xdr:col>
          <xdr:colOff>152400</xdr:colOff>
          <xdr:row>1</xdr:row>
          <xdr:rowOff>254000</xdr:rowOff>
        </xdr:to>
        <xdr:sp macro="" textlink="">
          <xdr:nvSpPr>
            <xdr:cNvPr id="86019" name="Button 3" hidden="1">
              <a:extLst>
                <a:ext uri="{63B3BB69-23CF-44E3-9099-C40C66FF867C}">
                  <a14:compatExt spid="_x0000_s8601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86020" name="Button 4" hidden="1">
              <a:extLst>
                <a:ext uri="{63B3BB69-23CF-44E3-9099-C40C66FF867C}">
                  <a14:compatExt spid="_x0000_s8602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647700</xdr:colOff>
          <xdr:row>4</xdr:row>
          <xdr:rowOff>0</xdr:rowOff>
        </xdr:from>
        <xdr:to>
          <xdr:col>4</xdr:col>
          <xdr:colOff>88900</xdr:colOff>
          <xdr:row>4</xdr:row>
          <xdr:rowOff>406400</xdr:rowOff>
        </xdr:to>
        <xdr:sp macro="" textlink="">
          <xdr:nvSpPr>
            <xdr:cNvPr id="41987" name="Object 3" hidden="1">
              <a:extLst>
                <a:ext uri="{63B3BB69-23CF-44E3-9099-C40C66FF867C}">
                  <a14:compatExt spid="_x0000_s419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41988" name="Button 4" hidden="1">
              <a:extLst>
                <a:ext uri="{63B3BB69-23CF-44E3-9099-C40C66FF867C}">
                  <a14:compatExt spid="_x0000_s4198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41989" name="Button 5" hidden="1">
              <a:extLst>
                <a:ext uri="{63B3BB69-23CF-44E3-9099-C40C66FF867C}">
                  <a14:compatExt spid="_x0000_s419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41990" name="Button 6" hidden="1">
              <a:extLst>
                <a:ext uri="{63B3BB69-23CF-44E3-9099-C40C66FF867C}">
                  <a14:compatExt spid="_x0000_s4199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41991" name="Button 7" hidden="1">
              <a:extLst>
                <a:ext uri="{63B3BB69-23CF-44E3-9099-C40C66FF867C}">
                  <a14:compatExt spid="_x0000_s419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292100</xdr:colOff>
          <xdr:row>4</xdr:row>
          <xdr:rowOff>12700</xdr:rowOff>
        </xdr:from>
        <xdr:to>
          <xdr:col>3</xdr:col>
          <xdr:colOff>698500</xdr:colOff>
          <xdr:row>4</xdr:row>
          <xdr:rowOff>444500</xdr:rowOff>
        </xdr:to>
        <xdr:sp macro="" textlink="">
          <xdr:nvSpPr>
            <xdr:cNvPr id="15362" name="Object 2" hidden="1">
              <a:extLst>
                <a:ext uri="{63B3BB69-23CF-44E3-9099-C40C66FF867C}">
                  <a14:compatExt spid="_x0000_s15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5363" name="Button 3" hidden="1">
              <a:extLst>
                <a:ext uri="{63B3BB69-23CF-44E3-9099-C40C66FF867C}">
                  <a14:compatExt spid="_x0000_s1536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5364" name="Button 4" hidden="1">
              <a:extLst>
                <a:ext uri="{63B3BB69-23CF-44E3-9099-C40C66FF867C}">
                  <a14:compatExt spid="_x0000_s1536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5365" name="Button 5" hidden="1">
              <a:extLst>
                <a:ext uri="{63B3BB69-23CF-44E3-9099-C40C66FF867C}">
                  <a14:compatExt spid="_x0000_s1536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5366" name="Button 6" hidden="1">
              <a:extLst>
                <a:ext uri="{63B3BB69-23CF-44E3-9099-C40C66FF867C}">
                  <a14:compatExt spid="_x0000_s153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723900</xdr:colOff>
          <xdr:row>5</xdr:row>
          <xdr:rowOff>38100</xdr:rowOff>
        </xdr:from>
        <xdr:to>
          <xdr:col>6</xdr:col>
          <xdr:colOff>114300</xdr:colOff>
          <xdr:row>5</xdr:row>
          <xdr:rowOff>901700</xdr:rowOff>
        </xdr:to>
        <xdr:sp macro="" textlink="">
          <xdr:nvSpPr>
            <xdr:cNvPr id="16387" name="Object 3" hidden="1">
              <a:extLst>
                <a:ext uri="{63B3BB69-23CF-44E3-9099-C40C66FF867C}">
                  <a14:compatExt spid="_x0000_s163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87041" name="Button 1" hidden="1">
              <a:extLst>
                <a:ext uri="{63B3BB69-23CF-44E3-9099-C40C66FF867C}">
                  <a14:compatExt spid="_x0000_s870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87042" name="Button 2" hidden="1">
              <a:extLst>
                <a:ext uri="{63B3BB69-23CF-44E3-9099-C40C66FF867C}">
                  <a14:compatExt spid="_x0000_s870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87043" name="Button 3" hidden="1">
              <a:extLst>
                <a:ext uri="{63B3BB69-23CF-44E3-9099-C40C66FF867C}">
                  <a14:compatExt spid="_x0000_s8704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87044" name="Button 4" hidden="1">
              <a:extLst>
                <a:ext uri="{63B3BB69-23CF-44E3-9099-C40C66FF867C}">
                  <a14:compatExt spid="_x0000_s8704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12700</xdr:colOff>
          <xdr:row>3</xdr:row>
          <xdr:rowOff>165100</xdr:rowOff>
        </xdr:from>
        <xdr:to>
          <xdr:col>5</xdr:col>
          <xdr:colOff>558800</xdr:colOff>
          <xdr:row>4</xdr:row>
          <xdr:rowOff>889000</xdr:rowOff>
        </xdr:to>
        <xdr:sp macro="" textlink="">
          <xdr:nvSpPr>
            <xdr:cNvPr id="51203" name="Object 3" hidden="1">
              <a:extLst>
                <a:ext uri="{63B3BB69-23CF-44E3-9099-C40C66FF867C}">
                  <a14:compatExt spid="_x0000_s51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51204" name="Button 4" hidden="1">
              <a:extLst>
                <a:ext uri="{63B3BB69-23CF-44E3-9099-C40C66FF867C}">
                  <a14:compatExt spid="_x0000_s5120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51205" name="Button 5" hidden="1">
              <a:extLst>
                <a:ext uri="{63B3BB69-23CF-44E3-9099-C40C66FF867C}">
                  <a14:compatExt spid="_x0000_s5120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51206" name="Button 6" hidden="1">
              <a:extLst>
                <a:ext uri="{63B3BB69-23CF-44E3-9099-C40C66FF867C}">
                  <a14:compatExt spid="_x0000_s5120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51207" name="Button 7" hidden="1">
              <a:extLst>
                <a:ext uri="{63B3BB69-23CF-44E3-9099-C40C66FF867C}">
                  <a14:compatExt spid="_x0000_s5120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88065" name="Button 1" hidden="1">
              <a:extLst>
                <a:ext uri="{63B3BB69-23CF-44E3-9099-C40C66FF867C}">
                  <a14:compatExt spid="_x0000_s8806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88066" name="Button 2" hidden="1">
              <a:extLst>
                <a:ext uri="{63B3BB69-23CF-44E3-9099-C40C66FF867C}">
                  <a14:compatExt spid="_x0000_s880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88067" name="Button 3" hidden="1">
              <a:extLst>
                <a:ext uri="{63B3BB69-23CF-44E3-9099-C40C66FF867C}">
                  <a14:compatExt spid="_x0000_s8806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88068" name="Button 4" hidden="1">
              <a:extLst>
                <a:ext uri="{63B3BB69-23CF-44E3-9099-C40C66FF867C}">
                  <a14:compatExt spid="_x0000_s8806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89089" name="Button 1" hidden="1">
              <a:extLst>
                <a:ext uri="{63B3BB69-23CF-44E3-9099-C40C66FF867C}">
                  <a14:compatExt spid="_x0000_s890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89090" name="Button 2" hidden="1">
              <a:extLst>
                <a:ext uri="{63B3BB69-23CF-44E3-9099-C40C66FF867C}">
                  <a14:compatExt spid="_x0000_s8909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89091" name="Button 3" hidden="1">
              <a:extLst>
                <a:ext uri="{63B3BB69-23CF-44E3-9099-C40C66FF867C}">
                  <a14:compatExt spid="_x0000_s890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89092" name="Button 4" hidden="1">
              <a:extLst>
                <a:ext uri="{63B3BB69-23CF-44E3-9099-C40C66FF867C}">
                  <a14:compatExt spid="_x0000_s890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89093" name="Button 5" hidden="1">
              <a:extLst>
                <a:ext uri="{63B3BB69-23CF-44E3-9099-C40C66FF867C}">
                  <a14:compatExt spid="_x0000_s890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89094" name="Button 6" hidden="1">
              <a:extLst>
                <a:ext uri="{63B3BB69-23CF-44E3-9099-C40C66FF867C}">
                  <a14:compatExt spid="_x0000_s890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89095" name="Button 7" hidden="1">
              <a:extLst>
                <a:ext uri="{63B3BB69-23CF-44E3-9099-C40C66FF867C}">
                  <a14:compatExt spid="_x0000_s8909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89096" name="Button 8" hidden="1">
              <a:extLst>
                <a:ext uri="{63B3BB69-23CF-44E3-9099-C40C66FF867C}">
                  <a14:compatExt spid="_x0000_s8909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89097" name="Button 9" hidden="1">
              <a:extLst>
                <a:ext uri="{63B3BB69-23CF-44E3-9099-C40C66FF867C}">
                  <a14:compatExt spid="_x0000_s89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89098" name="Button 10" hidden="1">
              <a:extLst>
                <a:ext uri="{63B3BB69-23CF-44E3-9099-C40C66FF867C}">
                  <a14:compatExt spid="_x0000_s89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89099" name="Button 11" hidden="1">
              <a:extLst>
                <a:ext uri="{63B3BB69-23CF-44E3-9099-C40C66FF867C}">
                  <a14:compatExt spid="_x0000_s89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89100" name="Button 12" hidden="1">
              <a:extLst>
                <a:ext uri="{63B3BB69-23CF-44E3-9099-C40C66FF867C}">
                  <a14:compatExt spid="_x0000_s8910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25400</xdr:colOff>
          <xdr:row>4</xdr:row>
          <xdr:rowOff>165100</xdr:rowOff>
        </xdr:from>
        <xdr:to>
          <xdr:col>5</xdr:col>
          <xdr:colOff>355600</xdr:colOff>
          <xdr:row>5</xdr:row>
          <xdr:rowOff>457200</xdr:rowOff>
        </xdr:to>
        <xdr:sp macro="" textlink="">
          <xdr:nvSpPr>
            <xdr:cNvPr id="43011" name="Object 3" hidden="1">
              <a:extLst>
                <a:ext uri="{63B3BB69-23CF-44E3-9099-C40C66FF867C}">
                  <a14:compatExt spid="_x0000_s430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43012" name="Button 4" hidden="1">
              <a:extLst>
                <a:ext uri="{63B3BB69-23CF-44E3-9099-C40C66FF867C}">
                  <a14:compatExt spid="_x0000_s4301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43013" name="Button 5" hidden="1">
              <a:extLst>
                <a:ext uri="{63B3BB69-23CF-44E3-9099-C40C66FF867C}">
                  <a14:compatExt spid="_x0000_s430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203200</xdr:colOff>
          <xdr:row>1</xdr:row>
          <xdr:rowOff>25400</xdr:rowOff>
        </xdr:from>
        <xdr:to>
          <xdr:col>4</xdr:col>
          <xdr:colOff>152400</xdr:colOff>
          <xdr:row>1</xdr:row>
          <xdr:rowOff>254000</xdr:rowOff>
        </xdr:to>
        <xdr:sp macro="" textlink="">
          <xdr:nvSpPr>
            <xdr:cNvPr id="43014" name="Button 6" hidden="1">
              <a:extLst>
                <a:ext uri="{63B3BB69-23CF-44E3-9099-C40C66FF867C}">
                  <a14:compatExt spid="_x0000_s430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43015" name="Button 7" hidden="1">
              <a:extLst>
                <a:ext uri="{63B3BB69-23CF-44E3-9099-C40C66FF867C}">
                  <a14:compatExt spid="_x0000_s4301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850900</xdr:colOff>
          <xdr:row>5</xdr:row>
          <xdr:rowOff>76200</xdr:rowOff>
        </xdr:from>
        <xdr:to>
          <xdr:col>6</xdr:col>
          <xdr:colOff>901700</xdr:colOff>
          <xdr:row>7</xdr:row>
          <xdr:rowOff>139700</xdr:rowOff>
        </xdr:to>
        <xdr:sp macro="" textlink="">
          <xdr:nvSpPr>
            <xdr:cNvPr id="50179" name="Object 3" hidden="1">
              <a:extLst>
                <a:ext uri="{63B3BB69-23CF-44E3-9099-C40C66FF867C}">
                  <a14:compatExt spid="_x0000_s50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50180" name="Button 4" hidden="1">
              <a:extLst>
                <a:ext uri="{63B3BB69-23CF-44E3-9099-C40C66FF867C}">
                  <a14:compatExt spid="_x0000_s5018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50181" name="Button 5" hidden="1">
              <a:extLst>
                <a:ext uri="{63B3BB69-23CF-44E3-9099-C40C66FF867C}">
                  <a14:compatExt spid="_x0000_s5018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50182" name="Button 6" hidden="1">
              <a:extLst>
                <a:ext uri="{63B3BB69-23CF-44E3-9099-C40C66FF867C}">
                  <a14:compatExt spid="_x0000_s5018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50183" name="Button 7" hidden="1">
              <a:extLst>
                <a:ext uri="{63B3BB69-23CF-44E3-9099-C40C66FF867C}">
                  <a14:compatExt spid="_x0000_s5018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0113" name="Button 1" hidden="1">
              <a:extLst>
                <a:ext uri="{63B3BB69-23CF-44E3-9099-C40C66FF867C}">
                  <a14:compatExt spid="_x0000_s901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0114" name="Button 2" hidden="1">
              <a:extLst>
                <a:ext uri="{63B3BB69-23CF-44E3-9099-C40C66FF867C}">
                  <a14:compatExt spid="_x0000_s901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0115" name="Button 3" hidden="1">
              <a:extLst>
                <a:ext uri="{63B3BB69-23CF-44E3-9099-C40C66FF867C}">
                  <a14:compatExt spid="_x0000_s9011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0116" name="Button 4" hidden="1">
              <a:extLst>
                <a:ext uri="{63B3BB69-23CF-44E3-9099-C40C66FF867C}">
                  <a14:compatExt spid="_x0000_s9011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660400</xdr:colOff>
          <xdr:row>8</xdr:row>
          <xdr:rowOff>25400</xdr:rowOff>
        </xdr:from>
        <xdr:to>
          <xdr:col>6</xdr:col>
          <xdr:colOff>444500</xdr:colOff>
          <xdr:row>9</xdr:row>
          <xdr:rowOff>0</xdr:rowOff>
        </xdr:to>
        <xdr:sp macro="" textlink="">
          <xdr:nvSpPr>
            <xdr:cNvPr id="44034" name="Object 2" hidden="1">
              <a:extLst>
                <a:ext uri="{63B3BB69-23CF-44E3-9099-C40C66FF867C}">
                  <a14:compatExt spid="_x0000_s44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44035" name="Button 3" hidden="1">
              <a:extLst>
                <a:ext uri="{63B3BB69-23CF-44E3-9099-C40C66FF867C}">
                  <a14:compatExt spid="_x0000_s4403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44036" name="Button 4" hidden="1">
              <a:extLst>
                <a:ext uri="{63B3BB69-23CF-44E3-9099-C40C66FF867C}">
                  <a14:compatExt spid="_x0000_s4403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44037" name="Button 5" hidden="1">
              <a:extLst>
                <a:ext uri="{63B3BB69-23CF-44E3-9099-C40C66FF867C}">
                  <a14:compatExt spid="_x0000_s440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44038" name="Button 6" hidden="1">
              <a:extLst>
                <a:ext uri="{63B3BB69-23CF-44E3-9099-C40C66FF867C}">
                  <a14:compatExt spid="_x0000_s440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63500</xdr:colOff>
          <xdr:row>8</xdr:row>
          <xdr:rowOff>76200</xdr:rowOff>
        </xdr:from>
        <xdr:to>
          <xdr:col>6</xdr:col>
          <xdr:colOff>88900</xdr:colOff>
          <xdr:row>10</xdr:row>
          <xdr:rowOff>25400</xdr:rowOff>
        </xdr:to>
        <xdr:sp macro="" textlink="">
          <xdr:nvSpPr>
            <xdr:cNvPr id="45059" name="Object 3" hidden="1">
              <a:extLst>
                <a:ext uri="{63B3BB69-23CF-44E3-9099-C40C66FF867C}">
                  <a14:compatExt spid="_x0000_s45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45060" name="Button 4" hidden="1">
              <a:extLst>
                <a:ext uri="{63B3BB69-23CF-44E3-9099-C40C66FF867C}">
                  <a14:compatExt spid="_x0000_s4506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45061" name="Button 5" hidden="1">
              <a:extLst>
                <a:ext uri="{63B3BB69-23CF-44E3-9099-C40C66FF867C}">
                  <a14:compatExt spid="_x0000_s450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45062" name="Button 6" hidden="1">
              <a:extLst>
                <a:ext uri="{63B3BB69-23CF-44E3-9099-C40C66FF867C}">
                  <a14:compatExt spid="_x0000_s450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45063" name="Button 7" hidden="1">
              <a:extLst>
                <a:ext uri="{63B3BB69-23CF-44E3-9099-C40C66FF867C}">
                  <a14:compatExt spid="_x0000_s4506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5</xdr:row>
          <xdr:rowOff>63500</xdr:rowOff>
        </xdr:from>
        <xdr:to>
          <xdr:col>6</xdr:col>
          <xdr:colOff>571500</xdr:colOff>
          <xdr:row>5</xdr:row>
          <xdr:rowOff>520700</xdr:rowOff>
        </xdr:to>
        <xdr:sp macro="" textlink="">
          <xdr:nvSpPr>
            <xdr:cNvPr id="25602" name="Object 2" hidden="1">
              <a:extLst>
                <a:ext uri="{63B3BB69-23CF-44E3-9099-C40C66FF867C}">
                  <a14:compatExt spid="_x0000_s256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25603" name="Button 3" hidden="1">
              <a:extLst>
                <a:ext uri="{63B3BB69-23CF-44E3-9099-C40C66FF867C}">
                  <a14:compatExt spid="_x0000_s2560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25604" name="Button 4" hidden="1">
              <a:extLst>
                <a:ext uri="{63B3BB69-23CF-44E3-9099-C40C66FF867C}">
                  <a14:compatExt spid="_x0000_s2560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25605" name="Button 5" hidden="1">
              <a:extLst>
                <a:ext uri="{63B3BB69-23CF-44E3-9099-C40C66FF867C}">
                  <a14:compatExt spid="_x0000_s2560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5606" name="Button 6" hidden="1">
              <a:extLst>
                <a:ext uri="{63B3BB69-23CF-44E3-9099-C40C66FF867C}">
                  <a14:compatExt spid="_x0000_s2560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50800</xdr:colOff>
          <xdr:row>5</xdr:row>
          <xdr:rowOff>63500</xdr:rowOff>
        </xdr:from>
        <xdr:to>
          <xdr:col>7</xdr:col>
          <xdr:colOff>152400</xdr:colOff>
          <xdr:row>5</xdr:row>
          <xdr:rowOff>546100</xdr:rowOff>
        </xdr:to>
        <xdr:sp macro="" textlink="">
          <xdr:nvSpPr>
            <xdr:cNvPr id="67586" name="Object 2" hidden="1">
              <a:extLst>
                <a:ext uri="{63B3BB69-23CF-44E3-9099-C40C66FF867C}">
                  <a14:compatExt spid="_x0000_s675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67587" name="Button 3" hidden="1">
              <a:extLst>
                <a:ext uri="{63B3BB69-23CF-44E3-9099-C40C66FF867C}">
                  <a14:compatExt spid="_x0000_s6758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67588" name="Button 4" hidden="1">
              <a:extLst>
                <a:ext uri="{63B3BB69-23CF-44E3-9099-C40C66FF867C}">
                  <a14:compatExt spid="_x0000_s6758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67589" name="Button 5" hidden="1">
              <a:extLst>
                <a:ext uri="{63B3BB69-23CF-44E3-9099-C40C66FF867C}">
                  <a14:compatExt spid="_x0000_s675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67590" name="Button 6" hidden="1">
              <a:extLst>
                <a:ext uri="{63B3BB69-23CF-44E3-9099-C40C66FF867C}">
                  <a14:compatExt spid="_x0000_s6759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7</xdr:row>
          <xdr:rowOff>0</xdr:rowOff>
        </xdr:from>
        <xdr:to>
          <xdr:col>6</xdr:col>
          <xdr:colOff>609600</xdr:colOff>
          <xdr:row>7</xdr:row>
          <xdr:rowOff>241300</xdr:rowOff>
        </xdr:to>
        <xdr:sp macro="" textlink="">
          <xdr:nvSpPr>
            <xdr:cNvPr id="67591" name="Object 7" hidden="1">
              <a:extLst>
                <a:ext uri="{63B3BB69-23CF-44E3-9099-C40C66FF867C}">
                  <a14:compatExt spid="_x0000_s675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9</xdr:row>
          <xdr:rowOff>0</xdr:rowOff>
        </xdr:from>
        <xdr:to>
          <xdr:col>6</xdr:col>
          <xdr:colOff>469900</xdr:colOff>
          <xdr:row>9</xdr:row>
          <xdr:rowOff>241300</xdr:rowOff>
        </xdr:to>
        <xdr:sp macro="" textlink="">
          <xdr:nvSpPr>
            <xdr:cNvPr id="67592" name="Object 8" hidden="1">
              <a:extLst>
                <a:ext uri="{63B3BB69-23CF-44E3-9099-C40C66FF867C}">
                  <a14:compatExt spid="_x0000_s67592"/>
                </a:ext>
              </a:extLst>
            </xdr:cNvPr>
            <xdr:cNvSpPr/>
          </xdr:nvSpPr>
          <xdr:spPr>
            <a:xfrm>
              <a:off x="0" y="0"/>
              <a:ext cx="0" cy="0"/>
            </a:xfrm>
            <a:prstGeom prst="rect">
              <a:avLst/>
            </a:prstGeom>
          </xdr:spPr>
        </xdr:sp>
        <xdr:clientData/>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342900</xdr:colOff>
          <xdr:row>4</xdr:row>
          <xdr:rowOff>12700</xdr:rowOff>
        </xdr:from>
        <xdr:to>
          <xdr:col>4</xdr:col>
          <xdr:colOff>152400</xdr:colOff>
          <xdr:row>4</xdr:row>
          <xdr:rowOff>406400</xdr:rowOff>
        </xdr:to>
        <xdr:sp macro="" textlink="">
          <xdr:nvSpPr>
            <xdr:cNvPr id="17410" name="Object 2" hidden="1">
              <a:extLst>
                <a:ext uri="{63B3BB69-23CF-44E3-9099-C40C66FF867C}">
                  <a14:compatExt spid="_x0000_s174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7411" name="Button 3" hidden="1">
              <a:extLst>
                <a:ext uri="{63B3BB69-23CF-44E3-9099-C40C66FF867C}">
                  <a14:compatExt spid="_x0000_s1741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7412" name="Button 4" hidden="1">
              <a:extLst>
                <a:ext uri="{63B3BB69-23CF-44E3-9099-C40C66FF867C}">
                  <a14:compatExt spid="_x0000_s1741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7413" name="Button 5" hidden="1">
              <a:extLst>
                <a:ext uri="{63B3BB69-23CF-44E3-9099-C40C66FF867C}">
                  <a14:compatExt spid="_x0000_s174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7414" name="Button 6" hidden="1">
              <a:extLst>
                <a:ext uri="{63B3BB69-23CF-44E3-9099-C40C66FF867C}">
                  <a14:compatExt spid="_x0000_s174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546100</xdr:colOff>
          <xdr:row>4</xdr:row>
          <xdr:rowOff>12700</xdr:rowOff>
        </xdr:from>
        <xdr:to>
          <xdr:col>4</xdr:col>
          <xdr:colOff>584200</xdr:colOff>
          <xdr:row>4</xdr:row>
          <xdr:rowOff>406400</xdr:rowOff>
        </xdr:to>
        <xdr:sp macro="" textlink="">
          <xdr:nvSpPr>
            <xdr:cNvPr id="18434" name="Object 2" hidden="1">
              <a:extLst>
                <a:ext uri="{63B3BB69-23CF-44E3-9099-C40C66FF867C}">
                  <a14:compatExt spid="_x0000_s184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18435" name="Button 3" hidden="1">
              <a:extLst>
                <a:ext uri="{63B3BB69-23CF-44E3-9099-C40C66FF867C}">
                  <a14:compatExt spid="_x0000_s1843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8436" name="Button 4" hidden="1">
              <a:extLst>
                <a:ext uri="{63B3BB69-23CF-44E3-9099-C40C66FF867C}">
                  <a14:compatExt spid="_x0000_s1843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8437" name="Button 5" hidden="1">
              <a:extLst>
                <a:ext uri="{63B3BB69-23CF-44E3-9099-C40C66FF867C}">
                  <a14:compatExt spid="_x0000_s184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8438" name="Button 6" hidden="1">
              <a:extLst>
                <a:ext uri="{63B3BB69-23CF-44E3-9099-C40C66FF867C}">
                  <a14:compatExt spid="_x0000_s184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292100</xdr:colOff>
          <xdr:row>5</xdr:row>
          <xdr:rowOff>50800</xdr:rowOff>
        </xdr:from>
        <xdr:to>
          <xdr:col>3</xdr:col>
          <xdr:colOff>215900</xdr:colOff>
          <xdr:row>5</xdr:row>
          <xdr:rowOff>660400</xdr:rowOff>
        </xdr:to>
        <xdr:sp macro="" textlink="">
          <xdr:nvSpPr>
            <xdr:cNvPr id="49155" name="Object 3" hidden="1">
              <a:extLst>
                <a:ext uri="{63B3BB69-23CF-44E3-9099-C40C66FF867C}">
                  <a14:compatExt spid="_x0000_s49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49156" name="Button 4" hidden="1">
              <a:extLst>
                <a:ext uri="{63B3BB69-23CF-44E3-9099-C40C66FF867C}">
                  <a14:compatExt spid="_x0000_s4915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49157" name="Button 5" hidden="1">
              <a:extLst>
                <a:ext uri="{63B3BB69-23CF-44E3-9099-C40C66FF867C}">
                  <a14:compatExt spid="_x0000_s4915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49158" name="Button 6" hidden="1">
              <a:extLst>
                <a:ext uri="{63B3BB69-23CF-44E3-9099-C40C66FF867C}">
                  <a14:compatExt spid="_x0000_s4915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49159" name="Button 7" hidden="1">
              <a:extLst>
                <a:ext uri="{63B3BB69-23CF-44E3-9099-C40C66FF867C}">
                  <a14:compatExt spid="_x0000_s49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xdr:twoCellAnchor editAs="oneCell">
    <xdr:from>
      <xdr:col>1</xdr:col>
      <xdr:colOff>0</xdr:colOff>
      <xdr:row>8</xdr:row>
      <xdr:rowOff>0</xdr:rowOff>
    </xdr:from>
    <xdr:to>
      <xdr:col>1</xdr:col>
      <xdr:colOff>342900</xdr:colOff>
      <xdr:row>9</xdr:row>
      <xdr:rowOff>76200</xdr:rowOff>
    </xdr:to>
    <xdr:sp macro="" textlink="">
      <xdr:nvSpPr>
        <xdr:cNvPr id="48129" name="AutoShape 1" descr="Equation"/>
        <xdr:cNvSpPr>
          <a:spLocks noChangeAspect="1" noChangeArrowheads="1"/>
        </xdr:cNvSpPr>
      </xdr:nvSpPr>
      <xdr:spPr bwMode="auto">
        <a:xfrm>
          <a:off x="825500" y="2717800"/>
          <a:ext cx="342900" cy="228600"/>
        </a:xfrm>
        <a:prstGeom prst="rect">
          <a:avLst/>
        </a:prstGeom>
        <a:noFill/>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clientData/>
  </xdr:twoCellAnchor>
  <xdr:twoCellAnchor editAs="oneCell">
    <xdr:from>
      <xdr:col>1</xdr:col>
      <xdr:colOff>0</xdr:colOff>
      <xdr:row>8</xdr:row>
      <xdr:rowOff>0</xdr:rowOff>
    </xdr:from>
    <xdr:to>
      <xdr:col>1</xdr:col>
      <xdr:colOff>342900</xdr:colOff>
      <xdr:row>9</xdr:row>
      <xdr:rowOff>76200</xdr:rowOff>
    </xdr:to>
    <xdr:sp macro="" textlink="">
      <xdr:nvSpPr>
        <xdr:cNvPr id="48130" name="AutoShape 2" descr="Equation"/>
        <xdr:cNvSpPr>
          <a:spLocks noChangeAspect="1" noChangeArrowheads="1"/>
        </xdr:cNvSpPr>
      </xdr:nvSpPr>
      <xdr:spPr bwMode="auto">
        <a:xfrm>
          <a:off x="825500" y="2717800"/>
          <a:ext cx="342900" cy="228600"/>
        </a:xfrm>
        <a:prstGeom prst="rect">
          <a:avLst/>
        </a:prstGeom>
        <a:noFill/>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xdr:from>
          <xdr:col>1</xdr:col>
          <xdr:colOff>177800</xdr:colOff>
          <xdr:row>4</xdr:row>
          <xdr:rowOff>165100</xdr:rowOff>
        </xdr:from>
        <xdr:to>
          <xdr:col>4</xdr:col>
          <xdr:colOff>609600</xdr:colOff>
          <xdr:row>4</xdr:row>
          <xdr:rowOff>1270000</xdr:rowOff>
        </xdr:to>
        <xdr:sp macro="" textlink="">
          <xdr:nvSpPr>
            <xdr:cNvPr id="48135" name="Object 7" hidden="1">
              <a:extLst>
                <a:ext uri="{63B3BB69-23CF-44E3-9099-C40C66FF867C}">
                  <a14:compatExt spid="_x0000_s48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48136" name="Button 8" hidden="1">
              <a:extLst>
                <a:ext uri="{63B3BB69-23CF-44E3-9099-C40C66FF867C}">
                  <a14:compatExt spid="_x0000_s4813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48137" name="Button 9" hidden="1">
              <a:extLst>
                <a:ext uri="{63B3BB69-23CF-44E3-9099-C40C66FF867C}">
                  <a14:compatExt spid="_x0000_s481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48138" name="Button 10" hidden="1">
              <a:extLst>
                <a:ext uri="{63B3BB69-23CF-44E3-9099-C40C66FF867C}">
                  <a14:compatExt spid="_x0000_s481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48139" name="Button 11" hidden="1">
              <a:extLst>
                <a:ext uri="{63B3BB69-23CF-44E3-9099-C40C66FF867C}">
                  <a14:compatExt spid="_x0000_s481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48140" name="Button 12" hidden="1">
              <a:extLst>
                <a:ext uri="{63B3BB69-23CF-44E3-9099-C40C66FF867C}">
                  <a14:compatExt spid="_x0000_s481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48141" name="Button 13" hidden="1">
              <a:extLst>
                <a:ext uri="{63B3BB69-23CF-44E3-9099-C40C66FF867C}">
                  <a14:compatExt spid="_x0000_s481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48142" name="Button 14" hidden="1">
              <a:extLst>
                <a:ext uri="{63B3BB69-23CF-44E3-9099-C40C66FF867C}">
                  <a14:compatExt spid="_x0000_s481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48143" name="Button 15" hidden="1">
              <a:extLst>
                <a:ext uri="{63B3BB69-23CF-44E3-9099-C40C66FF867C}">
                  <a14:compatExt spid="_x0000_s4814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1137" name="Button 1" hidden="1">
              <a:extLst>
                <a:ext uri="{63B3BB69-23CF-44E3-9099-C40C66FF867C}">
                  <a14:compatExt spid="_x0000_s911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1138" name="Button 2" hidden="1">
              <a:extLst>
                <a:ext uri="{63B3BB69-23CF-44E3-9099-C40C66FF867C}">
                  <a14:compatExt spid="_x0000_s911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1139" name="Button 3" hidden="1">
              <a:extLst>
                <a:ext uri="{63B3BB69-23CF-44E3-9099-C40C66FF867C}">
                  <a14:compatExt spid="_x0000_s911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1140" name="Button 4" hidden="1">
              <a:extLst>
                <a:ext uri="{63B3BB69-23CF-44E3-9099-C40C66FF867C}">
                  <a14:compatExt spid="_x0000_s911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1141" name="Button 5" hidden="1">
              <a:extLst>
                <a:ext uri="{63B3BB69-23CF-44E3-9099-C40C66FF867C}">
                  <a14:compatExt spid="_x0000_s911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1142" name="Button 6" hidden="1">
              <a:extLst>
                <a:ext uri="{63B3BB69-23CF-44E3-9099-C40C66FF867C}">
                  <a14:compatExt spid="_x0000_s911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1143" name="Button 7" hidden="1">
              <a:extLst>
                <a:ext uri="{63B3BB69-23CF-44E3-9099-C40C66FF867C}">
                  <a14:compatExt spid="_x0000_s9114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1144" name="Button 8" hidden="1">
              <a:extLst>
                <a:ext uri="{63B3BB69-23CF-44E3-9099-C40C66FF867C}">
                  <a14:compatExt spid="_x0000_s9114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177800</xdr:colOff>
          <xdr:row>63</xdr:row>
          <xdr:rowOff>50800</xdr:rowOff>
        </xdr:from>
        <xdr:to>
          <xdr:col>5</xdr:col>
          <xdr:colOff>101600</xdr:colOff>
          <xdr:row>63</xdr:row>
          <xdr:rowOff>482600</xdr:rowOff>
        </xdr:to>
        <xdr:sp macro="" textlink="">
          <xdr:nvSpPr>
            <xdr:cNvPr id="69634" name="Object 2" hidden="1">
              <a:extLst>
                <a:ext uri="{63B3BB69-23CF-44E3-9099-C40C66FF867C}">
                  <a14:compatExt spid="_x0000_s696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66</xdr:row>
          <xdr:rowOff>25400</xdr:rowOff>
        </xdr:from>
        <xdr:to>
          <xdr:col>5</xdr:col>
          <xdr:colOff>215900</xdr:colOff>
          <xdr:row>66</xdr:row>
          <xdr:rowOff>254000</xdr:rowOff>
        </xdr:to>
        <xdr:sp macro="" textlink="">
          <xdr:nvSpPr>
            <xdr:cNvPr id="69633" name="Object 1" hidden="1">
              <a:extLst>
                <a:ext uri="{63B3BB69-23CF-44E3-9099-C40C66FF867C}">
                  <a14:compatExt spid="_x0000_s696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69635" name="Button 3" hidden="1">
              <a:extLst>
                <a:ext uri="{63B3BB69-23CF-44E3-9099-C40C66FF867C}">
                  <a14:compatExt spid="_x0000_s6963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69636" name="Button 4" hidden="1">
              <a:extLst>
                <a:ext uri="{63B3BB69-23CF-44E3-9099-C40C66FF867C}">
                  <a14:compatExt spid="_x0000_s6963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69637" name="Button 5" hidden="1">
              <a:extLst>
                <a:ext uri="{63B3BB69-23CF-44E3-9099-C40C66FF867C}">
                  <a14:compatExt spid="_x0000_s696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69638" name="Button 6" hidden="1">
              <a:extLst>
                <a:ext uri="{63B3BB69-23CF-44E3-9099-C40C66FF867C}">
                  <a14:compatExt spid="_x0000_s696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69639" name="Button 7" hidden="1">
              <a:extLst>
                <a:ext uri="{63B3BB69-23CF-44E3-9099-C40C66FF867C}">
                  <a14:compatExt spid="_x0000_s696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69640" name="Button 8" hidden="1">
              <a:extLst>
                <a:ext uri="{63B3BB69-23CF-44E3-9099-C40C66FF867C}">
                  <a14:compatExt spid="_x0000_s69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69641" name="Button 9" hidden="1">
              <a:extLst>
                <a:ext uri="{63B3BB69-23CF-44E3-9099-C40C66FF867C}">
                  <a14:compatExt spid="_x0000_s696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69642" name="Button 10" hidden="1">
              <a:extLst>
                <a:ext uri="{63B3BB69-23CF-44E3-9099-C40C66FF867C}">
                  <a14:compatExt spid="_x0000_s696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2161" name="Button 1" hidden="1">
              <a:extLst>
                <a:ext uri="{63B3BB69-23CF-44E3-9099-C40C66FF867C}">
                  <a14:compatExt spid="_x0000_s921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2162" name="Button 2" hidden="1">
              <a:extLst>
                <a:ext uri="{63B3BB69-23CF-44E3-9099-C40C66FF867C}">
                  <a14:compatExt spid="_x0000_s921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2163" name="Button 3" hidden="1">
              <a:extLst>
                <a:ext uri="{63B3BB69-23CF-44E3-9099-C40C66FF867C}">
                  <a14:compatExt spid="_x0000_s9216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2164" name="Button 4" hidden="1">
              <a:extLst>
                <a:ext uri="{63B3BB69-23CF-44E3-9099-C40C66FF867C}">
                  <a14:compatExt spid="_x0000_s9216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2165" name="Button 5" hidden="1">
              <a:extLst>
                <a:ext uri="{63B3BB69-23CF-44E3-9099-C40C66FF867C}">
                  <a14:compatExt spid="_x0000_s9216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2166" name="Button 6" hidden="1">
              <a:extLst>
                <a:ext uri="{63B3BB69-23CF-44E3-9099-C40C66FF867C}">
                  <a14:compatExt spid="_x0000_s921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2167" name="Button 7" hidden="1">
              <a:extLst>
                <a:ext uri="{63B3BB69-23CF-44E3-9099-C40C66FF867C}">
                  <a14:compatExt spid="_x0000_s9216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2168" name="Button 8" hidden="1">
              <a:extLst>
                <a:ext uri="{63B3BB69-23CF-44E3-9099-C40C66FF867C}">
                  <a14:compatExt spid="_x0000_s9216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3185" name="Button 1" hidden="1">
              <a:extLst>
                <a:ext uri="{63B3BB69-23CF-44E3-9099-C40C66FF867C}">
                  <a14:compatExt spid="_x0000_s9318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3186" name="Button 2" hidden="1">
              <a:extLst>
                <a:ext uri="{63B3BB69-23CF-44E3-9099-C40C66FF867C}">
                  <a14:compatExt spid="_x0000_s9318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3187" name="Button 3" hidden="1">
              <a:extLst>
                <a:ext uri="{63B3BB69-23CF-44E3-9099-C40C66FF867C}">
                  <a14:compatExt spid="_x0000_s9318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3188" name="Button 4" hidden="1">
              <a:extLst>
                <a:ext uri="{63B3BB69-23CF-44E3-9099-C40C66FF867C}">
                  <a14:compatExt spid="_x0000_s9318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3189" name="Button 5" hidden="1">
              <a:extLst>
                <a:ext uri="{63B3BB69-23CF-44E3-9099-C40C66FF867C}">
                  <a14:compatExt spid="_x0000_s931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3190" name="Button 6" hidden="1">
              <a:extLst>
                <a:ext uri="{63B3BB69-23CF-44E3-9099-C40C66FF867C}">
                  <a14:compatExt spid="_x0000_s9319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3191" name="Button 7" hidden="1">
              <a:extLst>
                <a:ext uri="{63B3BB69-23CF-44E3-9099-C40C66FF867C}">
                  <a14:compatExt spid="_x0000_s931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3192" name="Button 8" hidden="1">
              <a:extLst>
                <a:ext uri="{63B3BB69-23CF-44E3-9099-C40C66FF867C}">
                  <a14:compatExt spid="_x0000_s931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63500</xdr:colOff>
          <xdr:row>4</xdr:row>
          <xdr:rowOff>177800</xdr:rowOff>
        </xdr:from>
        <xdr:to>
          <xdr:col>3</xdr:col>
          <xdr:colOff>596900</xdr:colOff>
          <xdr:row>5</xdr:row>
          <xdr:rowOff>850900</xdr:rowOff>
        </xdr:to>
        <xdr:sp macro="" textlink="">
          <xdr:nvSpPr>
            <xdr:cNvPr id="19458" name="Object 2" hidden="1">
              <a:extLst>
                <a:ext uri="{63B3BB69-23CF-44E3-9099-C40C66FF867C}">
                  <a14:compatExt spid="_x0000_s194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9460" name="Button 4" hidden="1">
              <a:extLst>
                <a:ext uri="{63B3BB69-23CF-44E3-9099-C40C66FF867C}">
                  <a14:compatExt spid="_x0000_s1946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9462" name="Button 6" hidden="1">
              <a:extLst>
                <a:ext uri="{63B3BB69-23CF-44E3-9099-C40C66FF867C}">
                  <a14:compatExt spid="_x0000_s194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9463" name="Button 7" hidden="1">
              <a:extLst>
                <a:ext uri="{63B3BB69-23CF-44E3-9099-C40C66FF867C}">
                  <a14:compatExt spid="_x0000_s1946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9464" name="Button 8" hidden="1">
              <a:extLst>
                <a:ext uri="{63B3BB69-23CF-44E3-9099-C40C66FF867C}">
                  <a14:compatExt spid="_x0000_s1946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9465" name="Button 9" hidden="1">
              <a:extLst>
                <a:ext uri="{63B3BB69-23CF-44E3-9099-C40C66FF867C}">
                  <a14:compatExt spid="_x0000_s1946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9466" name="Button 10" hidden="1">
              <a:extLst>
                <a:ext uri="{63B3BB69-23CF-44E3-9099-C40C66FF867C}">
                  <a14:compatExt spid="_x0000_s194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4209" name="Button 1" hidden="1">
              <a:extLst>
                <a:ext uri="{63B3BB69-23CF-44E3-9099-C40C66FF867C}">
                  <a14:compatExt spid="_x0000_s9420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4210" name="Button 2" hidden="1">
              <a:extLst>
                <a:ext uri="{63B3BB69-23CF-44E3-9099-C40C66FF867C}">
                  <a14:compatExt spid="_x0000_s9421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4211" name="Button 3" hidden="1">
              <a:extLst>
                <a:ext uri="{63B3BB69-23CF-44E3-9099-C40C66FF867C}">
                  <a14:compatExt spid="_x0000_s9421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4212" name="Button 4" hidden="1">
              <a:extLst>
                <a:ext uri="{63B3BB69-23CF-44E3-9099-C40C66FF867C}">
                  <a14:compatExt spid="_x0000_s9421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4213" name="Button 5" hidden="1">
              <a:extLst>
                <a:ext uri="{63B3BB69-23CF-44E3-9099-C40C66FF867C}">
                  <a14:compatExt spid="_x0000_s942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4214" name="Button 6" hidden="1">
              <a:extLst>
                <a:ext uri="{63B3BB69-23CF-44E3-9099-C40C66FF867C}">
                  <a14:compatExt spid="_x0000_s942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4215" name="Button 7" hidden="1">
              <a:extLst>
                <a:ext uri="{63B3BB69-23CF-44E3-9099-C40C66FF867C}">
                  <a14:compatExt spid="_x0000_s9421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4216" name="Button 8" hidden="1">
              <a:extLst>
                <a:ext uri="{63B3BB69-23CF-44E3-9099-C40C66FF867C}">
                  <a14:compatExt spid="_x0000_s9421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520700</xdr:colOff>
          <xdr:row>4</xdr:row>
          <xdr:rowOff>177800</xdr:rowOff>
        </xdr:from>
        <xdr:to>
          <xdr:col>4</xdr:col>
          <xdr:colOff>673100</xdr:colOff>
          <xdr:row>5</xdr:row>
          <xdr:rowOff>673100</xdr:rowOff>
        </xdr:to>
        <xdr:sp macro="" textlink="">
          <xdr:nvSpPr>
            <xdr:cNvPr id="47107" name="Object 3" hidden="1">
              <a:extLst>
                <a:ext uri="{63B3BB69-23CF-44E3-9099-C40C66FF867C}">
                  <a14:compatExt spid="_x0000_s47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47108" name="Button 4" hidden="1">
              <a:extLst>
                <a:ext uri="{63B3BB69-23CF-44E3-9099-C40C66FF867C}">
                  <a14:compatExt spid="_x0000_s4710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47109" name="Button 5" hidden="1">
              <a:extLst>
                <a:ext uri="{63B3BB69-23CF-44E3-9099-C40C66FF867C}">
                  <a14:compatExt spid="_x0000_s4710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47110" name="Button 6" hidden="1">
              <a:extLst>
                <a:ext uri="{63B3BB69-23CF-44E3-9099-C40C66FF867C}">
                  <a14:compatExt spid="_x0000_s4711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47111" name="Button 7" hidden="1">
              <a:extLst>
                <a:ext uri="{63B3BB69-23CF-44E3-9099-C40C66FF867C}">
                  <a14:compatExt spid="_x0000_s4711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47112" name="Button 8" hidden="1">
              <a:extLst>
                <a:ext uri="{63B3BB69-23CF-44E3-9099-C40C66FF867C}">
                  <a14:compatExt spid="_x0000_s4711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47113" name="Button 9" hidden="1">
              <a:extLst>
                <a:ext uri="{63B3BB69-23CF-44E3-9099-C40C66FF867C}">
                  <a14:compatExt spid="_x0000_s471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47114" name="Button 10" hidden="1">
              <a:extLst>
                <a:ext uri="{63B3BB69-23CF-44E3-9099-C40C66FF867C}">
                  <a14:compatExt spid="_x0000_s471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47115" name="Button 11" hidden="1">
              <a:extLst>
                <a:ext uri="{63B3BB69-23CF-44E3-9099-C40C66FF867C}">
                  <a14:compatExt spid="_x0000_s4711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5233" name="Button 1" hidden="1">
              <a:extLst>
                <a:ext uri="{63B3BB69-23CF-44E3-9099-C40C66FF867C}">
                  <a14:compatExt spid="_x0000_s952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5234" name="Button 2" hidden="1">
              <a:extLst>
                <a:ext uri="{63B3BB69-23CF-44E3-9099-C40C66FF867C}">
                  <a14:compatExt spid="_x0000_s9523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5235" name="Button 3" hidden="1">
              <a:extLst>
                <a:ext uri="{63B3BB69-23CF-44E3-9099-C40C66FF867C}">
                  <a14:compatExt spid="_x0000_s9523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5236" name="Button 4" hidden="1">
              <a:extLst>
                <a:ext uri="{63B3BB69-23CF-44E3-9099-C40C66FF867C}">
                  <a14:compatExt spid="_x0000_s9523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5237" name="Button 5" hidden="1">
              <a:extLst>
                <a:ext uri="{63B3BB69-23CF-44E3-9099-C40C66FF867C}">
                  <a14:compatExt spid="_x0000_s952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5238" name="Button 6" hidden="1">
              <a:extLst>
                <a:ext uri="{63B3BB69-23CF-44E3-9099-C40C66FF867C}">
                  <a14:compatExt spid="_x0000_s952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5239" name="Button 7" hidden="1">
              <a:extLst>
                <a:ext uri="{63B3BB69-23CF-44E3-9099-C40C66FF867C}">
                  <a14:compatExt spid="_x0000_s952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5240" name="Button 8" hidden="1">
              <a:extLst>
                <a:ext uri="{63B3BB69-23CF-44E3-9099-C40C66FF867C}">
                  <a14:compatExt spid="_x0000_s952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4</xdr:row>
          <xdr:rowOff>38100</xdr:rowOff>
        </xdr:from>
        <xdr:to>
          <xdr:col>6</xdr:col>
          <xdr:colOff>419100</xdr:colOff>
          <xdr:row>4</xdr:row>
          <xdr:rowOff>660400</xdr:rowOff>
        </xdr:to>
        <xdr:sp macro="" textlink="">
          <xdr:nvSpPr>
            <xdr:cNvPr id="55297" name="Object 1" hidden="1">
              <a:extLst>
                <a:ext uri="{63B3BB69-23CF-44E3-9099-C40C66FF867C}">
                  <a14:compatExt spid="_x0000_s552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55298" name="Button 2" hidden="1">
              <a:extLst>
                <a:ext uri="{63B3BB69-23CF-44E3-9099-C40C66FF867C}">
                  <a14:compatExt spid="_x0000_s552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55299" name="Button 3" hidden="1">
              <a:extLst>
                <a:ext uri="{63B3BB69-23CF-44E3-9099-C40C66FF867C}">
                  <a14:compatExt spid="_x0000_s552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55300" name="Button 4" hidden="1">
              <a:extLst>
                <a:ext uri="{63B3BB69-23CF-44E3-9099-C40C66FF867C}">
                  <a14:compatExt spid="_x0000_s5530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55301" name="Button 5" hidden="1">
              <a:extLst>
                <a:ext uri="{63B3BB69-23CF-44E3-9099-C40C66FF867C}">
                  <a14:compatExt spid="_x0000_s5530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55302" name="Button 6" hidden="1">
              <a:extLst>
                <a:ext uri="{63B3BB69-23CF-44E3-9099-C40C66FF867C}">
                  <a14:compatExt spid="_x0000_s5530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55303" name="Button 7" hidden="1">
              <a:extLst>
                <a:ext uri="{63B3BB69-23CF-44E3-9099-C40C66FF867C}">
                  <a14:compatExt spid="_x0000_s5530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55304" name="Button 8" hidden="1">
              <a:extLst>
                <a:ext uri="{63B3BB69-23CF-44E3-9099-C40C66FF867C}">
                  <a14:compatExt spid="_x0000_s5530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55305" name="Button 9" hidden="1">
              <a:extLst>
                <a:ext uri="{63B3BB69-23CF-44E3-9099-C40C66FF867C}">
                  <a14:compatExt spid="_x0000_s5530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6257" name="Button 1" hidden="1">
              <a:extLst>
                <a:ext uri="{63B3BB69-23CF-44E3-9099-C40C66FF867C}">
                  <a14:compatExt spid="_x0000_s9625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6258" name="Button 2" hidden="1">
              <a:extLst>
                <a:ext uri="{63B3BB69-23CF-44E3-9099-C40C66FF867C}">
                  <a14:compatExt spid="_x0000_s9625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6259" name="Button 3" hidden="1">
              <a:extLst>
                <a:ext uri="{63B3BB69-23CF-44E3-9099-C40C66FF867C}">
                  <a14:compatExt spid="_x0000_s962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6260" name="Button 4" hidden="1">
              <a:extLst>
                <a:ext uri="{63B3BB69-23CF-44E3-9099-C40C66FF867C}">
                  <a14:compatExt spid="_x0000_s9626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6261" name="Button 5" hidden="1">
              <a:extLst>
                <a:ext uri="{63B3BB69-23CF-44E3-9099-C40C66FF867C}">
                  <a14:compatExt spid="_x0000_s962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6262" name="Button 6" hidden="1">
              <a:extLst>
                <a:ext uri="{63B3BB69-23CF-44E3-9099-C40C66FF867C}">
                  <a14:compatExt spid="_x0000_s962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6263" name="Button 7" hidden="1">
              <a:extLst>
                <a:ext uri="{63B3BB69-23CF-44E3-9099-C40C66FF867C}">
                  <a14:compatExt spid="_x0000_s9626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6264" name="Button 8" hidden="1">
              <a:extLst>
                <a:ext uri="{63B3BB69-23CF-44E3-9099-C40C66FF867C}">
                  <a14:compatExt spid="_x0000_s9626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7281" name="Button 1" hidden="1">
              <a:extLst>
                <a:ext uri="{63B3BB69-23CF-44E3-9099-C40C66FF867C}">
                  <a14:compatExt spid="_x0000_s9728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7282" name="Button 2" hidden="1">
              <a:extLst>
                <a:ext uri="{63B3BB69-23CF-44E3-9099-C40C66FF867C}">
                  <a14:compatExt spid="_x0000_s9728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7283" name="Button 3" hidden="1">
              <a:extLst>
                <a:ext uri="{63B3BB69-23CF-44E3-9099-C40C66FF867C}">
                  <a14:compatExt spid="_x0000_s9728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7284" name="Button 4" hidden="1">
              <a:extLst>
                <a:ext uri="{63B3BB69-23CF-44E3-9099-C40C66FF867C}">
                  <a14:compatExt spid="_x0000_s972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7285" name="Button 5" hidden="1">
              <a:extLst>
                <a:ext uri="{63B3BB69-23CF-44E3-9099-C40C66FF867C}">
                  <a14:compatExt spid="_x0000_s9728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7286" name="Button 6" hidden="1">
              <a:extLst>
                <a:ext uri="{63B3BB69-23CF-44E3-9099-C40C66FF867C}">
                  <a14:compatExt spid="_x0000_s9728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7287" name="Button 7" hidden="1">
              <a:extLst>
                <a:ext uri="{63B3BB69-23CF-44E3-9099-C40C66FF867C}">
                  <a14:compatExt spid="_x0000_s9728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7288" name="Button 8" hidden="1">
              <a:extLst>
                <a:ext uri="{63B3BB69-23CF-44E3-9099-C40C66FF867C}">
                  <a14:compatExt spid="_x0000_s9728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4</xdr:row>
          <xdr:rowOff>0</xdr:rowOff>
        </xdr:from>
        <xdr:to>
          <xdr:col>6</xdr:col>
          <xdr:colOff>584200</xdr:colOff>
          <xdr:row>4</xdr:row>
          <xdr:rowOff>457200</xdr:rowOff>
        </xdr:to>
        <xdr:sp macro="" textlink="">
          <xdr:nvSpPr>
            <xdr:cNvPr id="34820" name="Object 4" hidden="1">
              <a:extLst>
                <a:ext uri="{63B3BB69-23CF-44E3-9099-C40C66FF867C}">
                  <a14:compatExt spid="_x0000_s348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34821" name="Button 5" hidden="1">
              <a:extLst>
                <a:ext uri="{63B3BB69-23CF-44E3-9099-C40C66FF867C}">
                  <a14:compatExt spid="_x0000_s348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34822" name="Button 6" hidden="1">
              <a:extLst>
                <a:ext uri="{63B3BB69-23CF-44E3-9099-C40C66FF867C}">
                  <a14:compatExt spid="_x0000_s348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34823" name="Button 7" hidden="1">
              <a:extLst>
                <a:ext uri="{63B3BB69-23CF-44E3-9099-C40C66FF867C}">
                  <a14:compatExt spid="_x0000_s3482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34824" name="Button 8" hidden="1">
              <a:extLst>
                <a:ext uri="{63B3BB69-23CF-44E3-9099-C40C66FF867C}">
                  <a14:compatExt spid="_x0000_s3482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34825" name="Button 9" hidden="1">
              <a:extLst>
                <a:ext uri="{63B3BB69-23CF-44E3-9099-C40C66FF867C}">
                  <a14:compatExt spid="_x0000_s348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34826" name="Button 10" hidden="1">
              <a:extLst>
                <a:ext uri="{63B3BB69-23CF-44E3-9099-C40C66FF867C}">
                  <a14:compatExt spid="_x0000_s348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34827" name="Button 11" hidden="1">
              <a:extLst>
                <a:ext uri="{63B3BB69-23CF-44E3-9099-C40C66FF867C}">
                  <a14:compatExt spid="_x0000_s348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34828" name="Button 12" hidden="1">
              <a:extLst>
                <a:ext uri="{63B3BB69-23CF-44E3-9099-C40C66FF867C}">
                  <a14:compatExt spid="_x0000_s3482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8305" name="Button 1" hidden="1">
              <a:extLst>
                <a:ext uri="{63B3BB69-23CF-44E3-9099-C40C66FF867C}">
                  <a14:compatExt spid="_x0000_s9830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8306" name="Button 2" hidden="1">
              <a:extLst>
                <a:ext uri="{63B3BB69-23CF-44E3-9099-C40C66FF867C}">
                  <a14:compatExt spid="_x0000_s9830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8307" name="Button 3" hidden="1">
              <a:extLst>
                <a:ext uri="{63B3BB69-23CF-44E3-9099-C40C66FF867C}">
                  <a14:compatExt spid="_x0000_s9830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8308" name="Button 4" hidden="1">
              <a:extLst>
                <a:ext uri="{63B3BB69-23CF-44E3-9099-C40C66FF867C}">
                  <a14:compatExt spid="_x0000_s9830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8309" name="Button 5" hidden="1">
              <a:extLst>
                <a:ext uri="{63B3BB69-23CF-44E3-9099-C40C66FF867C}">
                  <a14:compatExt spid="_x0000_s9830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8310" name="Button 6" hidden="1">
              <a:extLst>
                <a:ext uri="{63B3BB69-23CF-44E3-9099-C40C66FF867C}">
                  <a14:compatExt spid="_x0000_s9831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8311" name="Button 7" hidden="1">
              <a:extLst>
                <a:ext uri="{63B3BB69-23CF-44E3-9099-C40C66FF867C}">
                  <a14:compatExt spid="_x0000_s9831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8312" name="Button 8" hidden="1">
              <a:extLst>
                <a:ext uri="{63B3BB69-23CF-44E3-9099-C40C66FF867C}">
                  <a14:compatExt spid="_x0000_s9831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355600</xdr:colOff>
          <xdr:row>10</xdr:row>
          <xdr:rowOff>12700</xdr:rowOff>
        </xdr:from>
        <xdr:to>
          <xdr:col>8</xdr:col>
          <xdr:colOff>355600</xdr:colOff>
          <xdr:row>10</xdr:row>
          <xdr:rowOff>469900</xdr:rowOff>
        </xdr:to>
        <xdr:sp macro="" textlink="">
          <xdr:nvSpPr>
            <xdr:cNvPr id="26627" name="Object 3" hidden="1">
              <a:extLst>
                <a:ext uri="{63B3BB69-23CF-44E3-9099-C40C66FF867C}">
                  <a14:compatExt spid="_x0000_s26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444500</xdr:colOff>
          <xdr:row>12</xdr:row>
          <xdr:rowOff>76200</xdr:rowOff>
        </xdr:from>
        <xdr:to>
          <xdr:col>3</xdr:col>
          <xdr:colOff>647700</xdr:colOff>
          <xdr:row>12</xdr:row>
          <xdr:rowOff>508000</xdr:rowOff>
        </xdr:to>
        <xdr:sp macro="" textlink="">
          <xdr:nvSpPr>
            <xdr:cNvPr id="26626" name="Object 2" hidden="1">
              <a:extLst>
                <a:ext uri="{63B3BB69-23CF-44E3-9099-C40C66FF867C}">
                  <a14:compatExt spid="_x0000_s26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26630" name="Button 6" hidden="1">
              <a:extLst>
                <a:ext uri="{63B3BB69-23CF-44E3-9099-C40C66FF867C}">
                  <a14:compatExt spid="_x0000_s2663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6631" name="Button 7" hidden="1">
              <a:extLst>
                <a:ext uri="{63B3BB69-23CF-44E3-9099-C40C66FF867C}">
                  <a14:compatExt spid="_x0000_s2663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26632" name="Button 8" hidden="1">
              <a:extLst>
                <a:ext uri="{63B3BB69-23CF-44E3-9099-C40C66FF867C}">
                  <a14:compatExt spid="_x0000_s2663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26633" name="Button 9" hidden="1">
              <a:extLst>
                <a:ext uri="{63B3BB69-23CF-44E3-9099-C40C66FF867C}">
                  <a14:compatExt spid="_x0000_s266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26634" name="Button 10" hidden="1">
              <a:extLst>
                <a:ext uri="{63B3BB69-23CF-44E3-9099-C40C66FF867C}">
                  <a14:compatExt spid="_x0000_s2663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6635" name="Button 11" hidden="1">
              <a:extLst>
                <a:ext uri="{63B3BB69-23CF-44E3-9099-C40C66FF867C}">
                  <a14:compatExt spid="_x0000_s2663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165100</xdr:colOff>
          <xdr:row>3</xdr:row>
          <xdr:rowOff>114300</xdr:rowOff>
        </xdr:from>
        <xdr:to>
          <xdr:col>6</xdr:col>
          <xdr:colOff>38100</xdr:colOff>
          <xdr:row>4</xdr:row>
          <xdr:rowOff>25400</xdr:rowOff>
        </xdr:to>
        <xdr:sp macro="" textlink="">
          <xdr:nvSpPr>
            <xdr:cNvPr id="70658" name="Object 2" hidden="1">
              <a:extLst>
                <a:ext uri="{63B3BB69-23CF-44E3-9099-C40C66FF867C}">
                  <a14:compatExt spid="_x0000_s706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70659" name="Button 3" hidden="1">
              <a:extLst>
                <a:ext uri="{63B3BB69-23CF-44E3-9099-C40C66FF867C}">
                  <a14:compatExt spid="_x0000_s706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70660" name="Button 4" hidden="1">
              <a:extLst>
                <a:ext uri="{63B3BB69-23CF-44E3-9099-C40C66FF867C}">
                  <a14:compatExt spid="_x0000_s7066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70661" name="Button 5" hidden="1">
              <a:extLst>
                <a:ext uri="{63B3BB69-23CF-44E3-9099-C40C66FF867C}">
                  <a14:compatExt spid="_x0000_s706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70662" name="Button 6" hidden="1">
              <a:extLst>
                <a:ext uri="{63B3BB69-23CF-44E3-9099-C40C66FF867C}">
                  <a14:compatExt spid="_x0000_s706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70663" name="Button 7" hidden="1">
              <a:extLst>
                <a:ext uri="{63B3BB69-23CF-44E3-9099-C40C66FF867C}">
                  <a14:compatExt spid="_x0000_s7066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70664" name="Button 8" hidden="1">
              <a:extLst>
                <a:ext uri="{63B3BB69-23CF-44E3-9099-C40C66FF867C}">
                  <a14:compatExt spid="_x0000_s7066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70665" name="Button 9" hidden="1">
              <a:extLst>
                <a:ext uri="{63B3BB69-23CF-44E3-9099-C40C66FF867C}">
                  <a14:compatExt spid="_x0000_s7066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70666" name="Button 10" hidden="1">
              <a:extLst>
                <a:ext uri="{63B3BB69-23CF-44E3-9099-C40C66FF867C}">
                  <a14:compatExt spid="_x0000_s706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03425" name="Button 1" hidden="1">
              <a:extLst>
                <a:ext uri="{63B3BB69-23CF-44E3-9099-C40C66FF867C}">
                  <a14:compatExt spid="_x0000_s1034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03426" name="Button 2" hidden="1">
              <a:extLst>
                <a:ext uri="{63B3BB69-23CF-44E3-9099-C40C66FF867C}">
                  <a14:compatExt spid="_x0000_s1034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03427" name="Button 3" hidden="1">
              <a:extLst>
                <a:ext uri="{63B3BB69-23CF-44E3-9099-C40C66FF867C}">
                  <a14:compatExt spid="_x0000_s1034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03428" name="Button 4" hidden="1">
              <a:extLst>
                <a:ext uri="{63B3BB69-23CF-44E3-9099-C40C66FF867C}">
                  <a14:compatExt spid="_x0000_s10342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03429" name="Button 5" hidden="1">
              <a:extLst>
                <a:ext uri="{63B3BB69-23CF-44E3-9099-C40C66FF867C}">
                  <a14:compatExt spid="_x0000_s1034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03430" name="Button 6" hidden="1">
              <a:extLst>
                <a:ext uri="{63B3BB69-23CF-44E3-9099-C40C66FF867C}">
                  <a14:compatExt spid="_x0000_s10343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03431" name="Button 7" hidden="1">
              <a:extLst>
                <a:ext uri="{63B3BB69-23CF-44E3-9099-C40C66FF867C}">
                  <a14:compatExt spid="_x0000_s10343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03432" name="Button 8" hidden="1">
              <a:extLst>
                <a:ext uri="{63B3BB69-23CF-44E3-9099-C40C66FF867C}">
                  <a14:compatExt spid="_x0000_s10343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8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9329" name="Button 1" hidden="1">
              <a:extLst>
                <a:ext uri="{63B3BB69-23CF-44E3-9099-C40C66FF867C}">
                  <a14:compatExt spid="_x0000_s993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9330" name="Button 2" hidden="1">
              <a:extLst>
                <a:ext uri="{63B3BB69-23CF-44E3-9099-C40C66FF867C}">
                  <a14:compatExt spid="_x0000_s9933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9331" name="Button 3" hidden="1">
              <a:extLst>
                <a:ext uri="{63B3BB69-23CF-44E3-9099-C40C66FF867C}">
                  <a14:compatExt spid="_x0000_s9933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9332" name="Button 4" hidden="1">
              <a:extLst>
                <a:ext uri="{63B3BB69-23CF-44E3-9099-C40C66FF867C}">
                  <a14:compatExt spid="_x0000_s9933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99333" name="Button 5" hidden="1">
              <a:extLst>
                <a:ext uri="{63B3BB69-23CF-44E3-9099-C40C66FF867C}">
                  <a14:compatExt spid="_x0000_s993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99334" name="Button 6" hidden="1">
              <a:extLst>
                <a:ext uri="{63B3BB69-23CF-44E3-9099-C40C66FF867C}">
                  <a14:compatExt spid="_x0000_s9933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99335" name="Button 7" hidden="1">
              <a:extLst>
                <a:ext uri="{63B3BB69-23CF-44E3-9099-C40C66FF867C}">
                  <a14:compatExt spid="_x0000_s9933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99336" name="Button 8" hidden="1">
              <a:extLst>
                <a:ext uri="{63B3BB69-23CF-44E3-9099-C40C66FF867C}">
                  <a14:compatExt spid="_x0000_s9933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8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4</xdr:row>
          <xdr:rowOff>0</xdr:rowOff>
        </xdr:from>
        <xdr:to>
          <xdr:col>4</xdr:col>
          <xdr:colOff>368300</xdr:colOff>
          <xdr:row>4</xdr:row>
          <xdr:rowOff>444500</xdr:rowOff>
        </xdr:to>
        <xdr:sp macro="" textlink="">
          <xdr:nvSpPr>
            <xdr:cNvPr id="20482" name="Object 2"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20483" name="Button 3" hidden="1">
              <a:extLst>
                <a:ext uri="{63B3BB69-23CF-44E3-9099-C40C66FF867C}">
                  <a14:compatExt spid="_x0000_s2048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20484" name="Button 4" hidden="1">
              <a:extLst>
                <a:ext uri="{63B3BB69-23CF-44E3-9099-C40C66FF867C}">
                  <a14:compatExt spid="_x0000_s204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20485" name="Button 5" hidden="1">
              <a:extLst>
                <a:ext uri="{63B3BB69-23CF-44E3-9099-C40C66FF867C}">
                  <a14:compatExt spid="_x0000_s2048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20487" name="Button 7" hidden="1">
              <a:extLst>
                <a:ext uri="{63B3BB69-23CF-44E3-9099-C40C66FF867C}">
                  <a14:compatExt spid="_x0000_s2048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20488" name="Button 8" hidden="1">
              <a:extLst>
                <a:ext uri="{63B3BB69-23CF-44E3-9099-C40C66FF867C}">
                  <a14:compatExt spid="_x0000_s2048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20489" name="Button 9" hidden="1">
              <a:extLst>
                <a:ext uri="{63B3BB69-23CF-44E3-9099-C40C66FF867C}">
                  <a14:compatExt spid="_x0000_s204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0490" name="Button 10" hidden="1">
              <a:extLst>
                <a:ext uri="{63B3BB69-23CF-44E3-9099-C40C66FF867C}">
                  <a14:compatExt spid="_x0000_s2049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8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00353" name="Button 1" hidden="1">
              <a:extLst>
                <a:ext uri="{63B3BB69-23CF-44E3-9099-C40C66FF867C}">
                  <a14:compatExt spid="_x0000_s1003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00354" name="Button 2" hidden="1">
              <a:extLst>
                <a:ext uri="{63B3BB69-23CF-44E3-9099-C40C66FF867C}">
                  <a14:compatExt spid="_x0000_s1003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00355" name="Button 3" hidden="1">
              <a:extLst>
                <a:ext uri="{63B3BB69-23CF-44E3-9099-C40C66FF867C}">
                  <a14:compatExt spid="_x0000_s10035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00356" name="Button 4" hidden="1">
              <a:extLst>
                <a:ext uri="{63B3BB69-23CF-44E3-9099-C40C66FF867C}">
                  <a14:compatExt spid="_x0000_s10035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00357" name="Button 5" hidden="1">
              <a:extLst>
                <a:ext uri="{63B3BB69-23CF-44E3-9099-C40C66FF867C}">
                  <a14:compatExt spid="_x0000_s10035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00358" name="Button 6" hidden="1">
              <a:extLst>
                <a:ext uri="{63B3BB69-23CF-44E3-9099-C40C66FF867C}">
                  <a14:compatExt spid="_x0000_s10035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00359" name="Button 7" hidden="1">
              <a:extLst>
                <a:ext uri="{63B3BB69-23CF-44E3-9099-C40C66FF867C}">
                  <a14:compatExt spid="_x0000_s1003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00360" name="Button 8" hidden="1">
              <a:extLst>
                <a:ext uri="{63B3BB69-23CF-44E3-9099-C40C66FF867C}">
                  <a14:compatExt spid="_x0000_s10036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9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342900</xdr:colOff>
          <xdr:row>5</xdr:row>
          <xdr:rowOff>127000</xdr:rowOff>
        </xdr:from>
        <xdr:to>
          <xdr:col>3</xdr:col>
          <xdr:colOff>660400</xdr:colOff>
          <xdr:row>5</xdr:row>
          <xdr:rowOff>508000</xdr:rowOff>
        </xdr:to>
        <xdr:sp macro="" textlink="">
          <xdr:nvSpPr>
            <xdr:cNvPr id="33794" name="Object 2" hidden="1">
              <a:extLst>
                <a:ext uri="{63B3BB69-23CF-44E3-9099-C40C66FF867C}">
                  <a14:compatExt spid="_x0000_s33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33795" name="Button 3" hidden="1">
              <a:extLst>
                <a:ext uri="{63B3BB69-23CF-44E3-9099-C40C66FF867C}">
                  <a14:compatExt spid="_x0000_s3379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33796" name="Button 4" hidden="1">
              <a:extLst>
                <a:ext uri="{63B3BB69-23CF-44E3-9099-C40C66FF867C}">
                  <a14:compatExt spid="_x0000_s3379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33797" name="Button 5" hidden="1">
              <a:extLst>
                <a:ext uri="{63B3BB69-23CF-44E3-9099-C40C66FF867C}">
                  <a14:compatExt spid="_x0000_s337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33798" name="Button 6" hidden="1">
              <a:extLst>
                <a:ext uri="{63B3BB69-23CF-44E3-9099-C40C66FF867C}">
                  <a14:compatExt spid="_x0000_s337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33799" name="Button 7" hidden="1">
              <a:extLst>
                <a:ext uri="{63B3BB69-23CF-44E3-9099-C40C66FF867C}">
                  <a14:compatExt spid="_x0000_s337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33800" name="Button 8" hidden="1">
              <a:extLst>
                <a:ext uri="{63B3BB69-23CF-44E3-9099-C40C66FF867C}">
                  <a14:compatExt spid="_x0000_s3380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33801" name="Button 9" hidden="1">
              <a:extLst>
                <a:ext uri="{63B3BB69-23CF-44E3-9099-C40C66FF867C}">
                  <a14:compatExt spid="_x0000_s3380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33802" name="Button 10" hidden="1">
              <a:extLst>
                <a:ext uri="{63B3BB69-23CF-44E3-9099-C40C66FF867C}">
                  <a14:compatExt spid="_x0000_s3380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9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63500</xdr:colOff>
          <xdr:row>3</xdr:row>
          <xdr:rowOff>12700</xdr:rowOff>
        </xdr:from>
        <xdr:to>
          <xdr:col>6</xdr:col>
          <xdr:colOff>685800</xdr:colOff>
          <xdr:row>6</xdr:row>
          <xdr:rowOff>0</xdr:rowOff>
        </xdr:to>
        <xdr:sp macro="" textlink="">
          <xdr:nvSpPr>
            <xdr:cNvPr id="59393" name="Object 1" hidden="1">
              <a:extLst>
                <a:ext uri="{63B3BB69-23CF-44E3-9099-C40C66FF867C}">
                  <a14:compatExt spid="_x0000_s593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59394" name="Button 2" hidden="1">
              <a:extLst>
                <a:ext uri="{63B3BB69-23CF-44E3-9099-C40C66FF867C}">
                  <a14:compatExt spid="_x0000_s593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59395" name="Button 3" hidden="1">
              <a:extLst>
                <a:ext uri="{63B3BB69-23CF-44E3-9099-C40C66FF867C}">
                  <a14:compatExt spid="_x0000_s5939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59396" name="Button 4" hidden="1">
              <a:extLst>
                <a:ext uri="{63B3BB69-23CF-44E3-9099-C40C66FF867C}">
                  <a14:compatExt spid="_x0000_s5939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59397" name="Button 5" hidden="1">
              <a:extLst>
                <a:ext uri="{63B3BB69-23CF-44E3-9099-C40C66FF867C}">
                  <a14:compatExt spid="_x0000_s593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59398" name="Button 6" hidden="1">
              <a:extLst>
                <a:ext uri="{63B3BB69-23CF-44E3-9099-C40C66FF867C}">
                  <a14:compatExt spid="_x0000_s593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59399" name="Button 7" hidden="1">
              <a:extLst>
                <a:ext uri="{63B3BB69-23CF-44E3-9099-C40C66FF867C}">
                  <a14:compatExt spid="_x0000_s593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59400" name="Button 8" hidden="1">
              <a:extLst>
                <a:ext uri="{63B3BB69-23CF-44E3-9099-C40C66FF867C}">
                  <a14:compatExt spid="_x0000_s5940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59401" name="Button 9" hidden="1">
              <a:extLst>
                <a:ext uri="{63B3BB69-23CF-44E3-9099-C40C66FF867C}">
                  <a14:compatExt spid="_x0000_s5940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9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520700</xdr:colOff>
          <xdr:row>4</xdr:row>
          <xdr:rowOff>88900</xdr:rowOff>
        </xdr:from>
        <xdr:to>
          <xdr:col>3</xdr:col>
          <xdr:colOff>698500</xdr:colOff>
          <xdr:row>4</xdr:row>
          <xdr:rowOff>508000</xdr:rowOff>
        </xdr:to>
        <xdr:sp macro="" textlink="">
          <xdr:nvSpPr>
            <xdr:cNvPr id="32771" name="Object 3" hidden="1">
              <a:extLst>
                <a:ext uri="{63B3BB69-23CF-44E3-9099-C40C66FF867C}">
                  <a14:compatExt spid="_x0000_s327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32772" name="Button 4" hidden="1">
              <a:extLst>
                <a:ext uri="{63B3BB69-23CF-44E3-9099-C40C66FF867C}">
                  <a14:compatExt spid="_x0000_s327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32773" name="Button 5" hidden="1">
              <a:extLst>
                <a:ext uri="{63B3BB69-23CF-44E3-9099-C40C66FF867C}">
                  <a14:compatExt spid="_x0000_s327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32774" name="Button 6" hidden="1">
              <a:extLst>
                <a:ext uri="{63B3BB69-23CF-44E3-9099-C40C66FF867C}">
                  <a14:compatExt spid="_x0000_s327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32775" name="Button 7" hidden="1">
              <a:extLst>
                <a:ext uri="{63B3BB69-23CF-44E3-9099-C40C66FF867C}">
                  <a14:compatExt spid="_x0000_s327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32776" name="Button 8" hidden="1">
              <a:extLst>
                <a:ext uri="{63B3BB69-23CF-44E3-9099-C40C66FF867C}">
                  <a14:compatExt spid="_x0000_s3277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32777" name="Button 9" hidden="1">
              <a:extLst>
                <a:ext uri="{63B3BB69-23CF-44E3-9099-C40C66FF867C}">
                  <a14:compatExt spid="_x0000_s327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32778" name="Button 10" hidden="1">
              <a:extLst>
                <a:ext uri="{63B3BB69-23CF-44E3-9099-C40C66FF867C}">
                  <a14:compatExt spid="_x0000_s327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32779" name="Button 11" hidden="1">
              <a:extLst>
                <a:ext uri="{63B3BB69-23CF-44E3-9099-C40C66FF867C}">
                  <a14:compatExt spid="_x0000_s3277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9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01377" name="Button 1" hidden="1">
              <a:extLst>
                <a:ext uri="{63B3BB69-23CF-44E3-9099-C40C66FF867C}">
                  <a14:compatExt spid="_x0000_s1013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01378" name="Button 2" hidden="1">
              <a:extLst>
                <a:ext uri="{63B3BB69-23CF-44E3-9099-C40C66FF867C}">
                  <a14:compatExt spid="_x0000_s1013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01379" name="Button 3" hidden="1">
              <a:extLst>
                <a:ext uri="{63B3BB69-23CF-44E3-9099-C40C66FF867C}">
                  <a14:compatExt spid="_x0000_s10137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01380" name="Button 4" hidden="1">
              <a:extLst>
                <a:ext uri="{63B3BB69-23CF-44E3-9099-C40C66FF867C}">
                  <a14:compatExt spid="_x0000_s10138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01381" name="Button 5" hidden="1">
              <a:extLst>
                <a:ext uri="{63B3BB69-23CF-44E3-9099-C40C66FF867C}">
                  <a14:compatExt spid="_x0000_s10138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01382" name="Button 6" hidden="1">
              <a:extLst>
                <a:ext uri="{63B3BB69-23CF-44E3-9099-C40C66FF867C}">
                  <a14:compatExt spid="_x0000_s10138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01383" name="Button 7" hidden="1">
              <a:extLst>
                <a:ext uri="{63B3BB69-23CF-44E3-9099-C40C66FF867C}">
                  <a14:compatExt spid="_x0000_s10138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01384" name="Button 8" hidden="1">
              <a:extLst>
                <a:ext uri="{63B3BB69-23CF-44E3-9099-C40C66FF867C}">
                  <a14:compatExt spid="_x0000_s1013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9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279400</xdr:colOff>
          <xdr:row>10</xdr:row>
          <xdr:rowOff>25400</xdr:rowOff>
        </xdr:from>
        <xdr:to>
          <xdr:col>6</xdr:col>
          <xdr:colOff>444500</xdr:colOff>
          <xdr:row>10</xdr:row>
          <xdr:rowOff>482600</xdr:rowOff>
        </xdr:to>
        <xdr:sp macro="" textlink="">
          <xdr:nvSpPr>
            <xdr:cNvPr id="31748" name="Object 4" hidden="1">
              <a:extLst>
                <a:ext uri="{63B3BB69-23CF-44E3-9099-C40C66FF867C}">
                  <a14:compatExt spid="_x0000_s317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406400</xdr:colOff>
          <xdr:row>12</xdr:row>
          <xdr:rowOff>63500</xdr:rowOff>
        </xdr:from>
        <xdr:to>
          <xdr:col>3</xdr:col>
          <xdr:colOff>520700</xdr:colOff>
          <xdr:row>12</xdr:row>
          <xdr:rowOff>444500</xdr:rowOff>
        </xdr:to>
        <xdr:sp macro="" textlink="">
          <xdr:nvSpPr>
            <xdr:cNvPr id="31747" name="Object 3" hidden="1">
              <a:extLst>
                <a:ext uri="{63B3BB69-23CF-44E3-9099-C40C66FF867C}">
                  <a14:compatExt spid="_x0000_s317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31749" name="Button 5" hidden="1">
              <a:extLst>
                <a:ext uri="{63B3BB69-23CF-44E3-9099-C40C66FF867C}">
                  <a14:compatExt spid="_x0000_s317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31750" name="Button 6" hidden="1">
              <a:extLst>
                <a:ext uri="{63B3BB69-23CF-44E3-9099-C40C66FF867C}">
                  <a14:compatExt spid="_x0000_s317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31751" name="Button 7" hidden="1">
              <a:extLst>
                <a:ext uri="{63B3BB69-23CF-44E3-9099-C40C66FF867C}">
                  <a14:compatExt spid="_x0000_s3175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31752" name="Button 8" hidden="1">
              <a:extLst>
                <a:ext uri="{63B3BB69-23CF-44E3-9099-C40C66FF867C}">
                  <a14:compatExt spid="_x0000_s317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31753" name="Button 9" hidden="1">
              <a:extLst>
                <a:ext uri="{63B3BB69-23CF-44E3-9099-C40C66FF867C}">
                  <a14:compatExt spid="_x0000_s317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31754" name="Button 10" hidden="1">
              <a:extLst>
                <a:ext uri="{63B3BB69-23CF-44E3-9099-C40C66FF867C}">
                  <a14:compatExt spid="_x0000_s317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31755" name="Button 11" hidden="1">
              <a:extLst>
                <a:ext uri="{63B3BB69-23CF-44E3-9099-C40C66FF867C}">
                  <a14:compatExt spid="_x0000_s3175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31756" name="Button 12" hidden="1">
              <a:extLst>
                <a:ext uri="{63B3BB69-23CF-44E3-9099-C40C66FF867C}">
                  <a14:compatExt spid="_x0000_s3175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9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317500</xdr:colOff>
          <xdr:row>7</xdr:row>
          <xdr:rowOff>38100</xdr:rowOff>
        </xdr:from>
        <xdr:to>
          <xdr:col>5</xdr:col>
          <xdr:colOff>1016000</xdr:colOff>
          <xdr:row>7</xdr:row>
          <xdr:rowOff>520700</xdr:rowOff>
        </xdr:to>
        <xdr:sp macro="" textlink="">
          <xdr:nvSpPr>
            <xdr:cNvPr id="30725" name="Object 5" hidden="1">
              <a:extLst>
                <a:ext uri="{63B3BB69-23CF-44E3-9099-C40C66FF867C}">
                  <a14:compatExt spid="_x0000_s307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30726" name="Button 6" hidden="1">
              <a:extLst>
                <a:ext uri="{63B3BB69-23CF-44E3-9099-C40C66FF867C}">
                  <a14:compatExt spid="_x0000_s307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30727" name="Button 7" hidden="1">
              <a:extLst>
                <a:ext uri="{63B3BB69-23CF-44E3-9099-C40C66FF867C}">
                  <a14:compatExt spid="_x0000_s307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30728" name="Button 8" hidden="1">
              <a:extLst>
                <a:ext uri="{63B3BB69-23CF-44E3-9099-C40C66FF867C}">
                  <a14:compatExt spid="_x0000_s3072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30729" name="Button 9" hidden="1">
              <a:extLst>
                <a:ext uri="{63B3BB69-23CF-44E3-9099-C40C66FF867C}">
                  <a14:compatExt spid="_x0000_s307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30730" name="Button 10" hidden="1">
              <a:extLst>
                <a:ext uri="{63B3BB69-23CF-44E3-9099-C40C66FF867C}">
                  <a14:compatExt spid="_x0000_s3073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30731" name="Button 11" hidden="1">
              <a:extLst>
                <a:ext uri="{63B3BB69-23CF-44E3-9099-C40C66FF867C}">
                  <a14:compatExt spid="_x0000_s3073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30732" name="Button 12" hidden="1">
              <a:extLst>
                <a:ext uri="{63B3BB69-23CF-44E3-9099-C40C66FF867C}">
                  <a14:compatExt spid="_x0000_s3073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30733" name="Button 13" hidden="1">
              <a:extLst>
                <a:ext uri="{63B3BB69-23CF-44E3-9099-C40C66FF867C}">
                  <a14:compatExt spid="_x0000_s307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9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838200</xdr:colOff>
          <xdr:row>7</xdr:row>
          <xdr:rowOff>63500</xdr:rowOff>
        </xdr:from>
        <xdr:to>
          <xdr:col>6</xdr:col>
          <xdr:colOff>292100</xdr:colOff>
          <xdr:row>8</xdr:row>
          <xdr:rowOff>38100</xdr:rowOff>
        </xdr:to>
        <xdr:sp macro="" textlink="">
          <xdr:nvSpPr>
            <xdr:cNvPr id="24579" name="Object 3" hidden="1">
              <a:extLst>
                <a:ext uri="{63B3BB69-23CF-44E3-9099-C40C66FF867C}">
                  <a14:compatExt spid="_x0000_s245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24580" name="Button 4" hidden="1">
              <a:extLst>
                <a:ext uri="{63B3BB69-23CF-44E3-9099-C40C66FF867C}">
                  <a14:compatExt spid="_x0000_s2458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24581" name="Button 5" hidden="1">
              <a:extLst>
                <a:ext uri="{63B3BB69-23CF-44E3-9099-C40C66FF867C}">
                  <a14:compatExt spid="_x0000_s2458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203200</xdr:colOff>
          <xdr:row>1</xdr:row>
          <xdr:rowOff>25400</xdr:rowOff>
        </xdr:from>
        <xdr:to>
          <xdr:col>4</xdr:col>
          <xdr:colOff>152400</xdr:colOff>
          <xdr:row>1</xdr:row>
          <xdr:rowOff>254000</xdr:rowOff>
        </xdr:to>
        <xdr:sp macro="" textlink="">
          <xdr:nvSpPr>
            <xdr:cNvPr id="24582" name="Button 6" hidden="1">
              <a:extLst>
                <a:ext uri="{63B3BB69-23CF-44E3-9099-C40C66FF867C}">
                  <a14:compatExt spid="_x0000_s2458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4583" name="Button 7" hidden="1">
              <a:extLst>
                <a:ext uri="{63B3BB69-23CF-44E3-9099-C40C66FF867C}">
                  <a14:compatExt spid="_x0000_s2458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24584" name="Button 8" hidden="1">
              <a:extLst>
                <a:ext uri="{63B3BB69-23CF-44E3-9099-C40C66FF867C}">
                  <a14:compatExt spid="_x0000_s245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24585" name="Button 9" hidden="1">
              <a:extLst>
                <a:ext uri="{63B3BB69-23CF-44E3-9099-C40C66FF867C}">
                  <a14:compatExt spid="_x0000_s2458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203200</xdr:colOff>
          <xdr:row>1</xdr:row>
          <xdr:rowOff>25400</xdr:rowOff>
        </xdr:from>
        <xdr:to>
          <xdr:col>4</xdr:col>
          <xdr:colOff>152400</xdr:colOff>
          <xdr:row>1</xdr:row>
          <xdr:rowOff>254000</xdr:rowOff>
        </xdr:to>
        <xdr:sp macro="" textlink="">
          <xdr:nvSpPr>
            <xdr:cNvPr id="24586" name="Button 10" hidden="1">
              <a:extLst>
                <a:ext uri="{63B3BB69-23CF-44E3-9099-C40C66FF867C}">
                  <a14:compatExt spid="_x0000_s2458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4587" name="Button 11" hidden="1">
              <a:extLst>
                <a:ext uri="{63B3BB69-23CF-44E3-9099-C40C66FF867C}">
                  <a14:compatExt spid="_x0000_s2458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9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6</xdr:row>
          <xdr:rowOff>0</xdr:rowOff>
        </xdr:from>
        <xdr:to>
          <xdr:col>4</xdr:col>
          <xdr:colOff>482600</xdr:colOff>
          <xdr:row>6</xdr:row>
          <xdr:rowOff>482600</xdr:rowOff>
        </xdr:to>
        <xdr:sp macro="" textlink="">
          <xdr:nvSpPr>
            <xdr:cNvPr id="21506" name="Object 2" hidden="1">
              <a:extLst>
                <a:ext uri="{63B3BB69-23CF-44E3-9099-C40C66FF867C}">
                  <a14:compatExt spid="_x0000_s21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21509" name="Button 5" hidden="1">
              <a:extLst>
                <a:ext uri="{63B3BB69-23CF-44E3-9099-C40C66FF867C}">
                  <a14:compatExt spid="_x0000_s2150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1510" name="Button 6" hidden="1">
              <a:extLst>
                <a:ext uri="{63B3BB69-23CF-44E3-9099-C40C66FF867C}">
                  <a14:compatExt spid="_x0000_s2151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21511" name="Button 7" hidden="1">
              <a:extLst>
                <a:ext uri="{63B3BB69-23CF-44E3-9099-C40C66FF867C}">
                  <a14:compatExt spid="_x0000_s2151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21512" name="Button 8" hidden="1">
              <a:extLst>
                <a:ext uri="{63B3BB69-23CF-44E3-9099-C40C66FF867C}">
                  <a14:compatExt spid="_x0000_s2151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21513" name="Button 9" hidden="1">
              <a:extLst>
                <a:ext uri="{63B3BB69-23CF-44E3-9099-C40C66FF867C}">
                  <a14:compatExt spid="_x0000_s215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1514" name="Button 10" hidden="1">
              <a:extLst>
                <a:ext uri="{63B3BB69-23CF-44E3-9099-C40C66FF867C}">
                  <a14:compatExt spid="_x0000_s215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9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406400</xdr:colOff>
          <xdr:row>5</xdr:row>
          <xdr:rowOff>50800</xdr:rowOff>
        </xdr:from>
        <xdr:to>
          <xdr:col>4</xdr:col>
          <xdr:colOff>38100</xdr:colOff>
          <xdr:row>5</xdr:row>
          <xdr:rowOff>431800</xdr:rowOff>
        </xdr:to>
        <xdr:sp macro="" textlink="">
          <xdr:nvSpPr>
            <xdr:cNvPr id="22530" name="Object 2" hidden="1">
              <a:extLst>
                <a:ext uri="{63B3BB69-23CF-44E3-9099-C40C66FF867C}">
                  <a14:compatExt spid="_x0000_s22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22531" name="Button 3" hidden="1">
              <a:extLst>
                <a:ext uri="{63B3BB69-23CF-44E3-9099-C40C66FF867C}">
                  <a14:compatExt spid="_x0000_s2253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22532" name="Button 4" hidden="1">
              <a:extLst>
                <a:ext uri="{63B3BB69-23CF-44E3-9099-C40C66FF867C}">
                  <a14:compatExt spid="_x0000_s2253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22533" name="Button 5" hidden="1">
              <a:extLst>
                <a:ext uri="{63B3BB69-23CF-44E3-9099-C40C66FF867C}">
                  <a14:compatExt spid="_x0000_s225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2534" name="Button 6" hidden="1">
              <a:extLst>
                <a:ext uri="{63B3BB69-23CF-44E3-9099-C40C66FF867C}">
                  <a14:compatExt spid="_x0000_s2253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22535" name="Button 7" hidden="1">
              <a:extLst>
                <a:ext uri="{63B3BB69-23CF-44E3-9099-C40C66FF867C}">
                  <a14:compatExt spid="_x0000_s2253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22536" name="Button 8" hidden="1">
              <a:extLst>
                <a:ext uri="{63B3BB69-23CF-44E3-9099-C40C66FF867C}">
                  <a14:compatExt spid="_x0000_s2253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22537" name="Button 9" hidden="1">
              <a:extLst>
                <a:ext uri="{63B3BB69-23CF-44E3-9099-C40C66FF867C}">
                  <a14:compatExt spid="_x0000_s225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2538" name="Button 10" hidden="1">
              <a:extLst>
                <a:ext uri="{63B3BB69-23CF-44E3-9099-C40C66FF867C}">
                  <a14:compatExt spid="_x0000_s225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9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762000</xdr:colOff>
          <xdr:row>5</xdr:row>
          <xdr:rowOff>76200</xdr:rowOff>
        </xdr:from>
        <xdr:to>
          <xdr:col>6</xdr:col>
          <xdr:colOff>228600</xdr:colOff>
          <xdr:row>5</xdr:row>
          <xdr:rowOff>469900</xdr:rowOff>
        </xdr:to>
        <xdr:sp macro="" textlink="">
          <xdr:nvSpPr>
            <xdr:cNvPr id="29699" name="Object 3" hidden="1">
              <a:extLst>
                <a:ext uri="{63B3BB69-23CF-44E3-9099-C40C66FF867C}">
                  <a14:compatExt spid="_x0000_s296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29700" name="Button 4" hidden="1">
              <a:extLst>
                <a:ext uri="{63B3BB69-23CF-44E3-9099-C40C66FF867C}">
                  <a14:compatExt spid="_x0000_s2970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29701" name="Button 5" hidden="1">
              <a:extLst>
                <a:ext uri="{63B3BB69-23CF-44E3-9099-C40C66FF867C}">
                  <a14:compatExt spid="_x0000_s2970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29702" name="Button 6" hidden="1">
              <a:extLst>
                <a:ext uri="{63B3BB69-23CF-44E3-9099-C40C66FF867C}">
                  <a14:compatExt spid="_x0000_s2970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9703" name="Button 7" hidden="1">
              <a:extLst>
                <a:ext uri="{63B3BB69-23CF-44E3-9099-C40C66FF867C}">
                  <a14:compatExt spid="_x0000_s2970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177800</xdr:colOff>
          <xdr:row>1</xdr:row>
          <xdr:rowOff>254000</xdr:rowOff>
        </xdr:to>
        <xdr:sp macro="" textlink="">
          <xdr:nvSpPr>
            <xdr:cNvPr id="29704" name="Button 8" hidden="1">
              <a:extLst>
                <a:ext uri="{63B3BB69-23CF-44E3-9099-C40C66FF867C}">
                  <a14:compatExt spid="_x0000_s2970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29705" name="Button 9" hidden="1">
              <a:extLst>
                <a:ext uri="{63B3BB69-23CF-44E3-9099-C40C66FF867C}">
                  <a14:compatExt spid="_x0000_s2970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29706" name="Button 10" hidden="1">
              <a:extLst>
                <a:ext uri="{63B3BB69-23CF-44E3-9099-C40C66FF867C}">
                  <a14:compatExt spid="_x0000_s2970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9707" name="Button 11" hidden="1">
              <a:extLst>
                <a:ext uri="{63B3BB69-23CF-44E3-9099-C40C66FF867C}">
                  <a14:compatExt spid="_x0000_s2970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10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02401" name="Button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02402" name="Button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02403" name="Button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02404" name="Button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102405" name="Button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139700</xdr:colOff>
          <xdr:row>1</xdr:row>
          <xdr:rowOff>25400</xdr:rowOff>
        </xdr:from>
        <xdr:to>
          <xdr:col>5</xdr:col>
          <xdr:colOff>203200</xdr:colOff>
          <xdr:row>1</xdr:row>
          <xdr:rowOff>254000</xdr:rowOff>
        </xdr:to>
        <xdr:sp macro="" textlink="">
          <xdr:nvSpPr>
            <xdr:cNvPr id="102406" name="Button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Next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25400</xdr:rowOff>
        </xdr:from>
        <xdr:to>
          <xdr:col>4</xdr:col>
          <xdr:colOff>152400</xdr:colOff>
          <xdr:row>1</xdr:row>
          <xdr:rowOff>254000</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102408" name="Button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drawings/drawing10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419100</xdr:colOff>
          <xdr:row>5</xdr:row>
          <xdr:rowOff>50800</xdr:rowOff>
        </xdr:from>
        <xdr:to>
          <xdr:col>7</xdr:col>
          <xdr:colOff>381000</xdr:colOff>
          <xdr:row>5</xdr:row>
          <xdr:rowOff>546100</xdr:rowOff>
        </xdr:to>
        <xdr:sp macro="" textlink="">
          <xdr:nvSpPr>
            <xdr:cNvPr id="23554" name="Object 2" hidden="1">
              <a:extLst>
                <a:ext uri="{63B3BB69-23CF-44E3-9099-C40C66FF867C}">
                  <a14:compatExt spid="_x0000_s235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23555" name="Button 3" hidden="1">
              <a:extLst>
                <a:ext uri="{63B3BB69-23CF-44E3-9099-C40C66FF867C}">
                  <a14:compatExt spid="_x0000_s2355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203200</xdr:colOff>
          <xdr:row>1</xdr:row>
          <xdr:rowOff>25400</xdr:rowOff>
        </xdr:from>
        <xdr:to>
          <xdr:col>4</xdr:col>
          <xdr:colOff>152400</xdr:colOff>
          <xdr:row>1</xdr:row>
          <xdr:rowOff>254000</xdr:rowOff>
        </xdr:to>
        <xdr:sp macro="" textlink="">
          <xdr:nvSpPr>
            <xdr:cNvPr id="23557" name="Button 5" hidden="1">
              <a:extLst>
                <a:ext uri="{63B3BB69-23CF-44E3-9099-C40C66FF867C}">
                  <a14:compatExt spid="_x0000_s2355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3558" name="Button 6" hidden="1">
              <a:extLst>
                <a:ext uri="{63B3BB69-23CF-44E3-9099-C40C66FF867C}">
                  <a14:compatExt spid="_x0000_s2355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25400</xdr:rowOff>
        </xdr:from>
        <xdr:to>
          <xdr:col>3</xdr:col>
          <xdr:colOff>190500</xdr:colOff>
          <xdr:row>1</xdr:row>
          <xdr:rowOff>254000</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a:ea typeface="Lucida Grande"/>
                  <a:cs typeface="Lucida Grande"/>
                </a:rPr>
                <a:t>&lt;&lt; 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203200</xdr:colOff>
          <xdr:row>1</xdr:row>
          <xdr:rowOff>25400</xdr:rowOff>
        </xdr:from>
        <xdr:to>
          <xdr:col>4</xdr:col>
          <xdr:colOff>152400</xdr:colOff>
          <xdr:row>1</xdr:row>
          <xdr:rowOff>254000</xdr:rowOff>
        </xdr:to>
        <xdr:sp macro="" textlink="">
          <xdr:nvSpPr>
            <xdr:cNvPr id="23561" name="Button 9" hidden="1">
              <a:extLst>
                <a:ext uri="{63B3BB69-23CF-44E3-9099-C40C66FF867C}">
                  <a14:compatExt spid="_x0000_s235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xdr:row>
          <xdr:rowOff>25400</xdr:rowOff>
        </xdr:from>
        <xdr:to>
          <xdr:col>6</xdr:col>
          <xdr:colOff>203200</xdr:colOff>
          <xdr:row>1</xdr:row>
          <xdr:rowOff>254000</xdr:rowOff>
        </xdr:to>
        <xdr:sp macro="" textlink="">
          <xdr:nvSpPr>
            <xdr:cNvPr id="23562" name="Button 10" hidden="1">
              <a:extLst>
                <a:ext uri="{63B3BB69-23CF-44E3-9099-C40C66FF867C}">
                  <a14:compatExt spid="_x0000_s235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Last &gt;&gt;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01" Type="http://schemas.openxmlformats.org/officeDocument/2006/relationships/hyperlink" Target="A-to-Z%20Companion%20Spreadsheet.xls" TargetMode="External"/><Relationship Id="rId102" Type="http://schemas.openxmlformats.org/officeDocument/2006/relationships/hyperlink" Target="A-to-Z%20Companion%20Spreadsheet.xls" TargetMode="External"/><Relationship Id="rId103" Type="http://schemas.openxmlformats.org/officeDocument/2006/relationships/hyperlink" Target="A-to-Z%20Companion%20Spreadsheet.xls" TargetMode="External"/><Relationship Id="rId104" Type="http://schemas.openxmlformats.org/officeDocument/2006/relationships/hyperlink" Target="A-to-Z%20Companion%20Spreadsheet.xls" TargetMode="External"/><Relationship Id="rId105" Type="http://schemas.openxmlformats.org/officeDocument/2006/relationships/hyperlink" Target="A-to-Z%20Companion%20Spreadsheet.xls" TargetMode="External"/><Relationship Id="rId1" Type="http://schemas.openxmlformats.org/officeDocument/2006/relationships/hyperlink" Target="http://atozbook.com/" TargetMode="External"/><Relationship Id="rId2" Type="http://schemas.openxmlformats.org/officeDocument/2006/relationships/hyperlink" Target="http://www.debry.com/" TargetMode="External"/><Relationship Id="rId3" Type="http://schemas.openxmlformats.org/officeDocument/2006/relationships/hyperlink" Target="A-to-Z%20Companion%20Spreadsheet.xls" TargetMode="External"/><Relationship Id="rId4" Type="http://schemas.openxmlformats.org/officeDocument/2006/relationships/hyperlink" Target="A-to-Z%20Companion%20Spreadsheet.xls" TargetMode="External"/><Relationship Id="rId5" Type="http://schemas.openxmlformats.org/officeDocument/2006/relationships/hyperlink" Target="A-to-Z%20Companion%20Spreadsheet.xls" TargetMode="External"/><Relationship Id="rId6" Type="http://schemas.openxmlformats.org/officeDocument/2006/relationships/hyperlink" Target="A-to-Z%20Companion%20Spreadsheet.xls" TargetMode="External"/><Relationship Id="rId7" Type="http://schemas.openxmlformats.org/officeDocument/2006/relationships/hyperlink" Target="A-to-Z%20Companion%20Spreadsheet.xls" TargetMode="External"/><Relationship Id="rId8" Type="http://schemas.openxmlformats.org/officeDocument/2006/relationships/hyperlink" Target="A-to-Z%20Companion%20Spreadsheet.xls" TargetMode="External"/><Relationship Id="rId9" Type="http://schemas.openxmlformats.org/officeDocument/2006/relationships/hyperlink" Target="A-to-Z%20Companion%20Spreadsheet.xls" TargetMode="External"/><Relationship Id="rId10" Type="http://schemas.openxmlformats.org/officeDocument/2006/relationships/hyperlink" Target="A-to-Z%20Companion%20Spreadsheet.xls" TargetMode="External"/><Relationship Id="rId11" Type="http://schemas.openxmlformats.org/officeDocument/2006/relationships/hyperlink" Target="A-to-Z%20Companion%20Spreadsheet.xls" TargetMode="External"/><Relationship Id="rId12" Type="http://schemas.openxmlformats.org/officeDocument/2006/relationships/hyperlink" Target="atozbook.xls" TargetMode="External"/><Relationship Id="rId13" Type="http://schemas.openxmlformats.org/officeDocument/2006/relationships/hyperlink" Target="A-to-Z%20Companion%20Spreadsheet.xls" TargetMode="External"/><Relationship Id="rId14" Type="http://schemas.openxmlformats.org/officeDocument/2006/relationships/hyperlink" Target="A-to-Z%20Companion%20Spreadsheet.xls" TargetMode="External"/><Relationship Id="rId15" Type="http://schemas.openxmlformats.org/officeDocument/2006/relationships/hyperlink" Target="A-to-Z%20Companion%20Spreadsheet.xls" TargetMode="External"/><Relationship Id="rId16" Type="http://schemas.openxmlformats.org/officeDocument/2006/relationships/hyperlink" Target="A-to-Z%20Companion%20Spreadsheet.xls" TargetMode="External"/><Relationship Id="rId17" Type="http://schemas.openxmlformats.org/officeDocument/2006/relationships/hyperlink" Target="A-to-Z%20Companion%20Spreadsheet.xls" TargetMode="External"/><Relationship Id="rId18" Type="http://schemas.openxmlformats.org/officeDocument/2006/relationships/hyperlink" Target="A-to-Z%20Companion%20Spreadsheet.xls" TargetMode="External"/><Relationship Id="rId19" Type="http://schemas.openxmlformats.org/officeDocument/2006/relationships/hyperlink" Target="A-to-Z%20Companion%20Spreadsheet.xls" TargetMode="External"/><Relationship Id="rId30" Type="http://schemas.openxmlformats.org/officeDocument/2006/relationships/hyperlink" Target="A-to-Z%20Companion%20Spreadsheet.xls" TargetMode="External"/><Relationship Id="rId31" Type="http://schemas.openxmlformats.org/officeDocument/2006/relationships/hyperlink" Target="A-to-Z%20Companion%20Spreadsheet.xls" TargetMode="External"/><Relationship Id="rId32" Type="http://schemas.openxmlformats.org/officeDocument/2006/relationships/hyperlink" Target="A-to-Z%20Companion%20Spreadsheet.xls" TargetMode="External"/><Relationship Id="rId33" Type="http://schemas.openxmlformats.org/officeDocument/2006/relationships/hyperlink" Target="A-to-Z%20Companion%20Spreadsheet.xls" TargetMode="External"/><Relationship Id="rId34" Type="http://schemas.openxmlformats.org/officeDocument/2006/relationships/hyperlink" Target="A-to-Z%20Companion%20Spreadsheet.xls" TargetMode="External"/><Relationship Id="rId35" Type="http://schemas.openxmlformats.org/officeDocument/2006/relationships/hyperlink" Target="A-to-Z%20Companion%20Spreadsheet.xls" TargetMode="External"/><Relationship Id="rId36" Type="http://schemas.openxmlformats.org/officeDocument/2006/relationships/hyperlink" Target="A-to-Z%20Companion%20Spreadsheet.xls" TargetMode="External"/><Relationship Id="rId37" Type="http://schemas.openxmlformats.org/officeDocument/2006/relationships/hyperlink" Target="A-to-Z%20Companion%20Spreadsheet.xls" TargetMode="External"/><Relationship Id="rId38" Type="http://schemas.openxmlformats.org/officeDocument/2006/relationships/hyperlink" Target="A-to-Z%20Companion%20Spreadsheet.xls" TargetMode="External"/><Relationship Id="rId39" Type="http://schemas.openxmlformats.org/officeDocument/2006/relationships/hyperlink" Target="A-to-Z%20Companion%20Spreadsheet.xls" TargetMode="External"/><Relationship Id="rId50" Type="http://schemas.openxmlformats.org/officeDocument/2006/relationships/hyperlink" Target="A-to-Z%20Companion%20Spreadsheet.xls" TargetMode="External"/><Relationship Id="rId51" Type="http://schemas.openxmlformats.org/officeDocument/2006/relationships/hyperlink" Target="A-to-Z%20Companion%20Spreadsheet.xls" TargetMode="External"/><Relationship Id="rId52" Type="http://schemas.openxmlformats.org/officeDocument/2006/relationships/hyperlink" Target="A-to-Z%20Companion%20Spreadsheet.xls" TargetMode="External"/><Relationship Id="rId53" Type="http://schemas.openxmlformats.org/officeDocument/2006/relationships/hyperlink" Target="A-to-Z%20Companion%20Spreadsheet.xls" TargetMode="External"/><Relationship Id="rId54" Type="http://schemas.openxmlformats.org/officeDocument/2006/relationships/hyperlink" Target="A-to-Z%20Companion%20Spreadsheet.xls" TargetMode="External"/><Relationship Id="rId55" Type="http://schemas.openxmlformats.org/officeDocument/2006/relationships/hyperlink" Target="A-to-Z%20Companion%20Spreadsheet.xls" TargetMode="External"/><Relationship Id="rId56" Type="http://schemas.openxmlformats.org/officeDocument/2006/relationships/hyperlink" Target="A-to-Z%20Companion%20Spreadsheet.xls" TargetMode="External"/><Relationship Id="rId57" Type="http://schemas.openxmlformats.org/officeDocument/2006/relationships/hyperlink" Target="A-to-Z%20Companion%20Spreadsheet.xls" TargetMode="External"/><Relationship Id="rId58" Type="http://schemas.openxmlformats.org/officeDocument/2006/relationships/hyperlink" Target="A-to-Z%20Companion%20Spreadsheet.xls" TargetMode="External"/><Relationship Id="rId59" Type="http://schemas.openxmlformats.org/officeDocument/2006/relationships/hyperlink" Target="A-to-Z%20Companion%20Spreadsheet.xls" TargetMode="External"/><Relationship Id="rId70" Type="http://schemas.openxmlformats.org/officeDocument/2006/relationships/hyperlink" Target="A-to-Z%20Companion%20Spreadsheet.xls" TargetMode="External"/><Relationship Id="rId71" Type="http://schemas.openxmlformats.org/officeDocument/2006/relationships/hyperlink" Target="A-to-Z%20Companion%20Spreadsheet.xls" TargetMode="External"/><Relationship Id="rId72" Type="http://schemas.openxmlformats.org/officeDocument/2006/relationships/hyperlink" Target="A-to-Z%20Companion%20Spreadsheet.xls" TargetMode="External"/><Relationship Id="rId73" Type="http://schemas.openxmlformats.org/officeDocument/2006/relationships/hyperlink" Target="A-to-Z%20Companion%20Spreadsheet.xls" TargetMode="External"/><Relationship Id="rId74" Type="http://schemas.openxmlformats.org/officeDocument/2006/relationships/hyperlink" Target="A-to-Z%20Companion%20Spreadsheet.xls" TargetMode="External"/><Relationship Id="rId75" Type="http://schemas.openxmlformats.org/officeDocument/2006/relationships/hyperlink" Target="A-to-Z%20Companion%20Spreadsheet.xls" TargetMode="External"/><Relationship Id="rId76" Type="http://schemas.openxmlformats.org/officeDocument/2006/relationships/hyperlink" Target="A-to-Z%20Companion%20Spreadsheet.xls" TargetMode="External"/><Relationship Id="rId77" Type="http://schemas.openxmlformats.org/officeDocument/2006/relationships/hyperlink" Target="A-to-Z%20Companion%20Spreadsheet.xls" TargetMode="External"/><Relationship Id="rId78" Type="http://schemas.openxmlformats.org/officeDocument/2006/relationships/hyperlink" Target="A-to-Z%20Companion%20Spreadsheet.xls" TargetMode="External"/><Relationship Id="rId79" Type="http://schemas.openxmlformats.org/officeDocument/2006/relationships/hyperlink" Target="A-to-Z%20Companion%20Spreadsheet.xls" TargetMode="External"/><Relationship Id="rId90" Type="http://schemas.openxmlformats.org/officeDocument/2006/relationships/hyperlink" Target="A-to-Z%20Companion%20Spreadsheet.xls" TargetMode="External"/><Relationship Id="rId91" Type="http://schemas.openxmlformats.org/officeDocument/2006/relationships/hyperlink" Target="A-to-Z%20Companion%20Spreadsheet.xls" TargetMode="External"/><Relationship Id="rId92" Type="http://schemas.openxmlformats.org/officeDocument/2006/relationships/hyperlink" Target="A-to-Z%20Companion%20Spreadsheet.xls" TargetMode="External"/><Relationship Id="rId93" Type="http://schemas.openxmlformats.org/officeDocument/2006/relationships/hyperlink" Target="A-to-Z%20Companion%20Spreadsheet.xls" TargetMode="External"/><Relationship Id="rId94" Type="http://schemas.openxmlformats.org/officeDocument/2006/relationships/hyperlink" Target="A-to-Z%20Companion%20Spreadsheet.xls" TargetMode="External"/><Relationship Id="rId95" Type="http://schemas.openxmlformats.org/officeDocument/2006/relationships/hyperlink" Target="A-to-Z%20Companion%20Spreadsheet.xls" TargetMode="External"/><Relationship Id="rId96" Type="http://schemas.openxmlformats.org/officeDocument/2006/relationships/hyperlink" Target="A-to-Z%20Companion%20Spreadsheet.xls" TargetMode="External"/><Relationship Id="rId97" Type="http://schemas.openxmlformats.org/officeDocument/2006/relationships/hyperlink" Target="A-to-Z%20Companion%20Spreadsheet.xls" TargetMode="External"/><Relationship Id="rId98" Type="http://schemas.openxmlformats.org/officeDocument/2006/relationships/hyperlink" Target="A-to-Z%20Companion%20Spreadsheet.xls" TargetMode="External"/><Relationship Id="rId99" Type="http://schemas.openxmlformats.org/officeDocument/2006/relationships/hyperlink" Target="A-to-Z%20Companion%20Spreadsheet.xls" TargetMode="External"/><Relationship Id="rId20" Type="http://schemas.openxmlformats.org/officeDocument/2006/relationships/hyperlink" Target="A-to-Z%20Companion%20Spreadsheet.xls" TargetMode="External"/><Relationship Id="rId21" Type="http://schemas.openxmlformats.org/officeDocument/2006/relationships/hyperlink" Target="A-to-Z%20Companion%20Spreadsheet.xls" TargetMode="External"/><Relationship Id="rId22" Type="http://schemas.openxmlformats.org/officeDocument/2006/relationships/hyperlink" Target="A-to-Z%20Companion%20Spreadsheet.xls" TargetMode="External"/><Relationship Id="rId23" Type="http://schemas.openxmlformats.org/officeDocument/2006/relationships/hyperlink" Target="A-to-Z%20Companion%20Spreadsheet.xls" TargetMode="External"/><Relationship Id="rId24" Type="http://schemas.openxmlformats.org/officeDocument/2006/relationships/hyperlink" Target="A-to-Z%20Companion%20Spreadsheet.xls" TargetMode="External"/><Relationship Id="rId25" Type="http://schemas.openxmlformats.org/officeDocument/2006/relationships/hyperlink" Target="A-to-Z%20Companion%20Spreadsheet.xls" TargetMode="External"/><Relationship Id="rId26" Type="http://schemas.openxmlformats.org/officeDocument/2006/relationships/hyperlink" Target="A-to-Z%20Companion%20Spreadsheet.xls" TargetMode="External"/><Relationship Id="rId27" Type="http://schemas.openxmlformats.org/officeDocument/2006/relationships/hyperlink" Target="A-to-Z%20Companion%20Spreadsheet.xls" TargetMode="External"/><Relationship Id="rId28" Type="http://schemas.openxmlformats.org/officeDocument/2006/relationships/hyperlink" Target="A-to-Z%20Companion%20Spreadsheet.xls" TargetMode="External"/><Relationship Id="rId29" Type="http://schemas.openxmlformats.org/officeDocument/2006/relationships/hyperlink" Target="A-to-Z%20Companion%20Spreadsheet.xls" TargetMode="External"/><Relationship Id="rId40" Type="http://schemas.openxmlformats.org/officeDocument/2006/relationships/hyperlink" Target="A-to-Z%20Companion%20Spreadsheet.xls" TargetMode="External"/><Relationship Id="rId41" Type="http://schemas.openxmlformats.org/officeDocument/2006/relationships/hyperlink" Target="A-to-Z%20Companion%20Spreadsheet.xls" TargetMode="External"/><Relationship Id="rId42" Type="http://schemas.openxmlformats.org/officeDocument/2006/relationships/hyperlink" Target="A-to-Z%20Companion%20Spreadsheet.xls" TargetMode="External"/><Relationship Id="rId43" Type="http://schemas.openxmlformats.org/officeDocument/2006/relationships/hyperlink" Target="A-to-Z%20Companion%20Spreadsheet.xls" TargetMode="External"/><Relationship Id="rId44" Type="http://schemas.openxmlformats.org/officeDocument/2006/relationships/hyperlink" Target="A-to-Z%20Companion%20Spreadsheet.xls" TargetMode="External"/><Relationship Id="rId45" Type="http://schemas.openxmlformats.org/officeDocument/2006/relationships/hyperlink" Target="A-to-Z%20Companion%20Spreadsheet.xls" TargetMode="External"/><Relationship Id="rId46" Type="http://schemas.openxmlformats.org/officeDocument/2006/relationships/hyperlink" Target="A-to-Z%20Companion%20Spreadsheet.xls" TargetMode="External"/><Relationship Id="rId47" Type="http://schemas.openxmlformats.org/officeDocument/2006/relationships/hyperlink" Target="A-to-Z%20Companion%20Spreadsheet.xls" TargetMode="External"/><Relationship Id="rId48" Type="http://schemas.openxmlformats.org/officeDocument/2006/relationships/hyperlink" Target="A-to-Z%20Companion%20Spreadsheet.xls" TargetMode="External"/><Relationship Id="rId49" Type="http://schemas.openxmlformats.org/officeDocument/2006/relationships/hyperlink" Target="A-to-Z%20Companion%20Spreadsheet.xls" TargetMode="External"/><Relationship Id="rId60" Type="http://schemas.openxmlformats.org/officeDocument/2006/relationships/hyperlink" Target="A-to-Z%20Companion%20Spreadsheet.xls" TargetMode="External"/><Relationship Id="rId61" Type="http://schemas.openxmlformats.org/officeDocument/2006/relationships/hyperlink" Target="A-to-Z%20Companion%20Spreadsheet.xls" TargetMode="External"/><Relationship Id="rId62" Type="http://schemas.openxmlformats.org/officeDocument/2006/relationships/hyperlink" Target="A-to-Z%20Companion%20Spreadsheet.xls" TargetMode="External"/><Relationship Id="rId63" Type="http://schemas.openxmlformats.org/officeDocument/2006/relationships/hyperlink" Target="A-to-Z%20Companion%20Spreadsheet.xls" TargetMode="External"/><Relationship Id="rId64" Type="http://schemas.openxmlformats.org/officeDocument/2006/relationships/hyperlink" Target="A-to-Z%20Companion%20Spreadsheet.xls" TargetMode="External"/><Relationship Id="rId65" Type="http://schemas.openxmlformats.org/officeDocument/2006/relationships/hyperlink" Target="A-to-Z%20Companion%20Spreadsheet.xls" TargetMode="External"/><Relationship Id="rId66" Type="http://schemas.openxmlformats.org/officeDocument/2006/relationships/hyperlink" Target="A-to-Z%20Companion%20Spreadsheet.xls" TargetMode="External"/><Relationship Id="rId67" Type="http://schemas.openxmlformats.org/officeDocument/2006/relationships/hyperlink" Target="A-to-Z%20Companion%20Spreadsheet.xls" TargetMode="External"/><Relationship Id="rId68" Type="http://schemas.openxmlformats.org/officeDocument/2006/relationships/hyperlink" Target="A-to-Z%20Companion%20Spreadsheet.xls" TargetMode="External"/><Relationship Id="rId69" Type="http://schemas.openxmlformats.org/officeDocument/2006/relationships/hyperlink" Target="A-to-Z%20Companion%20Spreadsheet.xls" TargetMode="External"/><Relationship Id="rId100" Type="http://schemas.openxmlformats.org/officeDocument/2006/relationships/hyperlink" Target="A-to-Z%20Companion%20Spreadsheet.xls" TargetMode="External"/><Relationship Id="rId80" Type="http://schemas.openxmlformats.org/officeDocument/2006/relationships/hyperlink" Target="A-to-Z%20Companion%20Spreadsheet.xls" TargetMode="External"/><Relationship Id="rId81" Type="http://schemas.openxmlformats.org/officeDocument/2006/relationships/hyperlink" Target="A-to-Z%20Companion%20Spreadsheet.xls" TargetMode="External"/><Relationship Id="rId82" Type="http://schemas.openxmlformats.org/officeDocument/2006/relationships/hyperlink" Target="A-to-Z%20Companion%20Spreadsheet.xls" TargetMode="External"/><Relationship Id="rId83" Type="http://schemas.openxmlformats.org/officeDocument/2006/relationships/hyperlink" Target="A-to-Z%20Companion%20Spreadsheet.xls" TargetMode="External"/><Relationship Id="rId84" Type="http://schemas.openxmlformats.org/officeDocument/2006/relationships/hyperlink" Target="A-to-Z%20Companion%20Spreadsheet.xls" TargetMode="External"/><Relationship Id="rId85" Type="http://schemas.openxmlformats.org/officeDocument/2006/relationships/hyperlink" Target="A-to-Z%20Companion%20Spreadsheet.xls" TargetMode="External"/><Relationship Id="rId86" Type="http://schemas.openxmlformats.org/officeDocument/2006/relationships/hyperlink" Target="A-to-Z%20Companion%20Spreadsheet.xls" TargetMode="External"/><Relationship Id="rId87" Type="http://schemas.openxmlformats.org/officeDocument/2006/relationships/hyperlink" Target="A-to-Z%20Companion%20Spreadsheet.xls" TargetMode="External"/><Relationship Id="rId88" Type="http://schemas.openxmlformats.org/officeDocument/2006/relationships/hyperlink" Target="A-to-Z%20Companion%20Spreadsheet.xls" TargetMode="External"/><Relationship Id="rId89" Type="http://schemas.openxmlformats.org/officeDocument/2006/relationships/hyperlink" Target="A-to-Z%20Companion%20Spreadsheet.xls"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trlProp" Target="../ctrlProps/ctrlProp7.xml"/><Relationship Id="rId6" Type="http://schemas.openxmlformats.org/officeDocument/2006/relationships/ctrlProp" Target="../ctrlProps/ctrlProp8.xml"/><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9.xml"/><Relationship Id="rId5" Type="http://schemas.openxmlformats.org/officeDocument/2006/relationships/ctrlProp" Target="../ctrlProps/ctrlProp10.xml"/><Relationship Id="rId6" Type="http://schemas.openxmlformats.org/officeDocument/2006/relationships/ctrlProp" Target="../ctrlProps/ctrlProp11.xml"/><Relationship Id="rId7" Type="http://schemas.openxmlformats.org/officeDocument/2006/relationships/ctrlProp" Target="../ctrlProps/ctrlProp12.xml"/><Relationship Id="rId1" Type="http://schemas.openxmlformats.org/officeDocument/2006/relationships/hyperlink" Target="A-to-Z%20Companion%20Spreadsheet.xls" TargetMode="External"/><Relationship Id="rId2"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4" Type="http://schemas.openxmlformats.org/officeDocument/2006/relationships/ctrlProp" Target="../ctrlProps/ctrlProp14.xml"/><Relationship Id="rId5" Type="http://schemas.openxmlformats.org/officeDocument/2006/relationships/ctrlProp" Target="../ctrlProps/ctrlProp15.xml"/><Relationship Id="rId6" Type="http://schemas.openxmlformats.org/officeDocument/2006/relationships/ctrlProp" Target="../ctrlProps/ctrlProp16.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7.xml"/><Relationship Id="rId4" Type="http://schemas.openxmlformats.org/officeDocument/2006/relationships/ctrlProp" Target="../ctrlProps/ctrlProp18.xml"/><Relationship Id="rId5" Type="http://schemas.openxmlformats.org/officeDocument/2006/relationships/ctrlProp" Target="../ctrlProps/ctrlProp19.xml"/><Relationship Id="rId6" Type="http://schemas.openxmlformats.org/officeDocument/2006/relationships/ctrlProp" Target="../ctrlProps/ctrlProp20.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1.xml"/><Relationship Id="rId4" Type="http://schemas.openxmlformats.org/officeDocument/2006/relationships/ctrlProp" Target="../ctrlProps/ctrlProp22.xml"/><Relationship Id="rId5" Type="http://schemas.openxmlformats.org/officeDocument/2006/relationships/ctrlProp" Target="../ctrlProps/ctrlProp23.xml"/><Relationship Id="rId6" Type="http://schemas.openxmlformats.org/officeDocument/2006/relationships/ctrlProp" Target="../ctrlProps/ctrlProp24.xml"/><Relationship Id="rId1" Type="http://schemas.openxmlformats.org/officeDocument/2006/relationships/drawing" Target="../drawings/drawing6.xml"/><Relationship Id="rId2"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5.xml"/><Relationship Id="rId4" Type="http://schemas.openxmlformats.org/officeDocument/2006/relationships/ctrlProp" Target="../ctrlProps/ctrlProp26.xml"/><Relationship Id="rId5" Type="http://schemas.openxmlformats.org/officeDocument/2006/relationships/ctrlProp" Target="../ctrlProps/ctrlProp27.xml"/><Relationship Id="rId6" Type="http://schemas.openxmlformats.org/officeDocument/2006/relationships/ctrlProp" Target="../ctrlProps/ctrlProp28.xml"/><Relationship Id="rId1" Type="http://schemas.openxmlformats.org/officeDocument/2006/relationships/drawing" Target="../drawings/drawing7.xml"/><Relationship Id="rId2"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9.xml"/><Relationship Id="rId4" Type="http://schemas.openxmlformats.org/officeDocument/2006/relationships/ctrlProp" Target="../ctrlProps/ctrlProp30.xml"/><Relationship Id="rId5" Type="http://schemas.openxmlformats.org/officeDocument/2006/relationships/ctrlProp" Target="../ctrlProps/ctrlProp31.xml"/><Relationship Id="rId6" Type="http://schemas.openxmlformats.org/officeDocument/2006/relationships/ctrlProp" Target="../ctrlProps/ctrlProp32.xml"/><Relationship Id="rId1" Type="http://schemas.openxmlformats.org/officeDocument/2006/relationships/drawing" Target="../drawings/drawing8.xml"/><Relationship Id="rId2"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3.xml"/><Relationship Id="rId4" Type="http://schemas.openxmlformats.org/officeDocument/2006/relationships/ctrlProp" Target="../ctrlProps/ctrlProp34.xml"/><Relationship Id="rId5" Type="http://schemas.openxmlformats.org/officeDocument/2006/relationships/ctrlProp" Target="../ctrlProps/ctrlProp35.xml"/><Relationship Id="rId6" Type="http://schemas.openxmlformats.org/officeDocument/2006/relationships/ctrlProp" Target="../ctrlProps/ctrlProp36.xml"/><Relationship Id="rId1" Type="http://schemas.openxmlformats.org/officeDocument/2006/relationships/drawing" Target="../drawings/drawing9.xml"/><Relationship Id="rId2"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7.xml"/><Relationship Id="rId4" Type="http://schemas.openxmlformats.org/officeDocument/2006/relationships/ctrlProp" Target="../ctrlProps/ctrlProp38.xml"/><Relationship Id="rId5" Type="http://schemas.openxmlformats.org/officeDocument/2006/relationships/ctrlProp" Target="../ctrlProps/ctrlProp39.xml"/><Relationship Id="rId6" Type="http://schemas.openxmlformats.org/officeDocument/2006/relationships/ctrlProp" Target="../ctrlProps/ctrlProp40.xml"/><Relationship Id="rId1" Type="http://schemas.openxmlformats.org/officeDocument/2006/relationships/drawing" Target="../drawings/drawing10.xml"/><Relationship Id="rId2"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1.xml"/><Relationship Id="rId4" Type="http://schemas.openxmlformats.org/officeDocument/2006/relationships/ctrlProp" Target="../ctrlProps/ctrlProp42.xml"/><Relationship Id="rId5" Type="http://schemas.openxmlformats.org/officeDocument/2006/relationships/ctrlProp" Target="../ctrlProps/ctrlProp43.xml"/><Relationship Id="rId6" Type="http://schemas.openxmlformats.org/officeDocument/2006/relationships/ctrlProp" Target="../ctrlProps/ctrlProp44.xml"/><Relationship Id="rId1" Type="http://schemas.openxmlformats.org/officeDocument/2006/relationships/drawing" Target="../drawings/drawing11.xml"/><Relationship Id="rId2"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5.xml"/><Relationship Id="rId4" Type="http://schemas.openxmlformats.org/officeDocument/2006/relationships/ctrlProp" Target="../ctrlProps/ctrlProp46.xml"/><Relationship Id="rId5" Type="http://schemas.openxmlformats.org/officeDocument/2006/relationships/ctrlProp" Target="../ctrlProps/ctrlProp47.xml"/><Relationship Id="rId6" Type="http://schemas.openxmlformats.org/officeDocument/2006/relationships/ctrlProp" Target="../ctrlProps/ctrlProp48.xml"/><Relationship Id="rId1" Type="http://schemas.openxmlformats.org/officeDocument/2006/relationships/drawing" Target="../drawings/drawing12.xml"/><Relationship Id="rId2"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9.xml"/><Relationship Id="rId4" Type="http://schemas.openxmlformats.org/officeDocument/2006/relationships/ctrlProp" Target="../ctrlProps/ctrlProp50.xml"/><Relationship Id="rId5" Type="http://schemas.openxmlformats.org/officeDocument/2006/relationships/ctrlProp" Target="../ctrlProps/ctrlProp51.xml"/><Relationship Id="rId6" Type="http://schemas.openxmlformats.org/officeDocument/2006/relationships/ctrlProp" Target="../ctrlProps/ctrlProp52.xml"/><Relationship Id="rId1" Type="http://schemas.openxmlformats.org/officeDocument/2006/relationships/drawing" Target="../drawings/drawing13.xml"/><Relationship Id="rId2"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4" Type="http://schemas.openxmlformats.org/officeDocument/2006/relationships/ctrlProp" Target="../ctrlProps/ctrlProp54.xml"/><Relationship Id="rId5" Type="http://schemas.openxmlformats.org/officeDocument/2006/relationships/ctrlProp" Target="../ctrlProps/ctrlProp55.xml"/><Relationship Id="rId6" Type="http://schemas.openxmlformats.org/officeDocument/2006/relationships/ctrlProp" Target="../ctrlProps/ctrlProp56.xml"/><Relationship Id="rId1" Type="http://schemas.openxmlformats.org/officeDocument/2006/relationships/drawing" Target="../drawings/drawing14.xml"/><Relationship Id="rId2"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7.xml"/><Relationship Id="rId4" Type="http://schemas.openxmlformats.org/officeDocument/2006/relationships/ctrlProp" Target="../ctrlProps/ctrlProp58.xml"/><Relationship Id="rId5" Type="http://schemas.openxmlformats.org/officeDocument/2006/relationships/ctrlProp" Target="../ctrlProps/ctrlProp59.xml"/><Relationship Id="rId6" Type="http://schemas.openxmlformats.org/officeDocument/2006/relationships/ctrlProp" Target="../ctrlProps/ctrlProp60.xml"/><Relationship Id="rId1" Type="http://schemas.openxmlformats.org/officeDocument/2006/relationships/drawing" Target="../drawings/drawing15.xml"/><Relationship Id="rId2"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1.xml"/><Relationship Id="rId4" Type="http://schemas.openxmlformats.org/officeDocument/2006/relationships/ctrlProp" Target="../ctrlProps/ctrlProp62.xml"/><Relationship Id="rId5" Type="http://schemas.openxmlformats.org/officeDocument/2006/relationships/ctrlProp" Target="../ctrlProps/ctrlProp63.xml"/><Relationship Id="rId6" Type="http://schemas.openxmlformats.org/officeDocument/2006/relationships/ctrlProp" Target="../ctrlProps/ctrlProp64.xml"/><Relationship Id="rId1" Type="http://schemas.openxmlformats.org/officeDocument/2006/relationships/drawing" Target="../drawings/drawing16.xml"/><Relationship Id="rId2"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4" Type="http://schemas.openxmlformats.org/officeDocument/2006/relationships/ctrlProp" Target="../ctrlProps/ctrlProp65.xml"/><Relationship Id="rId5" Type="http://schemas.openxmlformats.org/officeDocument/2006/relationships/ctrlProp" Target="../ctrlProps/ctrlProp66.xml"/><Relationship Id="rId6" Type="http://schemas.openxmlformats.org/officeDocument/2006/relationships/ctrlProp" Target="../ctrlProps/ctrlProp67.xml"/><Relationship Id="rId7" Type="http://schemas.openxmlformats.org/officeDocument/2006/relationships/ctrlProp" Target="../ctrlProps/ctrlProp68.xml"/><Relationship Id="rId1" Type="http://schemas.openxmlformats.org/officeDocument/2006/relationships/hyperlink" Target="A-to-Z%20Companion%20Spreadsheet.xls" TargetMode="External"/><Relationship Id="rId2"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9.xml"/><Relationship Id="rId4" Type="http://schemas.openxmlformats.org/officeDocument/2006/relationships/ctrlProp" Target="../ctrlProps/ctrlProp70.xml"/><Relationship Id="rId5" Type="http://schemas.openxmlformats.org/officeDocument/2006/relationships/ctrlProp" Target="../ctrlProps/ctrlProp71.xml"/><Relationship Id="rId6" Type="http://schemas.openxmlformats.org/officeDocument/2006/relationships/ctrlProp" Target="../ctrlProps/ctrlProp72.xml"/><Relationship Id="rId1" Type="http://schemas.openxmlformats.org/officeDocument/2006/relationships/drawing" Target="../drawings/drawing18.xml"/><Relationship Id="rId2"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3.xml"/><Relationship Id="rId4" Type="http://schemas.openxmlformats.org/officeDocument/2006/relationships/ctrlProp" Target="../ctrlProps/ctrlProp74.xml"/><Relationship Id="rId5" Type="http://schemas.openxmlformats.org/officeDocument/2006/relationships/ctrlProp" Target="../ctrlProps/ctrlProp75.xml"/><Relationship Id="rId6" Type="http://schemas.openxmlformats.org/officeDocument/2006/relationships/ctrlProp" Target="../ctrlProps/ctrlProp76.xml"/><Relationship Id="rId1" Type="http://schemas.openxmlformats.org/officeDocument/2006/relationships/drawing" Target="../drawings/drawing19.xml"/><Relationship Id="rId2"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7.xml"/><Relationship Id="rId4" Type="http://schemas.openxmlformats.org/officeDocument/2006/relationships/ctrlProp" Target="../ctrlProps/ctrlProp78.xml"/><Relationship Id="rId5" Type="http://schemas.openxmlformats.org/officeDocument/2006/relationships/ctrlProp" Target="../ctrlProps/ctrlProp79.xml"/><Relationship Id="rId6" Type="http://schemas.openxmlformats.org/officeDocument/2006/relationships/ctrlProp" Target="../ctrlProps/ctrlProp80.xml"/><Relationship Id="rId1" Type="http://schemas.openxmlformats.org/officeDocument/2006/relationships/drawing" Target="../drawings/drawing20.xml"/><Relationship Id="rId2"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1.xml"/><Relationship Id="rId4" Type="http://schemas.openxmlformats.org/officeDocument/2006/relationships/ctrlProp" Target="../ctrlProps/ctrlProp82.xml"/><Relationship Id="rId5" Type="http://schemas.openxmlformats.org/officeDocument/2006/relationships/ctrlProp" Target="../ctrlProps/ctrlProp83.xml"/><Relationship Id="rId6" Type="http://schemas.openxmlformats.org/officeDocument/2006/relationships/ctrlProp" Target="../ctrlProps/ctrlProp84.xml"/><Relationship Id="rId1" Type="http://schemas.openxmlformats.org/officeDocument/2006/relationships/drawing" Target="../drawings/drawing21.xml"/><Relationship Id="rId2"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5.xml"/><Relationship Id="rId4" Type="http://schemas.openxmlformats.org/officeDocument/2006/relationships/ctrlProp" Target="../ctrlProps/ctrlProp86.xml"/><Relationship Id="rId5" Type="http://schemas.openxmlformats.org/officeDocument/2006/relationships/ctrlProp" Target="../ctrlProps/ctrlProp87.xml"/><Relationship Id="rId6" Type="http://schemas.openxmlformats.org/officeDocument/2006/relationships/ctrlProp" Target="../ctrlProps/ctrlProp88.xml"/><Relationship Id="rId1" Type="http://schemas.openxmlformats.org/officeDocument/2006/relationships/drawing" Target="../drawings/drawing22.xml"/><Relationship Id="rId2"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9.xml"/><Relationship Id="rId4" Type="http://schemas.openxmlformats.org/officeDocument/2006/relationships/ctrlProp" Target="../ctrlProps/ctrlProp90.xml"/><Relationship Id="rId5" Type="http://schemas.openxmlformats.org/officeDocument/2006/relationships/ctrlProp" Target="../ctrlProps/ctrlProp91.xml"/><Relationship Id="rId6" Type="http://schemas.openxmlformats.org/officeDocument/2006/relationships/ctrlProp" Target="../ctrlProps/ctrlProp92.xml"/><Relationship Id="rId1" Type="http://schemas.openxmlformats.org/officeDocument/2006/relationships/drawing" Target="../drawings/drawing23.xml"/><Relationship Id="rId2"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93.xml"/><Relationship Id="rId4" Type="http://schemas.openxmlformats.org/officeDocument/2006/relationships/ctrlProp" Target="../ctrlProps/ctrlProp94.xml"/><Relationship Id="rId5" Type="http://schemas.openxmlformats.org/officeDocument/2006/relationships/ctrlProp" Target="../ctrlProps/ctrlProp95.xml"/><Relationship Id="rId6" Type="http://schemas.openxmlformats.org/officeDocument/2006/relationships/ctrlProp" Target="../ctrlProps/ctrlProp96.xml"/><Relationship Id="rId1" Type="http://schemas.openxmlformats.org/officeDocument/2006/relationships/drawing" Target="../drawings/drawing24.xml"/><Relationship Id="rId2"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97.xml"/><Relationship Id="rId4" Type="http://schemas.openxmlformats.org/officeDocument/2006/relationships/ctrlProp" Target="../ctrlProps/ctrlProp98.xml"/><Relationship Id="rId5" Type="http://schemas.openxmlformats.org/officeDocument/2006/relationships/ctrlProp" Target="../ctrlProps/ctrlProp99.xml"/><Relationship Id="rId6" Type="http://schemas.openxmlformats.org/officeDocument/2006/relationships/ctrlProp" Target="../ctrlProps/ctrlProp100.xml"/><Relationship Id="rId1" Type="http://schemas.openxmlformats.org/officeDocument/2006/relationships/drawing" Target="../drawings/drawing25.xml"/><Relationship Id="rId2"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01.xml"/><Relationship Id="rId4" Type="http://schemas.openxmlformats.org/officeDocument/2006/relationships/ctrlProp" Target="../ctrlProps/ctrlProp102.xml"/><Relationship Id="rId5" Type="http://schemas.openxmlformats.org/officeDocument/2006/relationships/ctrlProp" Target="../ctrlProps/ctrlProp103.xml"/><Relationship Id="rId6" Type="http://schemas.openxmlformats.org/officeDocument/2006/relationships/ctrlProp" Target="../ctrlProps/ctrlProp104.xml"/><Relationship Id="rId1" Type="http://schemas.openxmlformats.org/officeDocument/2006/relationships/drawing" Target="../drawings/drawing26.xml"/><Relationship Id="rId2"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4" Type="http://schemas.openxmlformats.org/officeDocument/2006/relationships/ctrlProp" Target="../ctrlProps/ctrlProp105.xml"/><Relationship Id="rId5" Type="http://schemas.openxmlformats.org/officeDocument/2006/relationships/ctrlProp" Target="../ctrlProps/ctrlProp106.xml"/><Relationship Id="rId6" Type="http://schemas.openxmlformats.org/officeDocument/2006/relationships/ctrlProp" Target="../ctrlProps/ctrlProp107.xml"/><Relationship Id="rId7" Type="http://schemas.openxmlformats.org/officeDocument/2006/relationships/ctrlProp" Target="../ctrlProps/ctrlProp108.xml"/><Relationship Id="rId1" Type="http://schemas.openxmlformats.org/officeDocument/2006/relationships/hyperlink" Target="A-to-Z%20Companion%20Spreadsheet.xls" TargetMode="External"/><Relationship Id="rId2"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9.xml"/><Relationship Id="rId4" Type="http://schemas.openxmlformats.org/officeDocument/2006/relationships/ctrlProp" Target="../ctrlProps/ctrlProp110.xml"/><Relationship Id="rId5" Type="http://schemas.openxmlformats.org/officeDocument/2006/relationships/ctrlProp" Target="../ctrlProps/ctrlProp111.xml"/><Relationship Id="rId6" Type="http://schemas.openxmlformats.org/officeDocument/2006/relationships/ctrlProp" Target="../ctrlProps/ctrlProp112.xml"/><Relationship Id="rId1" Type="http://schemas.openxmlformats.org/officeDocument/2006/relationships/drawing" Target="../drawings/drawing28.xml"/><Relationship Id="rId2"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113.xml"/><Relationship Id="rId4" Type="http://schemas.openxmlformats.org/officeDocument/2006/relationships/ctrlProp" Target="../ctrlProps/ctrlProp114.xml"/><Relationship Id="rId5" Type="http://schemas.openxmlformats.org/officeDocument/2006/relationships/ctrlProp" Target="../ctrlProps/ctrlProp115.xml"/><Relationship Id="rId6" Type="http://schemas.openxmlformats.org/officeDocument/2006/relationships/ctrlProp" Target="../ctrlProps/ctrlProp116.xml"/><Relationship Id="rId1" Type="http://schemas.openxmlformats.org/officeDocument/2006/relationships/drawing" Target="../drawings/drawing29.xml"/><Relationship Id="rId2"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17.xml"/><Relationship Id="rId4" Type="http://schemas.openxmlformats.org/officeDocument/2006/relationships/ctrlProp" Target="../ctrlProps/ctrlProp118.xml"/><Relationship Id="rId5" Type="http://schemas.openxmlformats.org/officeDocument/2006/relationships/ctrlProp" Target="../ctrlProps/ctrlProp119.xml"/><Relationship Id="rId6" Type="http://schemas.openxmlformats.org/officeDocument/2006/relationships/ctrlProp" Target="../ctrlProps/ctrlProp120.xml"/><Relationship Id="rId1" Type="http://schemas.openxmlformats.org/officeDocument/2006/relationships/drawing" Target="../drawings/drawing30.xml"/><Relationship Id="rId2"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21.xml"/><Relationship Id="rId4" Type="http://schemas.openxmlformats.org/officeDocument/2006/relationships/ctrlProp" Target="../ctrlProps/ctrlProp122.xml"/><Relationship Id="rId5" Type="http://schemas.openxmlformats.org/officeDocument/2006/relationships/ctrlProp" Target="../ctrlProps/ctrlProp123.xml"/><Relationship Id="rId6" Type="http://schemas.openxmlformats.org/officeDocument/2006/relationships/ctrlProp" Target="../ctrlProps/ctrlProp124.xml"/><Relationship Id="rId1" Type="http://schemas.openxmlformats.org/officeDocument/2006/relationships/drawing" Target="../drawings/drawing31.xml"/><Relationship Id="rId2"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25.xml"/><Relationship Id="rId4" Type="http://schemas.openxmlformats.org/officeDocument/2006/relationships/ctrlProp" Target="../ctrlProps/ctrlProp126.xml"/><Relationship Id="rId5" Type="http://schemas.openxmlformats.org/officeDocument/2006/relationships/ctrlProp" Target="../ctrlProps/ctrlProp127.xml"/><Relationship Id="rId6" Type="http://schemas.openxmlformats.org/officeDocument/2006/relationships/ctrlProp" Target="../ctrlProps/ctrlProp128.xml"/><Relationship Id="rId1" Type="http://schemas.openxmlformats.org/officeDocument/2006/relationships/drawing" Target="../drawings/drawing32.xml"/><Relationship Id="rId2" Type="http://schemas.openxmlformats.org/officeDocument/2006/relationships/vmlDrawing" Target="../drawings/vmlDrawing32.v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9.xml"/><Relationship Id="rId4" Type="http://schemas.openxmlformats.org/officeDocument/2006/relationships/ctrlProp" Target="../ctrlProps/ctrlProp130.xml"/><Relationship Id="rId5" Type="http://schemas.openxmlformats.org/officeDocument/2006/relationships/ctrlProp" Target="../ctrlProps/ctrlProp131.xml"/><Relationship Id="rId6" Type="http://schemas.openxmlformats.org/officeDocument/2006/relationships/ctrlProp" Target="../ctrlProps/ctrlProp132.xml"/><Relationship Id="rId1" Type="http://schemas.openxmlformats.org/officeDocument/2006/relationships/drawing" Target="../drawings/drawing33.xml"/><Relationship Id="rId2" Type="http://schemas.openxmlformats.org/officeDocument/2006/relationships/vmlDrawing" Target="../drawings/vmlDrawing33.v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33.xml"/><Relationship Id="rId4" Type="http://schemas.openxmlformats.org/officeDocument/2006/relationships/ctrlProp" Target="../ctrlProps/ctrlProp134.xml"/><Relationship Id="rId5" Type="http://schemas.openxmlformats.org/officeDocument/2006/relationships/ctrlProp" Target="../ctrlProps/ctrlProp135.xml"/><Relationship Id="rId6" Type="http://schemas.openxmlformats.org/officeDocument/2006/relationships/ctrlProp" Target="../ctrlProps/ctrlProp136.xml"/><Relationship Id="rId1" Type="http://schemas.openxmlformats.org/officeDocument/2006/relationships/drawing" Target="../drawings/drawing34.xml"/><Relationship Id="rId2" Type="http://schemas.openxmlformats.org/officeDocument/2006/relationships/vmlDrawing" Target="../drawings/vmlDrawing34.v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37.xml"/><Relationship Id="rId4" Type="http://schemas.openxmlformats.org/officeDocument/2006/relationships/ctrlProp" Target="../ctrlProps/ctrlProp138.xml"/><Relationship Id="rId5" Type="http://schemas.openxmlformats.org/officeDocument/2006/relationships/ctrlProp" Target="../ctrlProps/ctrlProp139.xml"/><Relationship Id="rId6" Type="http://schemas.openxmlformats.org/officeDocument/2006/relationships/ctrlProp" Target="../ctrlProps/ctrlProp140.xml"/><Relationship Id="rId1" Type="http://schemas.openxmlformats.org/officeDocument/2006/relationships/drawing" Target="../drawings/drawing35.xml"/><Relationship Id="rId2" Type="http://schemas.openxmlformats.org/officeDocument/2006/relationships/vmlDrawing" Target="../drawings/vmlDrawing35.v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141.xml"/><Relationship Id="rId4" Type="http://schemas.openxmlformats.org/officeDocument/2006/relationships/ctrlProp" Target="../ctrlProps/ctrlProp142.xml"/><Relationship Id="rId5" Type="http://schemas.openxmlformats.org/officeDocument/2006/relationships/ctrlProp" Target="../ctrlProps/ctrlProp143.xml"/><Relationship Id="rId6" Type="http://schemas.openxmlformats.org/officeDocument/2006/relationships/ctrlProp" Target="../ctrlProps/ctrlProp144.xml"/><Relationship Id="rId1" Type="http://schemas.openxmlformats.org/officeDocument/2006/relationships/drawing" Target="../drawings/drawing36.xml"/><Relationship Id="rId2" Type="http://schemas.openxmlformats.org/officeDocument/2006/relationships/vmlDrawing" Target="../drawings/vmlDrawing36.v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145.xml"/><Relationship Id="rId4" Type="http://schemas.openxmlformats.org/officeDocument/2006/relationships/ctrlProp" Target="../ctrlProps/ctrlProp146.xml"/><Relationship Id="rId5" Type="http://schemas.openxmlformats.org/officeDocument/2006/relationships/ctrlProp" Target="../ctrlProps/ctrlProp147.xml"/><Relationship Id="rId6" Type="http://schemas.openxmlformats.org/officeDocument/2006/relationships/ctrlProp" Target="../ctrlProps/ctrlProp148.xml"/><Relationship Id="rId1" Type="http://schemas.openxmlformats.org/officeDocument/2006/relationships/drawing" Target="../drawings/drawing37.xml"/><Relationship Id="rId2" Type="http://schemas.openxmlformats.org/officeDocument/2006/relationships/vmlDrawing" Target="../drawings/vmlDrawing37.v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49.xml"/><Relationship Id="rId4" Type="http://schemas.openxmlformats.org/officeDocument/2006/relationships/ctrlProp" Target="../ctrlProps/ctrlProp150.xml"/><Relationship Id="rId5" Type="http://schemas.openxmlformats.org/officeDocument/2006/relationships/ctrlProp" Target="../ctrlProps/ctrlProp151.xml"/><Relationship Id="rId6" Type="http://schemas.openxmlformats.org/officeDocument/2006/relationships/ctrlProp" Target="../ctrlProps/ctrlProp152.xml"/><Relationship Id="rId1" Type="http://schemas.openxmlformats.org/officeDocument/2006/relationships/drawing" Target="../drawings/drawing38.xml"/><Relationship Id="rId2" Type="http://schemas.openxmlformats.org/officeDocument/2006/relationships/vmlDrawing" Target="../drawings/vmlDrawing38.v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53.xml"/><Relationship Id="rId4" Type="http://schemas.openxmlformats.org/officeDocument/2006/relationships/ctrlProp" Target="../ctrlProps/ctrlProp154.xml"/><Relationship Id="rId5" Type="http://schemas.openxmlformats.org/officeDocument/2006/relationships/ctrlProp" Target="../ctrlProps/ctrlProp155.xml"/><Relationship Id="rId6" Type="http://schemas.openxmlformats.org/officeDocument/2006/relationships/ctrlProp" Target="../ctrlProps/ctrlProp156.xml"/><Relationship Id="rId1" Type="http://schemas.openxmlformats.org/officeDocument/2006/relationships/drawing" Target="../drawings/drawing39.xml"/><Relationship Id="rId2" Type="http://schemas.openxmlformats.org/officeDocument/2006/relationships/vmlDrawing" Target="../drawings/vmlDrawing39.v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57.xml"/><Relationship Id="rId4" Type="http://schemas.openxmlformats.org/officeDocument/2006/relationships/ctrlProp" Target="../ctrlProps/ctrlProp158.xml"/><Relationship Id="rId5" Type="http://schemas.openxmlformats.org/officeDocument/2006/relationships/ctrlProp" Target="../ctrlProps/ctrlProp159.xml"/><Relationship Id="rId6" Type="http://schemas.openxmlformats.org/officeDocument/2006/relationships/ctrlProp" Target="../ctrlProps/ctrlProp160.xml"/><Relationship Id="rId1" Type="http://schemas.openxmlformats.org/officeDocument/2006/relationships/drawing" Target="../drawings/drawing40.xml"/><Relationship Id="rId2" Type="http://schemas.openxmlformats.org/officeDocument/2006/relationships/vmlDrawing" Target="../drawings/vmlDrawing40.vml"/></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161.xml"/><Relationship Id="rId4" Type="http://schemas.openxmlformats.org/officeDocument/2006/relationships/ctrlProp" Target="../ctrlProps/ctrlProp162.xml"/><Relationship Id="rId5" Type="http://schemas.openxmlformats.org/officeDocument/2006/relationships/ctrlProp" Target="../ctrlProps/ctrlProp163.xml"/><Relationship Id="rId6" Type="http://schemas.openxmlformats.org/officeDocument/2006/relationships/ctrlProp" Target="../ctrlProps/ctrlProp164.xml"/><Relationship Id="rId1" Type="http://schemas.openxmlformats.org/officeDocument/2006/relationships/drawing" Target="../drawings/drawing41.xml"/><Relationship Id="rId2" Type="http://schemas.openxmlformats.org/officeDocument/2006/relationships/vmlDrawing" Target="../drawings/vmlDrawing41.v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165.xml"/><Relationship Id="rId4" Type="http://schemas.openxmlformats.org/officeDocument/2006/relationships/ctrlProp" Target="../ctrlProps/ctrlProp166.xml"/><Relationship Id="rId5" Type="http://schemas.openxmlformats.org/officeDocument/2006/relationships/ctrlProp" Target="../ctrlProps/ctrlProp167.xml"/><Relationship Id="rId6" Type="http://schemas.openxmlformats.org/officeDocument/2006/relationships/ctrlProp" Target="../ctrlProps/ctrlProp168.xml"/><Relationship Id="rId1" Type="http://schemas.openxmlformats.org/officeDocument/2006/relationships/drawing" Target="../drawings/drawing42.xml"/><Relationship Id="rId2" Type="http://schemas.openxmlformats.org/officeDocument/2006/relationships/vmlDrawing" Target="../drawings/vmlDrawing42.v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69.xml"/><Relationship Id="rId4" Type="http://schemas.openxmlformats.org/officeDocument/2006/relationships/ctrlProp" Target="../ctrlProps/ctrlProp170.xml"/><Relationship Id="rId5" Type="http://schemas.openxmlformats.org/officeDocument/2006/relationships/ctrlProp" Target="../ctrlProps/ctrlProp171.xml"/><Relationship Id="rId6" Type="http://schemas.openxmlformats.org/officeDocument/2006/relationships/ctrlProp" Target="../ctrlProps/ctrlProp172.xml"/><Relationship Id="rId1" Type="http://schemas.openxmlformats.org/officeDocument/2006/relationships/drawing" Target="../drawings/drawing43.xml"/><Relationship Id="rId2" Type="http://schemas.openxmlformats.org/officeDocument/2006/relationships/vmlDrawing" Target="../drawings/vmlDrawing43.v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73.xml"/><Relationship Id="rId4" Type="http://schemas.openxmlformats.org/officeDocument/2006/relationships/ctrlProp" Target="../ctrlProps/ctrlProp174.xml"/><Relationship Id="rId5" Type="http://schemas.openxmlformats.org/officeDocument/2006/relationships/ctrlProp" Target="../ctrlProps/ctrlProp175.xml"/><Relationship Id="rId6" Type="http://schemas.openxmlformats.org/officeDocument/2006/relationships/ctrlProp" Target="../ctrlProps/ctrlProp176.xml"/><Relationship Id="rId1" Type="http://schemas.openxmlformats.org/officeDocument/2006/relationships/drawing" Target="../drawings/drawing44.xml"/><Relationship Id="rId2" Type="http://schemas.openxmlformats.org/officeDocument/2006/relationships/vmlDrawing" Target="../drawings/vmlDrawing44.v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77.xml"/><Relationship Id="rId4" Type="http://schemas.openxmlformats.org/officeDocument/2006/relationships/ctrlProp" Target="../ctrlProps/ctrlProp178.xml"/><Relationship Id="rId5" Type="http://schemas.openxmlformats.org/officeDocument/2006/relationships/ctrlProp" Target="../ctrlProps/ctrlProp179.xml"/><Relationship Id="rId6" Type="http://schemas.openxmlformats.org/officeDocument/2006/relationships/ctrlProp" Target="../ctrlProps/ctrlProp180.xml"/><Relationship Id="rId1" Type="http://schemas.openxmlformats.org/officeDocument/2006/relationships/drawing" Target="../drawings/drawing45.xml"/><Relationship Id="rId2" Type="http://schemas.openxmlformats.org/officeDocument/2006/relationships/vmlDrawing" Target="../drawings/vmlDrawing45.vml"/></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181.xml"/><Relationship Id="rId4" Type="http://schemas.openxmlformats.org/officeDocument/2006/relationships/ctrlProp" Target="../ctrlProps/ctrlProp182.xml"/><Relationship Id="rId5" Type="http://schemas.openxmlformats.org/officeDocument/2006/relationships/ctrlProp" Target="../ctrlProps/ctrlProp183.xml"/><Relationship Id="rId6" Type="http://schemas.openxmlformats.org/officeDocument/2006/relationships/ctrlProp" Target="../ctrlProps/ctrlProp184.xml"/><Relationship Id="rId1" Type="http://schemas.openxmlformats.org/officeDocument/2006/relationships/drawing" Target="../drawings/drawing46.xml"/><Relationship Id="rId2" Type="http://schemas.openxmlformats.org/officeDocument/2006/relationships/vmlDrawing" Target="../drawings/vmlDrawing46.vml"/></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185.xml"/><Relationship Id="rId4" Type="http://schemas.openxmlformats.org/officeDocument/2006/relationships/ctrlProp" Target="../ctrlProps/ctrlProp186.xml"/><Relationship Id="rId5" Type="http://schemas.openxmlformats.org/officeDocument/2006/relationships/ctrlProp" Target="../ctrlProps/ctrlProp187.xml"/><Relationship Id="rId6" Type="http://schemas.openxmlformats.org/officeDocument/2006/relationships/ctrlProp" Target="../ctrlProps/ctrlProp188.xml"/><Relationship Id="rId1" Type="http://schemas.openxmlformats.org/officeDocument/2006/relationships/drawing" Target="../drawings/drawing47.xml"/><Relationship Id="rId2" Type="http://schemas.openxmlformats.org/officeDocument/2006/relationships/vmlDrawing" Target="../drawings/vmlDrawing47.vml"/></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89.xml"/><Relationship Id="rId4" Type="http://schemas.openxmlformats.org/officeDocument/2006/relationships/ctrlProp" Target="../ctrlProps/ctrlProp190.xml"/><Relationship Id="rId5" Type="http://schemas.openxmlformats.org/officeDocument/2006/relationships/ctrlProp" Target="../ctrlProps/ctrlProp191.xml"/><Relationship Id="rId6" Type="http://schemas.openxmlformats.org/officeDocument/2006/relationships/ctrlProp" Target="../ctrlProps/ctrlProp192.xml"/><Relationship Id="rId1" Type="http://schemas.openxmlformats.org/officeDocument/2006/relationships/drawing" Target="../drawings/drawing48.xml"/><Relationship Id="rId2" Type="http://schemas.openxmlformats.org/officeDocument/2006/relationships/vmlDrawing" Target="../drawings/vmlDrawing48.vml"/></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93.xml"/><Relationship Id="rId4" Type="http://schemas.openxmlformats.org/officeDocument/2006/relationships/ctrlProp" Target="../ctrlProps/ctrlProp194.xml"/><Relationship Id="rId5" Type="http://schemas.openxmlformats.org/officeDocument/2006/relationships/ctrlProp" Target="../ctrlProps/ctrlProp195.xml"/><Relationship Id="rId6" Type="http://schemas.openxmlformats.org/officeDocument/2006/relationships/ctrlProp" Target="../ctrlProps/ctrlProp196.xml"/><Relationship Id="rId1" Type="http://schemas.openxmlformats.org/officeDocument/2006/relationships/drawing" Target="../drawings/drawing49.xml"/><Relationship Id="rId2" Type="http://schemas.openxmlformats.org/officeDocument/2006/relationships/vmlDrawing" Target="../drawings/vmlDrawing49.vml"/></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97.xml"/><Relationship Id="rId4" Type="http://schemas.openxmlformats.org/officeDocument/2006/relationships/ctrlProp" Target="../ctrlProps/ctrlProp198.xml"/><Relationship Id="rId5" Type="http://schemas.openxmlformats.org/officeDocument/2006/relationships/ctrlProp" Target="../ctrlProps/ctrlProp199.xml"/><Relationship Id="rId6" Type="http://schemas.openxmlformats.org/officeDocument/2006/relationships/ctrlProp" Target="../ctrlProps/ctrlProp200.xml"/><Relationship Id="rId1" Type="http://schemas.openxmlformats.org/officeDocument/2006/relationships/drawing" Target="../drawings/drawing50.xml"/><Relationship Id="rId2" Type="http://schemas.openxmlformats.org/officeDocument/2006/relationships/vmlDrawing" Target="../drawings/vmlDrawing50.vml"/></Relationships>
</file>

<file path=xl/worksheets/_rels/sheet52.xml.rels><?xml version="1.0" encoding="UTF-8" standalone="yes"?>
<Relationships xmlns="http://schemas.openxmlformats.org/package/2006/relationships"><Relationship Id="rId3" Type="http://schemas.openxmlformats.org/officeDocument/2006/relationships/ctrlProp" Target="../ctrlProps/ctrlProp201.xml"/><Relationship Id="rId4" Type="http://schemas.openxmlformats.org/officeDocument/2006/relationships/ctrlProp" Target="../ctrlProps/ctrlProp202.xml"/><Relationship Id="rId5" Type="http://schemas.openxmlformats.org/officeDocument/2006/relationships/ctrlProp" Target="../ctrlProps/ctrlProp203.xml"/><Relationship Id="rId6" Type="http://schemas.openxmlformats.org/officeDocument/2006/relationships/ctrlProp" Target="../ctrlProps/ctrlProp204.xml"/><Relationship Id="rId1" Type="http://schemas.openxmlformats.org/officeDocument/2006/relationships/drawing" Target="../drawings/drawing51.xml"/><Relationship Id="rId2" Type="http://schemas.openxmlformats.org/officeDocument/2006/relationships/vmlDrawing" Target="../drawings/vmlDrawing51.vml"/></Relationships>
</file>

<file path=xl/worksheets/_rels/sheet53.xml.rels><?xml version="1.0" encoding="UTF-8" standalone="yes"?>
<Relationships xmlns="http://schemas.openxmlformats.org/package/2006/relationships"><Relationship Id="rId3" Type="http://schemas.openxmlformats.org/officeDocument/2006/relationships/ctrlProp" Target="../ctrlProps/ctrlProp205.xml"/><Relationship Id="rId4" Type="http://schemas.openxmlformats.org/officeDocument/2006/relationships/ctrlProp" Target="../ctrlProps/ctrlProp206.xml"/><Relationship Id="rId5" Type="http://schemas.openxmlformats.org/officeDocument/2006/relationships/ctrlProp" Target="../ctrlProps/ctrlProp207.xml"/><Relationship Id="rId6" Type="http://schemas.openxmlformats.org/officeDocument/2006/relationships/ctrlProp" Target="../ctrlProps/ctrlProp208.xml"/><Relationship Id="rId1" Type="http://schemas.openxmlformats.org/officeDocument/2006/relationships/drawing" Target="../drawings/drawing52.xml"/><Relationship Id="rId2" Type="http://schemas.openxmlformats.org/officeDocument/2006/relationships/vmlDrawing" Target="../drawings/vmlDrawing52.vml"/></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9.xml"/><Relationship Id="rId4" Type="http://schemas.openxmlformats.org/officeDocument/2006/relationships/ctrlProp" Target="../ctrlProps/ctrlProp210.xml"/><Relationship Id="rId5" Type="http://schemas.openxmlformats.org/officeDocument/2006/relationships/ctrlProp" Target="../ctrlProps/ctrlProp211.xml"/><Relationship Id="rId6" Type="http://schemas.openxmlformats.org/officeDocument/2006/relationships/ctrlProp" Target="../ctrlProps/ctrlProp212.xml"/><Relationship Id="rId1" Type="http://schemas.openxmlformats.org/officeDocument/2006/relationships/drawing" Target="../drawings/drawing53.xml"/><Relationship Id="rId2" Type="http://schemas.openxmlformats.org/officeDocument/2006/relationships/vmlDrawing" Target="../drawings/vmlDrawing53.vml"/></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213.xml"/><Relationship Id="rId4" Type="http://schemas.openxmlformats.org/officeDocument/2006/relationships/ctrlProp" Target="../ctrlProps/ctrlProp214.xml"/><Relationship Id="rId5" Type="http://schemas.openxmlformats.org/officeDocument/2006/relationships/ctrlProp" Target="../ctrlProps/ctrlProp215.xml"/><Relationship Id="rId6" Type="http://schemas.openxmlformats.org/officeDocument/2006/relationships/ctrlProp" Target="../ctrlProps/ctrlProp216.xml"/><Relationship Id="rId1" Type="http://schemas.openxmlformats.org/officeDocument/2006/relationships/drawing" Target="../drawings/drawing54.xml"/><Relationship Id="rId2" Type="http://schemas.openxmlformats.org/officeDocument/2006/relationships/vmlDrawing" Target="../drawings/vmlDrawing54.vml"/></Relationships>
</file>

<file path=xl/worksheets/_rels/sheet56.xml.rels><?xml version="1.0" encoding="UTF-8" standalone="yes"?>
<Relationships xmlns="http://schemas.openxmlformats.org/package/2006/relationships"><Relationship Id="rId3" Type="http://schemas.openxmlformats.org/officeDocument/2006/relationships/ctrlProp" Target="../ctrlProps/ctrlProp217.xml"/><Relationship Id="rId4" Type="http://schemas.openxmlformats.org/officeDocument/2006/relationships/ctrlProp" Target="../ctrlProps/ctrlProp218.xml"/><Relationship Id="rId5" Type="http://schemas.openxmlformats.org/officeDocument/2006/relationships/ctrlProp" Target="../ctrlProps/ctrlProp219.xml"/><Relationship Id="rId6" Type="http://schemas.openxmlformats.org/officeDocument/2006/relationships/ctrlProp" Target="../ctrlProps/ctrlProp220.xml"/><Relationship Id="rId1" Type="http://schemas.openxmlformats.org/officeDocument/2006/relationships/drawing" Target="../drawings/drawing55.xml"/><Relationship Id="rId2" Type="http://schemas.openxmlformats.org/officeDocument/2006/relationships/vmlDrawing" Target="../drawings/vmlDrawing55.vml"/></Relationships>
</file>

<file path=xl/worksheets/_rels/sheet57.xml.rels><?xml version="1.0" encoding="UTF-8" standalone="yes"?>
<Relationships xmlns="http://schemas.openxmlformats.org/package/2006/relationships"><Relationship Id="rId3" Type="http://schemas.openxmlformats.org/officeDocument/2006/relationships/ctrlProp" Target="../ctrlProps/ctrlProp221.xml"/><Relationship Id="rId4" Type="http://schemas.openxmlformats.org/officeDocument/2006/relationships/ctrlProp" Target="../ctrlProps/ctrlProp222.xml"/><Relationship Id="rId5" Type="http://schemas.openxmlformats.org/officeDocument/2006/relationships/ctrlProp" Target="../ctrlProps/ctrlProp223.xml"/><Relationship Id="rId6" Type="http://schemas.openxmlformats.org/officeDocument/2006/relationships/ctrlProp" Target="../ctrlProps/ctrlProp224.xml"/><Relationship Id="rId1" Type="http://schemas.openxmlformats.org/officeDocument/2006/relationships/drawing" Target="../drawings/drawing56.xml"/><Relationship Id="rId2" Type="http://schemas.openxmlformats.org/officeDocument/2006/relationships/vmlDrawing" Target="../drawings/vmlDrawing56.vml"/></Relationships>
</file>

<file path=xl/worksheets/_rels/sheet58.xml.rels><?xml version="1.0" encoding="UTF-8" standalone="yes"?>
<Relationships xmlns="http://schemas.openxmlformats.org/package/2006/relationships"><Relationship Id="rId3" Type="http://schemas.openxmlformats.org/officeDocument/2006/relationships/ctrlProp" Target="../ctrlProps/ctrlProp225.xml"/><Relationship Id="rId4" Type="http://schemas.openxmlformats.org/officeDocument/2006/relationships/ctrlProp" Target="../ctrlProps/ctrlProp226.xml"/><Relationship Id="rId5" Type="http://schemas.openxmlformats.org/officeDocument/2006/relationships/ctrlProp" Target="../ctrlProps/ctrlProp227.xml"/><Relationship Id="rId6" Type="http://schemas.openxmlformats.org/officeDocument/2006/relationships/ctrlProp" Target="../ctrlProps/ctrlProp228.xml"/><Relationship Id="rId1" Type="http://schemas.openxmlformats.org/officeDocument/2006/relationships/drawing" Target="../drawings/drawing57.xml"/><Relationship Id="rId2" Type="http://schemas.openxmlformats.org/officeDocument/2006/relationships/vmlDrawing" Target="../drawings/vmlDrawing57.vml"/></Relationships>
</file>

<file path=xl/worksheets/_rels/sheet59.xml.rels><?xml version="1.0" encoding="UTF-8" standalone="yes"?>
<Relationships xmlns="http://schemas.openxmlformats.org/package/2006/relationships"><Relationship Id="rId3" Type="http://schemas.openxmlformats.org/officeDocument/2006/relationships/ctrlProp" Target="../ctrlProps/ctrlProp229.xml"/><Relationship Id="rId4" Type="http://schemas.openxmlformats.org/officeDocument/2006/relationships/ctrlProp" Target="../ctrlProps/ctrlProp230.xml"/><Relationship Id="rId5" Type="http://schemas.openxmlformats.org/officeDocument/2006/relationships/ctrlProp" Target="../ctrlProps/ctrlProp231.xml"/><Relationship Id="rId6" Type="http://schemas.openxmlformats.org/officeDocument/2006/relationships/ctrlProp" Target="../ctrlProps/ctrlProp232.xml"/><Relationship Id="rId1" Type="http://schemas.openxmlformats.org/officeDocument/2006/relationships/drawing" Target="../drawings/drawing58.xml"/><Relationship Id="rId2" Type="http://schemas.openxmlformats.org/officeDocument/2006/relationships/vmlDrawing" Target="../drawings/vmlDrawing58.vml"/></Relationships>
</file>

<file path=xl/worksheets/_rels/sheet60.xml.rels><?xml version="1.0" encoding="UTF-8" standalone="yes"?>
<Relationships xmlns="http://schemas.openxmlformats.org/package/2006/relationships"><Relationship Id="rId11" Type="http://schemas.openxmlformats.org/officeDocument/2006/relationships/ctrlProp" Target="../ctrlProps/ctrlProp241.xml"/><Relationship Id="rId12" Type="http://schemas.openxmlformats.org/officeDocument/2006/relationships/ctrlProp" Target="../ctrlProps/ctrlProp242.xml"/><Relationship Id="rId13" Type="http://schemas.openxmlformats.org/officeDocument/2006/relationships/ctrlProp" Target="../ctrlProps/ctrlProp243.xml"/><Relationship Id="rId14" Type="http://schemas.openxmlformats.org/officeDocument/2006/relationships/ctrlProp" Target="../ctrlProps/ctrlProp244.xml"/><Relationship Id="rId1" Type="http://schemas.openxmlformats.org/officeDocument/2006/relationships/drawing" Target="../drawings/drawing59.xml"/><Relationship Id="rId2" Type="http://schemas.openxmlformats.org/officeDocument/2006/relationships/vmlDrawing" Target="../drawings/vmlDrawing59.vml"/><Relationship Id="rId3" Type="http://schemas.openxmlformats.org/officeDocument/2006/relationships/ctrlProp" Target="../ctrlProps/ctrlProp233.xml"/><Relationship Id="rId4" Type="http://schemas.openxmlformats.org/officeDocument/2006/relationships/ctrlProp" Target="../ctrlProps/ctrlProp234.xml"/><Relationship Id="rId5" Type="http://schemas.openxmlformats.org/officeDocument/2006/relationships/ctrlProp" Target="../ctrlProps/ctrlProp235.xml"/><Relationship Id="rId6" Type="http://schemas.openxmlformats.org/officeDocument/2006/relationships/ctrlProp" Target="../ctrlProps/ctrlProp236.xml"/><Relationship Id="rId7" Type="http://schemas.openxmlformats.org/officeDocument/2006/relationships/ctrlProp" Target="../ctrlProps/ctrlProp237.xml"/><Relationship Id="rId8" Type="http://schemas.openxmlformats.org/officeDocument/2006/relationships/ctrlProp" Target="../ctrlProps/ctrlProp238.xml"/><Relationship Id="rId9" Type="http://schemas.openxmlformats.org/officeDocument/2006/relationships/ctrlProp" Target="../ctrlProps/ctrlProp239.xml"/><Relationship Id="rId10" Type="http://schemas.openxmlformats.org/officeDocument/2006/relationships/ctrlProp" Target="../ctrlProps/ctrlProp240.xml"/></Relationships>
</file>

<file path=xl/worksheets/_rels/sheet61.xml.rels><?xml version="1.0" encoding="UTF-8" standalone="yes"?>
<Relationships xmlns="http://schemas.openxmlformats.org/package/2006/relationships"><Relationship Id="rId3" Type="http://schemas.openxmlformats.org/officeDocument/2006/relationships/ctrlProp" Target="../ctrlProps/ctrlProp245.xml"/><Relationship Id="rId4" Type="http://schemas.openxmlformats.org/officeDocument/2006/relationships/ctrlProp" Target="../ctrlProps/ctrlProp246.xml"/><Relationship Id="rId5" Type="http://schemas.openxmlformats.org/officeDocument/2006/relationships/ctrlProp" Target="../ctrlProps/ctrlProp247.xml"/><Relationship Id="rId6" Type="http://schemas.openxmlformats.org/officeDocument/2006/relationships/ctrlProp" Target="../ctrlProps/ctrlProp248.xml"/><Relationship Id="rId1" Type="http://schemas.openxmlformats.org/officeDocument/2006/relationships/drawing" Target="../drawings/drawing60.xml"/><Relationship Id="rId2" Type="http://schemas.openxmlformats.org/officeDocument/2006/relationships/vmlDrawing" Target="../drawings/vmlDrawing60.vml"/></Relationships>
</file>

<file path=xl/worksheets/_rels/sheet62.xml.rels><?xml version="1.0" encoding="UTF-8" standalone="yes"?>
<Relationships xmlns="http://schemas.openxmlformats.org/package/2006/relationships"><Relationship Id="rId3" Type="http://schemas.openxmlformats.org/officeDocument/2006/relationships/ctrlProp" Target="../ctrlProps/ctrlProp249.xml"/><Relationship Id="rId4" Type="http://schemas.openxmlformats.org/officeDocument/2006/relationships/ctrlProp" Target="../ctrlProps/ctrlProp250.xml"/><Relationship Id="rId5" Type="http://schemas.openxmlformats.org/officeDocument/2006/relationships/ctrlProp" Target="../ctrlProps/ctrlProp251.xml"/><Relationship Id="rId6" Type="http://schemas.openxmlformats.org/officeDocument/2006/relationships/ctrlProp" Target="../ctrlProps/ctrlProp252.xml"/><Relationship Id="rId1" Type="http://schemas.openxmlformats.org/officeDocument/2006/relationships/drawing" Target="../drawings/drawing61.xml"/><Relationship Id="rId2" Type="http://schemas.openxmlformats.org/officeDocument/2006/relationships/vmlDrawing" Target="../drawings/vmlDrawing61.vml"/></Relationships>
</file>

<file path=xl/worksheets/_rels/sheet63.xml.rels><?xml version="1.0" encoding="UTF-8" standalone="yes"?>
<Relationships xmlns="http://schemas.openxmlformats.org/package/2006/relationships"><Relationship Id="rId3" Type="http://schemas.openxmlformats.org/officeDocument/2006/relationships/ctrlProp" Target="../ctrlProps/ctrlProp253.xml"/><Relationship Id="rId4" Type="http://schemas.openxmlformats.org/officeDocument/2006/relationships/ctrlProp" Target="../ctrlProps/ctrlProp254.xml"/><Relationship Id="rId5" Type="http://schemas.openxmlformats.org/officeDocument/2006/relationships/ctrlProp" Target="../ctrlProps/ctrlProp255.xml"/><Relationship Id="rId6" Type="http://schemas.openxmlformats.org/officeDocument/2006/relationships/ctrlProp" Target="../ctrlProps/ctrlProp256.xml"/><Relationship Id="rId1" Type="http://schemas.openxmlformats.org/officeDocument/2006/relationships/drawing" Target="../drawings/drawing62.xml"/><Relationship Id="rId2" Type="http://schemas.openxmlformats.org/officeDocument/2006/relationships/vmlDrawing" Target="../drawings/vmlDrawing62.vml"/></Relationships>
</file>

<file path=xl/worksheets/_rels/sheet64.xml.rels><?xml version="1.0" encoding="UTF-8" standalone="yes"?>
<Relationships xmlns="http://schemas.openxmlformats.org/package/2006/relationships"><Relationship Id="rId3" Type="http://schemas.openxmlformats.org/officeDocument/2006/relationships/ctrlProp" Target="../ctrlProps/ctrlProp257.xml"/><Relationship Id="rId4" Type="http://schemas.openxmlformats.org/officeDocument/2006/relationships/ctrlProp" Target="../ctrlProps/ctrlProp258.xml"/><Relationship Id="rId5" Type="http://schemas.openxmlformats.org/officeDocument/2006/relationships/ctrlProp" Target="../ctrlProps/ctrlProp259.xml"/><Relationship Id="rId6" Type="http://schemas.openxmlformats.org/officeDocument/2006/relationships/ctrlProp" Target="../ctrlProps/ctrlProp260.xml"/><Relationship Id="rId1" Type="http://schemas.openxmlformats.org/officeDocument/2006/relationships/drawing" Target="../drawings/drawing63.xml"/><Relationship Id="rId2" Type="http://schemas.openxmlformats.org/officeDocument/2006/relationships/vmlDrawing" Target="../drawings/vmlDrawing63.vml"/></Relationships>
</file>

<file path=xl/worksheets/_rels/sheet65.xml.rels><?xml version="1.0" encoding="UTF-8" standalone="yes"?>
<Relationships xmlns="http://schemas.openxmlformats.org/package/2006/relationships"><Relationship Id="rId3" Type="http://schemas.openxmlformats.org/officeDocument/2006/relationships/ctrlProp" Target="../ctrlProps/ctrlProp261.xml"/><Relationship Id="rId4" Type="http://schemas.openxmlformats.org/officeDocument/2006/relationships/ctrlProp" Target="../ctrlProps/ctrlProp262.xml"/><Relationship Id="rId5" Type="http://schemas.openxmlformats.org/officeDocument/2006/relationships/ctrlProp" Target="../ctrlProps/ctrlProp263.xml"/><Relationship Id="rId6" Type="http://schemas.openxmlformats.org/officeDocument/2006/relationships/ctrlProp" Target="../ctrlProps/ctrlProp264.xml"/><Relationship Id="rId1" Type="http://schemas.openxmlformats.org/officeDocument/2006/relationships/drawing" Target="../drawings/drawing64.xml"/><Relationship Id="rId2" Type="http://schemas.openxmlformats.org/officeDocument/2006/relationships/vmlDrawing" Target="../drawings/vmlDrawing64.vml"/></Relationships>
</file>

<file path=xl/worksheets/_rels/sheet66.xml.rels><?xml version="1.0" encoding="UTF-8" standalone="yes"?>
<Relationships xmlns="http://schemas.openxmlformats.org/package/2006/relationships"><Relationship Id="rId3" Type="http://schemas.openxmlformats.org/officeDocument/2006/relationships/ctrlProp" Target="../ctrlProps/ctrlProp265.xml"/><Relationship Id="rId4" Type="http://schemas.openxmlformats.org/officeDocument/2006/relationships/ctrlProp" Target="../ctrlProps/ctrlProp266.xml"/><Relationship Id="rId5" Type="http://schemas.openxmlformats.org/officeDocument/2006/relationships/ctrlProp" Target="../ctrlProps/ctrlProp267.xml"/><Relationship Id="rId6" Type="http://schemas.openxmlformats.org/officeDocument/2006/relationships/ctrlProp" Target="../ctrlProps/ctrlProp268.xml"/><Relationship Id="rId1" Type="http://schemas.openxmlformats.org/officeDocument/2006/relationships/drawing" Target="../drawings/drawing65.xml"/><Relationship Id="rId2" Type="http://schemas.openxmlformats.org/officeDocument/2006/relationships/vmlDrawing" Target="../drawings/vmlDrawing65.vml"/></Relationships>
</file>

<file path=xl/worksheets/_rels/sheet67.xml.rels><?xml version="1.0" encoding="UTF-8" standalone="yes"?>
<Relationships xmlns="http://schemas.openxmlformats.org/package/2006/relationships"><Relationship Id="rId3" Type="http://schemas.openxmlformats.org/officeDocument/2006/relationships/ctrlProp" Target="../ctrlProps/ctrlProp269.xml"/><Relationship Id="rId4" Type="http://schemas.openxmlformats.org/officeDocument/2006/relationships/ctrlProp" Target="../ctrlProps/ctrlProp270.xml"/><Relationship Id="rId5" Type="http://schemas.openxmlformats.org/officeDocument/2006/relationships/ctrlProp" Target="../ctrlProps/ctrlProp271.xml"/><Relationship Id="rId6" Type="http://schemas.openxmlformats.org/officeDocument/2006/relationships/ctrlProp" Target="../ctrlProps/ctrlProp272.xml"/><Relationship Id="rId1" Type="http://schemas.openxmlformats.org/officeDocument/2006/relationships/drawing" Target="../drawings/drawing66.xml"/><Relationship Id="rId2" Type="http://schemas.openxmlformats.org/officeDocument/2006/relationships/vmlDrawing" Target="../drawings/vmlDrawing66.vml"/></Relationships>
</file>

<file path=xl/worksheets/_rels/sheet68.xml.rels><?xml version="1.0" encoding="UTF-8" standalone="yes"?>
<Relationships xmlns="http://schemas.openxmlformats.org/package/2006/relationships"><Relationship Id="rId3" Type="http://schemas.openxmlformats.org/officeDocument/2006/relationships/ctrlProp" Target="../ctrlProps/ctrlProp273.xml"/><Relationship Id="rId4" Type="http://schemas.openxmlformats.org/officeDocument/2006/relationships/ctrlProp" Target="../ctrlProps/ctrlProp274.xml"/><Relationship Id="rId5" Type="http://schemas.openxmlformats.org/officeDocument/2006/relationships/ctrlProp" Target="../ctrlProps/ctrlProp275.xml"/><Relationship Id="rId6" Type="http://schemas.openxmlformats.org/officeDocument/2006/relationships/ctrlProp" Target="../ctrlProps/ctrlProp276.xml"/><Relationship Id="rId1" Type="http://schemas.openxmlformats.org/officeDocument/2006/relationships/drawing" Target="../drawings/drawing67.xml"/><Relationship Id="rId2" Type="http://schemas.openxmlformats.org/officeDocument/2006/relationships/vmlDrawing" Target="../drawings/vmlDrawing67.vml"/></Relationships>
</file>

<file path=xl/worksheets/_rels/sheet69.xml.rels><?xml version="1.0" encoding="UTF-8" standalone="yes"?>
<Relationships xmlns="http://schemas.openxmlformats.org/package/2006/relationships"><Relationship Id="rId3" Type="http://schemas.openxmlformats.org/officeDocument/2006/relationships/ctrlProp" Target="../ctrlProps/ctrlProp277.xml"/><Relationship Id="rId4" Type="http://schemas.openxmlformats.org/officeDocument/2006/relationships/ctrlProp" Target="../ctrlProps/ctrlProp278.xml"/><Relationship Id="rId5" Type="http://schemas.openxmlformats.org/officeDocument/2006/relationships/ctrlProp" Target="../ctrlProps/ctrlProp279.xml"/><Relationship Id="rId6" Type="http://schemas.openxmlformats.org/officeDocument/2006/relationships/ctrlProp" Target="../ctrlProps/ctrlProp280.xml"/><Relationship Id="rId1" Type="http://schemas.openxmlformats.org/officeDocument/2006/relationships/drawing" Target="../drawings/drawing68.xml"/><Relationship Id="rId2" Type="http://schemas.openxmlformats.org/officeDocument/2006/relationships/vmlDrawing" Target="../drawings/vmlDrawing68.vml"/></Relationships>
</file>

<file path=xl/worksheets/_rels/sheet70.xml.rels><?xml version="1.0" encoding="UTF-8" standalone="yes"?>
<Relationships xmlns="http://schemas.openxmlformats.org/package/2006/relationships"><Relationship Id="rId3" Type="http://schemas.openxmlformats.org/officeDocument/2006/relationships/ctrlProp" Target="../ctrlProps/ctrlProp281.xml"/><Relationship Id="rId4" Type="http://schemas.openxmlformats.org/officeDocument/2006/relationships/ctrlProp" Target="../ctrlProps/ctrlProp282.xml"/><Relationship Id="rId5" Type="http://schemas.openxmlformats.org/officeDocument/2006/relationships/ctrlProp" Target="../ctrlProps/ctrlProp283.xml"/><Relationship Id="rId6" Type="http://schemas.openxmlformats.org/officeDocument/2006/relationships/ctrlProp" Target="../ctrlProps/ctrlProp284.xml"/><Relationship Id="rId1" Type="http://schemas.openxmlformats.org/officeDocument/2006/relationships/drawing" Target="../drawings/drawing69.xml"/><Relationship Id="rId2" Type="http://schemas.openxmlformats.org/officeDocument/2006/relationships/vmlDrawing" Target="../drawings/vmlDrawing69.vml"/></Relationships>
</file>

<file path=xl/worksheets/_rels/sheet71.xml.rels><?xml version="1.0" encoding="UTF-8" standalone="yes"?>
<Relationships xmlns="http://schemas.openxmlformats.org/package/2006/relationships"><Relationship Id="rId3" Type="http://schemas.openxmlformats.org/officeDocument/2006/relationships/ctrlProp" Target="../ctrlProps/ctrlProp285.xml"/><Relationship Id="rId4" Type="http://schemas.openxmlformats.org/officeDocument/2006/relationships/ctrlProp" Target="../ctrlProps/ctrlProp286.xml"/><Relationship Id="rId5" Type="http://schemas.openxmlformats.org/officeDocument/2006/relationships/ctrlProp" Target="../ctrlProps/ctrlProp287.xml"/><Relationship Id="rId6" Type="http://schemas.openxmlformats.org/officeDocument/2006/relationships/ctrlProp" Target="../ctrlProps/ctrlProp288.xml"/><Relationship Id="rId7" Type="http://schemas.openxmlformats.org/officeDocument/2006/relationships/ctrlProp" Target="../ctrlProps/ctrlProp289.xml"/><Relationship Id="rId8" Type="http://schemas.openxmlformats.org/officeDocument/2006/relationships/ctrlProp" Target="../ctrlProps/ctrlProp290.xml"/><Relationship Id="rId9" Type="http://schemas.openxmlformats.org/officeDocument/2006/relationships/ctrlProp" Target="../ctrlProps/ctrlProp291.xml"/><Relationship Id="rId10" Type="http://schemas.openxmlformats.org/officeDocument/2006/relationships/ctrlProp" Target="../ctrlProps/ctrlProp292.xml"/><Relationship Id="rId1" Type="http://schemas.openxmlformats.org/officeDocument/2006/relationships/drawing" Target="../drawings/drawing70.xml"/><Relationship Id="rId2" Type="http://schemas.openxmlformats.org/officeDocument/2006/relationships/vmlDrawing" Target="../drawings/vmlDrawing70.vml"/></Relationships>
</file>

<file path=xl/worksheets/_rels/sheet72.xml.rels><?xml version="1.0" encoding="UTF-8" standalone="yes"?>
<Relationships xmlns="http://schemas.openxmlformats.org/package/2006/relationships"><Relationship Id="rId3" Type="http://schemas.openxmlformats.org/officeDocument/2006/relationships/ctrlProp" Target="../ctrlProps/ctrlProp293.xml"/><Relationship Id="rId4" Type="http://schemas.openxmlformats.org/officeDocument/2006/relationships/ctrlProp" Target="../ctrlProps/ctrlProp294.xml"/><Relationship Id="rId5" Type="http://schemas.openxmlformats.org/officeDocument/2006/relationships/ctrlProp" Target="../ctrlProps/ctrlProp295.xml"/><Relationship Id="rId6" Type="http://schemas.openxmlformats.org/officeDocument/2006/relationships/ctrlProp" Target="../ctrlProps/ctrlProp296.xml"/><Relationship Id="rId7" Type="http://schemas.openxmlformats.org/officeDocument/2006/relationships/ctrlProp" Target="../ctrlProps/ctrlProp297.xml"/><Relationship Id="rId8" Type="http://schemas.openxmlformats.org/officeDocument/2006/relationships/ctrlProp" Target="../ctrlProps/ctrlProp298.xml"/><Relationship Id="rId9" Type="http://schemas.openxmlformats.org/officeDocument/2006/relationships/ctrlProp" Target="../ctrlProps/ctrlProp299.xml"/><Relationship Id="rId10" Type="http://schemas.openxmlformats.org/officeDocument/2006/relationships/ctrlProp" Target="../ctrlProps/ctrlProp300.xml"/><Relationship Id="rId1" Type="http://schemas.openxmlformats.org/officeDocument/2006/relationships/drawing" Target="../drawings/drawing71.xml"/><Relationship Id="rId2" Type="http://schemas.openxmlformats.org/officeDocument/2006/relationships/vmlDrawing" Target="../drawings/vmlDrawing71.vml"/></Relationships>
</file>

<file path=xl/worksheets/_rels/sheet73.xml.rels><?xml version="1.0" encoding="UTF-8" standalone="yes"?>
<Relationships xmlns="http://schemas.openxmlformats.org/package/2006/relationships"><Relationship Id="rId3" Type="http://schemas.openxmlformats.org/officeDocument/2006/relationships/ctrlProp" Target="../ctrlProps/ctrlProp301.xml"/><Relationship Id="rId4" Type="http://schemas.openxmlformats.org/officeDocument/2006/relationships/ctrlProp" Target="../ctrlProps/ctrlProp302.xml"/><Relationship Id="rId5" Type="http://schemas.openxmlformats.org/officeDocument/2006/relationships/ctrlProp" Target="../ctrlProps/ctrlProp303.xml"/><Relationship Id="rId6" Type="http://schemas.openxmlformats.org/officeDocument/2006/relationships/ctrlProp" Target="../ctrlProps/ctrlProp304.xml"/><Relationship Id="rId7" Type="http://schemas.openxmlformats.org/officeDocument/2006/relationships/ctrlProp" Target="../ctrlProps/ctrlProp305.xml"/><Relationship Id="rId8" Type="http://schemas.openxmlformats.org/officeDocument/2006/relationships/ctrlProp" Target="../ctrlProps/ctrlProp306.xml"/><Relationship Id="rId9" Type="http://schemas.openxmlformats.org/officeDocument/2006/relationships/ctrlProp" Target="../ctrlProps/ctrlProp307.xml"/><Relationship Id="rId10" Type="http://schemas.openxmlformats.org/officeDocument/2006/relationships/ctrlProp" Target="../ctrlProps/ctrlProp308.xml"/><Relationship Id="rId1" Type="http://schemas.openxmlformats.org/officeDocument/2006/relationships/drawing" Target="../drawings/drawing72.xml"/><Relationship Id="rId2" Type="http://schemas.openxmlformats.org/officeDocument/2006/relationships/vmlDrawing" Target="../drawings/vmlDrawing72.vml"/></Relationships>
</file>

<file path=xl/worksheets/_rels/sheet74.xml.rels><?xml version="1.0" encoding="UTF-8" standalone="yes"?>
<Relationships xmlns="http://schemas.openxmlformats.org/package/2006/relationships"><Relationship Id="rId3" Type="http://schemas.openxmlformats.org/officeDocument/2006/relationships/ctrlProp" Target="../ctrlProps/ctrlProp309.xml"/><Relationship Id="rId4" Type="http://schemas.openxmlformats.org/officeDocument/2006/relationships/ctrlProp" Target="../ctrlProps/ctrlProp310.xml"/><Relationship Id="rId5" Type="http://schemas.openxmlformats.org/officeDocument/2006/relationships/ctrlProp" Target="../ctrlProps/ctrlProp311.xml"/><Relationship Id="rId6" Type="http://schemas.openxmlformats.org/officeDocument/2006/relationships/ctrlProp" Target="../ctrlProps/ctrlProp312.xml"/><Relationship Id="rId7" Type="http://schemas.openxmlformats.org/officeDocument/2006/relationships/ctrlProp" Target="../ctrlProps/ctrlProp313.xml"/><Relationship Id="rId8" Type="http://schemas.openxmlformats.org/officeDocument/2006/relationships/ctrlProp" Target="../ctrlProps/ctrlProp314.xml"/><Relationship Id="rId9" Type="http://schemas.openxmlformats.org/officeDocument/2006/relationships/ctrlProp" Target="../ctrlProps/ctrlProp315.xml"/><Relationship Id="rId10" Type="http://schemas.openxmlformats.org/officeDocument/2006/relationships/ctrlProp" Target="../ctrlProps/ctrlProp316.xml"/><Relationship Id="rId1" Type="http://schemas.openxmlformats.org/officeDocument/2006/relationships/drawing" Target="../drawings/drawing73.xml"/><Relationship Id="rId2" Type="http://schemas.openxmlformats.org/officeDocument/2006/relationships/vmlDrawing" Target="../drawings/vmlDrawing73.vml"/></Relationships>
</file>

<file path=xl/worksheets/_rels/sheet75.xml.rels><?xml version="1.0" encoding="UTF-8" standalone="yes"?>
<Relationships xmlns="http://schemas.openxmlformats.org/package/2006/relationships"><Relationship Id="rId3" Type="http://schemas.openxmlformats.org/officeDocument/2006/relationships/ctrlProp" Target="../ctrlProps/ctrlProp317.xml"/><Relationship Id="rId4" Type="http://schemas.openxmlformats.org/officeDocument/2006/relationships/ctrlProp" Target="../ctrlProps/ctrlProp318.xml"/><Relationship Id="rId5" Type="http://schemas.openxmlformats.org/officeDocument/2006/relationships/ctrlProp" Target="../ctrlProps/ctrlProp319.xml"/><Relationship Id="rId6" Type="http://schemas.openxmlformats.org/officeDocument/2006/relationships/ctrlProp" Target="../ctrlProps/ctrlProp320.xml"/><Relationship Id="rId7" Type="http://schemas.openxmlformats.org/officeDocument/2006/relationships/ctrlProp" Target="../ctrlProps/ctrlProp321.xml"/><Relationship Id="rId8" Type="http://schemas.openxmlformats.org/officeDocument/2006/relationships/ctrlProp" Target="../ctrlProps/ctrlProp322.xml"/><Relationship Id="rId9" Type="http://schemas.openxmlformats.org/officeDocument/2006/relationships/ctrlProp" Target="../ctrlProps/ctrlProp323.xml"/><Relationship Id="rId10" Type="http://schemas.openxmlformats.org/officeDocument/2006/relationships/ctrlProp" Target="../ctrlProps/ctrlProp324.xml"/><Relationship Id="rId1" Type="http://schemas.openxmlformats.org/officeDocument/2006/relationships/drawing" Target="../drawings/drawing74.xml"/><Relationship Id="rId2" Type="http://schemas.openxmlformats.org/officeDocument/2006/relationships/vmlDrawing" Target="../drawings/vmlDrawing74.vml"/></Relationships>
</file>

<file path=xl/worksheets/_rels/sheet76.xml.rels><?xml version="1.0" encoding="UTF-8" standalone="yes"?>
<Relationships xmlns="http://schemas.openxmlformats.org/package/2006/relationships"><Relationship Id="rId3" Type="http://schemas.openxmlformats.org/officeDocument/2006/relationships/ctrlProp" Target="../ctrlProps/ctrlProp325.xml"/><Relationship Id="rId4" Type="http://schemas.openxmlformats.org/officeDocument/2006/relationships/ctrlProp" Target="../ctrlProps/ctrlProp326.xml"/><Relationship Id="rId5" Type="http://schemas.openxmlformats.org/officeDocument/2006/relationships/ctrlProp" Target="../ctrlProps/ctrlProp327.xml"/><Relationship Id="rId6" Type="http://schemas.openxmlformats.org/officeDocument/2006/relationships/ctrlProp" Target="../ctrlProps/ctrlProp328.xml"/><Relationship Id="rId7" Type="http://schemas.openxmlformats.org/officeDocument/2006/relationships/ctrlProp" Target="../ctrlProps/ctrlProp329.xml"/><Relationship Id="rId8" Type="http://schemas.openxmlformats.org/officeDocument/2006/relationships/ctrlProp" Target="../ctrlProps/ctrlProp330.xml"/><Relationship Id="rId9" Type="http://schemas.openxmlformats.org/officeDocument/2006/relationships/ctrlProp" Target="../ctrlProps/ctrlProp331.xml"/><Relationship Id="rId10" Type="http://schemas.openxmlformats.org/officeDocument/2006/relationships/ctrlProp" Target="../ctrlProps/ctrlProp332.xml"/><Relationship Id="rId1" Type="http://schemas.openxmlformats.org/officeDocument/2006/relationships/drawing" Target="../drawings/drawing75.xml"/><Relationship Id="rId2" Type="http://schemas.openxmlformats.org/officeDocument/2006/relationships/vmlDrawing" Target="../drawings/vmlDrawing75.vml"/></Relationships>
</file>

<file path=xl/worksheets/_rels/sheet77.xml.rels><?xml version="1.0" encoding="UTF-8" standalone="yes"?>
<Relationships xmlns="http://schemas.openxmlformats.org/package/2006/relationships"><Relationship Id="rId3" Type="http://schemas.openxmlformats.org/officeDocument/2006/relationships/ctrlProp" Target="../ctrlProps/ctrlProp333.xml"/><Relationship Id="rId4" Type="http://schemas.openxmlformats.org/officeDocument/2006/relationships/ctrlProp" Target="../ctrlProps/ctrlProp334.xml"/><Relationship Id="rId5" Type="http://schemas.openxmlformats.org/officeDocument/2006/relationships/ctrlProp" Target="../ctrlProps/ctrlProp335.xml"/><Relationship Id="rId6" Type="http://schemas.openxmlformats.org/officeDocument/2006/relationships/ctrlProp" Target="../ctrlProps/ctrlProp336.xml"/><Relationship Id="rId7" Type="http://schemas.openxmlformats.org/officeDocument/2006/relationships/ctrlProp" Target="../ctrlProps/ctrlProp337.xml"/><Relationship Id="rId8" Type="http://schemas.openxmlformats.org/officeDocument/2006/relationships/ctrlProp" Target="../ctrlProps/ctrlProp338.xml"/><Relationship Id="rId9" Type="http://schemas.openxmlformats.org/officeDocument/2006/relationships/ctrlProp" Target="../ctrlProps/ctrlProp339.xml"/><Relationship Id="rId10" Type="http://schemas.openxmlformats.org/officeDocument/2006/relationships/ctrlProp" Target="../ctrlProps/ctrlProp340.xml"/><Relationship Id="rId1" Type="http://schemas.openxmlformats.org/officeDocument/2006/relationships/drawing" Target="../drawings/drawing76.xml"/><Relationship Id="rId2" Type="http://schemas.openxmlformats.org/officeDocument/2006/relationships/vmlDrawing" Target="../drawings/vmlDrawing76.vml"/></Relationships>
</file>

<file path=xl/worksheets/_rels/sheet78.xml.rels><?xml version="1.0" encoding="UTF-8" standalone="yes"?>
<Relationships xmlns="http://schemas.openxmlformats.org/package/2006/relationships"><Relationship Id="rId3" Type="http://schemas.openxmlformats.org/officeDocument/2006/relationships/ctrlProp" Target="../ctrlProps/ctrlProp341.xml"/><Relationship Id="rId4" Type="http://schemas.openxmlformats.org/officeDocument/2006/relationships/ctrlProp" Target="../ctrlProps/ctrlProp342.xml"/><Relationship Id="rId5" Type="http://schemas.openxmlformats.org/officeDocument/2006/relationships/ctrlProp" Target="../ctrlProps/ctrlProp343.xml"/><Relationship Id="rId6" Type="http://schemas.openxmlformats.org/officeDocument/2006/relationships/ctrlProp" Target="../ctrlProps/ctrlProp344.xml"/><Relationship Id="rId7" Type="http://schemas.openxmlformats.org/officeDocument/2006/relationships/ctrlProp" Target="../ctrlProps/ctrlProp345.xml"/><Relationship Id="rId8" Type="http://schemas.openxmlformats.org/officeDocument/2006/relationships/ctrlProp" Target="../ctrlProps/ctrlProp346.xml"/><Relationship Id="rId9" Type="http://schemas.openxmlformats.org/officeDocument/2006/relationships/ctrlProp" Target="../ctrlProps/ctrlProp347.xml"/><Relationship Id="rId10" Type="http://schemas.openxmlformats.org/officeDocument/2006/relationships/ctrlProp" Target="../ctrlProps/ctrlProp348.xml"/><Relationship Id="rId1" Type="http://schemas.openxmlformats.org/officeDocument/2006/relationships/drawing" Target="../drawings/drawing77.xml"/><Relationship Id="rId2" Type="http://schemas.openxmlformats.org/officeDocument/2006/relationships/vmlDrawing" Target="../drawings/vmlDrawing77.vml"/></Relationships>
</file>

<file path=xl/worksheets/_rels/sheet79.xml.rels><?xml version="1.0" encoding="UTF-8" standalone="yes"?>
<Relationships xmlns="http://schemas.openxmlformats.org/package/2006/relationships"><Relationship Id="rId3" Type="http://schemas.openxmlformats.org/officeDocument/2006/relationships/ctrlProp" Target="../ctrlProps/ctrlProp349.xml"/><Relationship Id="rId4" Type="http://schemas.openxmlformats.org/officeDocument/2006/relationships/ctrlProp" Target="../ctrlProps/ctrlProp350.xml"/><Relationship Id="rId5" Type="http://schemas.openxmlformats.org/officeDocument/2006/relationships/ctrlProp" Target="../ctrlProps/ctrlProp351.xml"/><Relationship Id="rId6" Type="http://schemas.openxmlformats.org/officeDocument/2006/relationships/ctrlProp" Target="../ctrlProps/ctrlProp352.xml"/><Relationship Id="rId7" Type="http://schemas.openxmlformats.org/officeDocument/2006/relationships/ctrlProp" Target="../ctrlProps/ctrlProp353.xml"/><Relationship Id="rId8" Type="http://schemas.openxmlformats.org/officeDocument/2006/relationships/ctrlProp" Target="../ctrlProps/ctrlProp354.xml"/><Relationship Id="rId9" Type="http://schemas.openxmlformats.org/officeDocument/2006/relationships/ctrlProp" Target="../ctrlProps/ctrlProp355.xml"/><Relationship Id="rId10" Type="http://schemas.openxmlformats.org/officeDocument/2006/relationships/ctrlProp" Target="../ctrlProps/ctrlProp356.xml"/><Relationship Id="rId1" Type="http://schemas.openxmlformats.org/officeDocument/2006/relationships/drawing" Target="../drawings/drawing78.xml"/><Relationship Id="rId2" Type="http://schemas.openxmlformats.org/officeDocument/2006/relationships/vmlDrawing" Target="../drawings/vmlDrawing78.vml"/></Relationships>
</file>

<file path=xl/worksheets/_rels/sheet80.xml.rels><?xml version="1.0" encoding="UTF-8" standalone="yes"?>
<Relationships xmlns="http://schemas.openxmlformats.org/package/2006/relationships"><Relationship Id="rId3" Type="http://schemas.openxmlformats.org/officeDocument/2006/relationships/ctrlProp" Target="../ctrlProps/ctrlProp357.xml"/><Relationship Id="rId4" Type="http://schemas.openxmlformats.org/officeDocument/2006/relationships/ctrlProp" Target="../ctrlProps/ctrlProp358.xml"/><Relationship Id="rId5" Type="http://schemas.openxmlformats.org/officeDocument/2006/relationships/ctrlProp" Target="../ctrlProps/ctrlProp359.xml"/><Relationship Id="rId6" Type="http://schemas.openxmlformats.org/officeDocument/2006/relationships/ctrlProp" Target="../ctrlProps/ctrlProp360.xml"/><Relationship Id="rId7" Type="http://schemas.openxmlformats.org/officeDocument/2006/relationships/ctrlProp" Target="../ctrlProps/ctrlProp361.xml"/><Relationship Id="rId8" Type="http://schemas.openxmlformats.org/officeDocument/2006/relationships/ctrlProp" Target="../ctrlProps/ctrlProp362.xml"/><Relationship Id="rId9" Type="http://schemas.openxmlformats.org/officeDocument/2006/relationships/ctrlProp" Target="../ctrlProps/ctrlProp363.xml"/><Relationship Id="rId10" Type="http://schemas.openxmlformats.org/officeDocument/2006/relationships/ctrlProp" Target="../ctrlProps/ctrlProp364.xml"/><Relationship Id="rId1" Type="http://schemas.openxmlformats.org/officeDocument/2006/relationships/drawing" Target="../drawings/drawing79.xml"/><Relationship Id="rId2" Type="http://schemas.openxmlformats.org/officeDocument/2006/relationships/vmlDrawing" Target="../drawings/vmlDrawing79.vml"/></Relationships>
</file>

<file path=xl/worksheets/_rels/sheet81.xml.rels><?xml version="1.0" encoding="UTF-8" standalone="yes"?>
<Relationships xmlns="http://schemas.openxmlformats.org/package/2006/relationships"><Relationship Id="rId3" Type="http://schemas.openxmlformats.org/officeDocument/2006/relationships/ctrlProp" Target="../ctrlProps/ctrlProp365.xml"/><Relationship Id="rId4" Type="http://schemas.openxmlformats.org/officeDocument/2006/relationships/ctrlProp" Target="../ctrlProps/ctrlProp366.xml"/><Relationship Id="rId5" Type="http://schemas.openxmlformats.org/officeDocument/2006/relationships/ctrlProp" Target="../ctrlProps/ctrlProp367.xml"/><Relationship Id="rId6" Type="http://schemas.openxmlformats.org/officeDocument/2006/relationships/ctrlProp" Target="../ctrlProps/ctrlProp368.xml"/><Relationship Id="rId7" Type="http://schemas.openxmlformats.org/officeDocument/2006/relationships/ctrlProp" Target="../ctrlProps/ctrlProp369.xml"/><Relationship Id="rId8" Type="http://schemas.openxmlformats.org/officeDocument/2006/relationships/ctrlProp" Target="../ctrlProps/ctrlProp370.xml"/><Relationship Id="rId9" Type="http://schemas.openxmlformats.org/officeDocument/2006/relationships/ctrlProp" Target="../ctrlProps/ctrlProp371.xml"/><Relationship Id="rId10" Type="http://schemas.openxmlformats.org/officeDocument/2006/relationships/ctrlProp" Target="../ctrlProps/ctrlProp372.xml"/><Relationship Id="rId1" Type="http://schemas.openxmlformats.org/officeDocument/2006/relationships/drawing" Target="../drawings/drawing80.xml"/><Relationship Id="rId2" Type="http://schemas.openxmlformats.org/officeDocument/2006/relationships/vmlDrawing" Target="../drawings/vmlDrawing80.vml"/></Relationships>
</file>

<file path=xl/worksheets/_rels/sheet82.xml.rels><?xml version="1.0" encoding="UTF-8" standalone="yes"?>
<Relationships xmlns="http://schemas.openxmlformats.org/package/2006/relationships"><Relationship Id="rId3" Type="http://schemas.openxmlformats.org/officeDocument/2006/relationships/ctrlProp" Target="../ctrlProps/ctrlProp373.xml"/><Relationship Id="rId4" Type="http://schemas.openxmlformats.org/officeDocument/2006/relationships/ctrlProp" Target="../ctrlProps/ctrlProp374.xml"/><Relationship Id="rId5" Type="http://schemas.openxmlformats.org/officeDocument/2006/relationships/ctrlProp" Target="../ctrlProps/ctrlProp375.xml"/><Relationship Id="rId6" Type="http://schemas.openxmlformats.org/officeDocument/2006/relationships/ctrlProp" Target="../ctrlProps/ctrlProp376.xml"/><Relationship Id="rId7" Type="http://schemas.openxmlformats.org/officeDocument/2006/relationships/ctrlProp" Target="../ctrlProps/ctrlProp377.xml"/><Relationship Id="rId8" Type="http://schemas.openxmlformats.org/officeDocument/2006/relationships/ctrlProp" Target="../ctrlProps/ctrlProp378.xml"/><Relationship Id="rId9" Type="http://schemas.openxmlformats.org/officeDocument/2006/relationships/ctrlProp" Target="../ctrlProps/ctrlProp379.xml"/><Relationship Id="rId10" Type="http://schemas.openxmlformats.org/officeDocument/2006/relationships/ctrlProp" Target="../ctrlProps/ctrlProp380.xml"/><Relationship Id="rId1" Type="http://schemas.openxmlformats.org/officeDocument/2006/relationships/drawing" Target="../drawings/drawing81.xml"/><Relationship Id="rId2" Type="http://schemas.openxmlformats.org/officeDocument/2006/relationships/vmlDrawing" Target="../drawings/vmlDrawing81.vml"/></Relationships>
</file>

<file path=xl/worksheets/_rels/sheet83.xml.rels><?xml version="1.0" encoding="UTF-8" standalone="yes"?>
<Relationships xmlns="http://schemas.openxmlformats.org/package/2006/relationships"><Relationship Id="rId3" Type="http://schemas.openxmlformats.org/officeDocument/2006/relationships/ctrlProp" Target="../ctrlProps/ctrlProp381.xml"/><Relationship Id="rId4" Type="http://schemas.openxmlformats.org/officeDocument/2006/relationships/ctrlProp" Target="../ctrlProps/ctrlProp382.xml"/><Relationship Id="rId5" Type="http://schemas.openxmlformats.org/officeDocument/2006/relationships/ctrlProp" Target="../ctrlProps/ctrlProp383.xml"/><Relationship Id="rId6" Type="http://schemas.openxmlformats.org/officeDocument/2006/relationships/ctrlProp" Target="../ctrlProps/ctrlProp384.xml"/><Relationship Id="rId7" Type="http://schemas.openxmlformats.org/officeDocument/2006/relationships/ctrlProp" Target="../ctrlProps/ctrlProp385.xml"/><Relationship Id="rId8" Type="http://schemas.openxmlformats.org/officeDocument/2006/relationships/ctrlProp" Target="../ctrlProps/ctrlProp386.xml"/><Relationship Id="rId9" Type="http://schemas.openxmlformats.org/officeDocument/2006/relationships/ctrlProp" Target="../ctrlProps/ctrlProp387.xml"/><Relationship Id="rId10" Type="http://schemas.openxmlformats.org/officeDocument/2006/relationships/ctrlProp" Target="../ctrlProps/ctrlProp388.xml"/><Relationship Id="rId1" Type="http://schemas.openxmlformats.org/officeDocument/2006/relationships/drawing" Target="../drawings/drawing82.xml"/><Relationship Id="rId2" Type="http://schemas.openxmlformats.org/officeDocument/2006/relationships/vmlDrawing" Target="../drawings/vmlDrawing82.vml"/></Relationships>
</file>

<file path=xl/worksheets/_rels/sheet84.xml.rels><?xml version="1.0" encoding="UTF-8" standalone="yes"?>
<Relationships xmlns="http://schemas.openxmlformats.org/package/2006/relationships"><Relationship Id="rId3" Type="http://schemas.openxmlformats.org/officeDocument/2006/relationships/ctrlProp" Target="../ctrlProps/ctrlProp389.xml"/><Relationship Id="rId4" Type="http://schemas.openxmlformats.org/officeDocument/2006/relationships/ctrlProp" Target="../ctrlProps/ctrlProp390.xml"/><Relationship Id="rId5" Type="http://schemas.openxmlformats.org/officeDocument/2006/relationships/ctrlProp" Target="../ctrlProps/ctrlProp391.xml"/><Relationship Id="rId6" Type="http://schemas.openxmlformats.org/officeDocument/2006/relationships/ctrlProp" Target="../ctrlProps/ctrlProp392.xml"/><Relationship Id="rId7" Type="http://schemas.openxmlformats.org/officeDocument/2006/relationships/ctrlProp" Target="../ctrlProps/ctrlProp393.xml"/><Relationship Id="rId8" Type="http://schemas.openxmlformats.org/officeDocument/2006/relationships/ctrlProp" Target="../ctrlProps/ctrlProp394.xml"/><Relationship Id="rId9" Type="http://schemas.openxmlformats.org/officeDocument/2006/relationships/ctrlProp" Target="../ctrlProps/ctrlProp395.xml"/><Relationship Id="rId10" Type="http://schemas.openxmlformats.org/officeDocument/2006/relationships/ctrlProp" Target="../ctrlProps/ctrlProp396.xml"/><Relationship Id="rId1" Type="http://schemas.openxmlformats.org/officeDocument/2006/relationships/drawing" Target="../drawings/drawing83.xml"/><Relationship Id="rId2" Type="http://schemas.openxmlformats.org/officeDocument/2006/relationships/vmlDrawing" Target="../drawings/vmlDrawing83.vml"/></Relationships>
</file>

<file path=xl/worksheets/_rels/sheet85.xml.rels><?xml version="1.0" encoding="UTF-8" standalone="yes"?>
<Relationships xmlns="http://schemas.openxmlformats.org/package/2006/relationships"><Relationship Id="rId3" Type="http://schemas.openxmlformats.org/officeDocument/2006/relationships/ctrlProp" Target="../ctrlProps/ctrlProp397.xml"/><Relationship Id="rId4" Type="http://schemas.openxmlformats.org/officeDocument/2006/relationships/ctrlProp" Target="../ctrlProps/ctrlProp398.xml"/><Relationship Id="rId5" Type="http://schemas.openxmlformats.org/officeDocument/2006/relationships/ctrlProp" Target="../ctrlProps/ctrlProp399.xml"/><Relationship Id="rId6" Type="http://schemas.openxmlformats.org/officeDocument/2006/relationships/ctrlProp" Target="../ctrlProps/ctrlProp400.xml"/><Relationship Id="rId7" Type="http://schemas.openxmlformats.org/officeDocument/2006/relationships/ctrlProp" Target="../ctrlProps/ctrlProp401.xml"/><Relationship Id="rId8" Type="http://schemas.openxmlformats.org/officeDocument/2006/relationships/ctrlProp" Target="../ctrlProps/ctrlProp402.xml"/><Relationship Id="rId9" Type="http://schemas.openxmlformats.org/officeDocument/2006/relationships/ctrlProp" Target="../ctrlProps/ctrlProp403.xml"/><Relationship Id="rId10" Type="http://schemas.openxmlformats.org/officeDocument/2006/relationships/ctrlProp" Target="../ctrlProps/ctrlProp404.xml"/><Relationship Id="rId1" Type="http://schemas.openxmlformats.org/officeDocument/2006/relationships/drawing" Target="../drawings/drawing84.xml"/><Relationship Id="rId2" Type="http://schemas.openxmlformats.org/officeDocument/2006/relationships/vmlDrawing" Target="../drawings/vmlDrawing84.vml"/></Relationships>
</file>

<file path=xl/worksheets/_rels/sheet86.xml.rels><?xml version="1.0" encoding="UTF-8" standalone="yes"?>
<Relationships xmlns="http://schemas.openxmlformats.org/package/2006/relationships"><Relationship Id="rId3" Type="http://schemas.openxmlformats.org/officeDocument/2006/relationships/ctrlProp" Target="../ctrlProps/ctrlProp405.xml"/><Relationship Id="rId4" Type="http://schemas.openxmlformats.org/officeDocument/2006/relationships/ctrlProp" Target="../ctrlProps/ctrlProp406.xml"/><Relationship Id="rId5" Type="http://schemas.openxmlformats.org/officeDocument/2006/relationships/ctrlProp" Target="../ctrlProps/ctrlProp407.xml"/><Relationship Id="rId6" Type="http://schemas.openxmlformats.org/officeDocument/2006/relationships/ctrlProp" Target="../ctrlProps/ctrlProp408.xml"/><Relationship Id="rId7" Type="http://schemas.openxmlformats.org/officeDocument/2006/relationships/ctrlProp" Target="../ctrlProps/ctrlProp409.xml"/><Relationship Id="rId8" Type="http://schemas.openxmlformats.org/officeDocument/2006/relationships/ctrlProp" Target="../ctrlProps/ctrlProp410.xml"/><Relationship Id="rId9" Type="http://schemas.openxmlformats.org/officeDocument/2006/relationships/ctrlProp" Target="../ctrlProps/ctrlProp411.xml"/><Relationship Id="rId10" Type="http://schemas.openxmlformats.org/officeDocument/2006/relationships/ctrlProp" Target="../ctrlProps/ctrlProp412.xml"/><Relationship Id="rId1" Type="http://schemas.openxmlformats.org/officeDocument/2006/relationships/drawing" Target="../drawings/drawing85.xml"/><Relationship Id="rId2" Type="http://schemas.openxmlformats.org/officeDocument/2006/relationships/vmlDrawing" Target="../drawings/vmlDrawing85.v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86.vml"/><Relationship Id="rId4" Type="http://schemas.openxmlformats.org/officeDocument/2006/relationships/ctrlProp" Target="../ctrlProps/ctrlProp413.xml"/><Relationship Id="rId5" Type="http://schemas.openxmlformats.org/officeDocument/2006/relationships/ctrlProp" Target="../ctrlProps/ctrlProp414.xml"/><Relationship Id="rId6" Type="http://schemas.openxmlformats.org/officeDocument/2006/relationships/ctrlProp" Target="../ctrlProps/ctrlProp415.xml"/><Relationship Id="rId7" Type="http://schemas.openxmlformats.org/officeDocument/2006/relationships/ctrlProp" Target="../ctrlProps/ctrlProp416.xml"/><Relationship Id="rId8" Type="http://schemas.openxmlformats.org/officeDocument/2006/relationships/ctrlProp" Target="../ctrlProps/ctrlProp417.xml"/><Relationship Id="rId9" Type="http://schemas.openxmlformats.org/officeDocument/2006/relationships/ctrlProp" Target="../ctrlProps/ctrlProp418.xml"/><Relationship Id="rId10" Type="http://schemas.openxmlformats.org/officeDocument/2006/relationships/ctrlProp" Target="../ctrlProps/ctrlProp419.xml"/><Relationship Id="rId11" Type="http://schemas.openxmlformats.org/officeDocument/2006/relationships/ctrlProp" Target="../ctrlProps/ctrlProp420.xml"/><Relationship Id="rId1" Type="http://schemas.openxmlformats.org/officeDocument/2006/relationships/hyperlink" Target="A-to-Z%20Companion%20Spreadsheet.xls" TargetMode="External"/><Relationship Id="rId2" Type="http://schemas.openxmlformats.org/officeDocument/2006/relationships/drawing" Target="../drawings/drawing86.xml"/></Relationships>
</file>

<file path=xl/worksheets/_rels/sheet88.xml.rels><?xml version="1.0" encoding="UTF-8" standalone="yes"?>
<Relationships xmlns="http://schemas.openxmlformats.org/package/2006/relationships"><Relationship Id="rId3" Type="http://schemas.openxmlformats.org/officeDocument/2006/relationships/ctrlProp" Target="../ctrlProps/ctrlProp421.xml"/><Relationship Id="rId4" Type="http://schemas.openxmlformats.org/officeDocument/2006/relationships/ctrlProp" Target="../ctrlProps/ctrlProp422.xml"/><Relationship Id="rId5" Type="http://schemas.openxmlformats.org/officeDocument/2006/relationships/ctrlProp" Target="../ctrlProps/ctrlProp423.xml"/><Relationship Id="rId6" Type="http://schemas.openxmlformats.org/officeDocument/2006/relationships/ctrlProp" Target="../ctrlProps/ctrlProp424.xml"/><Relationship Id="rId7" Type="http://schemas.openxmlformats.org/officeDocument/2006/relationships/ctrlProp" Target="../ctrlProps/ctrlProp425.xml"/><Relationship Id="rId8" Type="http://schemas.openxmlformats.org/officeDocument/2006/relationships/ctrlProp" Target="../ctrlProps/ctrlProp426.xml"/><Relationship Id="rId9" Type="http://schemas.openxmlformats.org/officeDocument/2006/relationships/ctrlProp" Target="../ctrlProps/ctrlProp427.xml"/><Relationship Id="rId10" Type="http://schemas.openxmlformats.org/officeDocument/2006/relationships/ctrlProp" Target="../ctrlProps/ctrlProp428.xml"/><Relationship Id="rId1" Type="http://schemas.openxmlformats.org/officeDocument/2006/relationships/drawing" Target="../drawings/drawing87.xml"/><Relationship Id="rId2" Type="http://schemas.openxmlformats.org/officeDocument/2006/relationships/vmlDrawing" Target="../drawings/vmlDrawing87.vml"/></Relationships>
</file>

<file path=xl/worksheets/_rels/sheet89.xml.rels><?xml version="1.0" encoding="UTF-8" standalone="yes"?>
<Relationships xmlns="http://schemas.openxmlformats.org/package/2006/relationships"><Relationship Id="rId3" Type="http://schemas.openxmlformats.org/officeDocument/2006/relationships/ctrlProp" Target="../ctrlProps/ctrlProp429.xml"/><Relationship Id="rId4" Type="http://schemas.openxmlformats.org/officeDocument/2006/relationships/ctrlProp" Target="../ctrlProps/ctrlProp430.xml"/><Relationship Id="rId5" Type="http://schemas.openxmlformats.org/officeDocument/2006/relationships/ctrlProp" Target="../ctrlProps/ctrlProp431.xml"/><Relationship Id="rId6" Type="http://schemas.openxmlformats.org/officeDocument/2006/relationships/ctrlProp" Target="../ctrlProps/ctrlProp432.xml"/><Relationship Id="rId7" Type="http://schemas.openxmlformats.org/officeDocument/2006/relationships/ctrlProp" Target="../ctrlProps/ctrlProp433.xml"/><Relationship Id="rId8" Type="http://schemas.openxmlformats.org/officeDocument/2006/relationships/ctrlProp" Target="../ctrlProps/ctrlProp434.xml"/><Relationship Id="rId9" Type="http://schemas.openxmlformats.org/officeDocument/2006/relationships/ctrlProp" Target="../ctrlProps/ctrlProp435.xml"/><Relationship Id="rId10" Type="http://schemas.openxmlformats.org/officeDocument/2006/relationships/ctrlProp" Target="../ctrlProps/ctrlProp436.xml"/><Relationship Id="rId1" Type="http://schemas.openxmlformats.org/officeDocument/2006/relationships/drawing" Target="../drawings/drawing88.xml"/><Relationship Id="rId2" Type="http://schemas.openxmlformats.org/officeDocument/2006/relationships/vmlDrawing" Target="../drawings/vmlDrawing88.vml"/></Relationships>
</file>

<file path=xl/worksheets/_rels/sheet90.xml.rels><?xml version="1.0" encoding="UTF-8" standalone="yes"?>
<Relationships xmlns="http://schemas.openxmlformats.org/package/2006/relationships"><Relationship Id="rId3" Type="http://schemas.openxmlformats.org/officeDocument/2006/relationships/ctrlProp" Target="../ctrlProps/ctrlProp437.xml"/><Relationship Id="rId4" Type="http://schemas.openxmlformats.org/officeDocument/2006/relationships/ctrlProp" Target="../ctrlProps/ctrlProp438.xml"/><Relationship Id="rId5" Type="http://schemas.openxmlformats.org/officeDocument/2006/relationships/ctrlProp" Target="../ctrlProps/ctrlProp439.xml"/><Relationship Id="rId6" Type="http://schemas.openxmlformats.org/officeDocument/2006/relationships/ctrlProp" Target="../ctrlProps/ctrlProp440.xml"/><Relationship Id="rId7" Type="http://schemas.openxmlformats.org/officeDocument/2006/relationships/ctrlProp" Target="../ctrlProps/ctrlProp441.xml"/><Relationship Id="rId8" Type="http://schemas.openxmlformats.org/officeDocument/2006/relationships/ctrlProp" Target="../ctrlProps/ctrlProp442.xml"/><Relationship Id="rId9" Type="http://schemas.openxmlformats.org/officeDocument/2006/relationships/ctrlProp" Target="../ctrlProps/ctrlProp443.xml"/><Relationship Id="rId10" Type="http://schemas.openxmlformats.org/officeDocument/2006/relationships/ctrlProp" Target="../ctrlProps/ctrlProp444.xml"/><Relationship Id="rId1" Type="http://schemas.openxmlformats.org/officeDocument/2006/relationships/drawing" Target="../drawings/drawing89.xml"/><Relationship Id="rId2" Type="http://schemas.openxmlformats.org/officeDocument/2006/relationships/vmlDrawing" Target="../drawings/vmlDrawing89.vml"/></Relationships>
</file>

<file path=xl/worksheets/_rels/sheet91.xml.rels><?xml version="1.0" encoding="UTF-8" standalone="yes"?>
<Relationships xmlns="http://schemas.openxmlformats.org/package/2006/relationships"><Relationship Id="rId3" Type="http://schemas.openxmlformats.org/officeDocument/2006/relationships/ctrlProp" Target="../ctrlProps/ctrlProp445.xml"/><Relationship Id="rId4" Type="http://schemas.openxmlformats.org/officeDocument/2006/relationships/ctrlProp" Target="../ctrlProps/ctrlProp446.xml"/><Relationship Id="rId5" Type="http://schemas.openxmlformats.org/officeDocument/2006/relationships/ctrlProp" Target="../ctrlProps/ctrlProp447.xml"/><Relationship Id="rId6" Type="http://schemas.openxmlformats.org/officeDocument/2006/relationships/ctrlProp" Target="../ctrlProps/ctrlProp448.xml"/><Relationship Id="rId7" Type="http://schemas.openxmlformats.org/officeDocument/2006/relationships/ctrlProp" Target="../ctrlProps/ctrlProp449.xml"/><Relationship Id="rId8" Type="http://schemas.openxmlformats.org/officeDocument/2006/relationships/ctrlProp" Target="../ctrlProps/ctrlProp450.xml"/><Relationship Id="rId9" Type="http://schemas.openxmlformats.org/officeDocument/2006/relationships/ctrlProp" Target="../ctrlProps/ctrlProp451.xml"/><Relationship Id="rId10" Type="http://schemas.openxmlformats.org/officeDocument/2006/relationships/ctrlProp" Target="../ctrlProps/ctrlProp452.xml"/><Relationship Id="rId1" Type="http://schemas.openxmlformats.org/officeDocument/2006/relationships/drawing" Target="../drawings/drawing90.xml"/><Relationship Id="rId2" Type="http://schemas.openxmlformats.org/officeDocument/2006/relationships/vmlDrawing" Target="../drawings/vmlDrawing90.vml"/></Relationships>
</file>

<file path=xl/worksheets/_rels/sheet92.xml.rels><?xml version="1.0" encoding="UTF-8" standalone="yes"?>
<Relationships xmlns="http://schemas.openxmlformats.org/package/2006/relationships"><Relationship Id="rId3" Type="http://schemas.openxmlformats.org/officeDocument/2006/relationships/ctrlProp" Target="../ctrlProps/ctrlProp453.xml"/><Relationship Id="rId4" Type="http://schemas.openxmlformats.org/officeDocument/2006/relationships/ctrlProp" Target="../ctrlProps/ctrlProp454.xml"/><Relationship Id="rId5" Type="http://schemas.openxmlformats.org/officeDocument/2006/relationships/ctrlProp" Target="../ctrlProps/ctrlProp455.xml"/><Relationship Id="rId6" Type="http://schemas.openxmlformats.org/officeDocument/2006/relationships/ctrlProp" Target="../ctrlProps/ctrlProp456.xml"/><Relationship Id="rId7" Type="http://schemas.openxmlformats.org/officeDocument/2006/relationships/ctrlProp" Target="../ctrlProps/ctrlProp457.xml"/><Relationship Id="rId8" Type="http://schemas.openxmlformats.org/officeDocument/2006/relationships/ctrlProp" Target="../ctrlProps/ctrlProp458.xml"/><Relationship Id="rId9" Type="http://schemas.openxmlformats.org/officeDocument/2006/relationships/ctrlProp" Target="../ctrlProps/ctrlProp459.xml"/><Relationship Id="rId10" Type="http://schemas.openxmlformats.org/officeDocument/2006/relationships/ctrlProp" Target="../ctrlProps/ctrlProp460.xml"/><Relationship Id="rId1" Type="http://schemas.openxmlformats.org/officeDocument/2006/relationships/drawing" Target="../drawings/drawing91.xml"/><Relationship Id="rId2" Type="http://schemas.openxmlformats.org/officeDocument/2006/relationships/vmlDrawing" Target="../drawings/vmlDrawing91.vml"/></Relationships>
</file>

<file path=xl/worksheets/_rels/sheet93.xml.rels><?xml version="1.0" encoding="UTF-8" standalone="yes"?>
<Relationships xmlns="http://schemas.openxmlformats.org/package/2006/relationships"><Relationship Id="rId3" Type="http://schemas.openxmlformats.org/officeDocument/2006/relationships/ctrlProp" Target="../ctrlProps/ctrlProp461.xml"/><Relationship Id="rId4" Type="http://schemas.openxmlformats.org/officeDocument/2006/relationships/ctrlProp" Target="../ctrlProps/ctrlProp462.xml"/><Relationship Id="rId5" Type="http://schemas.openxmlformats.org/officeDocument/2006/relationships/ctrlProp" Target="../ctrlProps/ctrlProp463.xml"/><Relationship Id="rId6" Type="http://schemas.openxmlformats.org/officeDocument/2006/relationships/ctrlProp" Target="../ctrlProps/ctrlProp464.xml"/><Relationship Id="rId7" Type="http://schemas.openxmlformats.org/officeDocument/2006/relationships/ctrlProp" Target="../ctrlProps/ctrlProp465.xml"/><Relationship Id="rId8" Type="http://schemas.openxmlformats.org/officeDocument/2006/relationships/ctrlProp" Target="../ctrlProps/ctrlProp466.xml"/><Relationship Id="rId9" Type="http://schemas.openxmlformats.org/officeDocument/2006/relationships/ctrlProp" Target="../ctrlProps/ctrlProp467.xml"/><Relationship Id="rId10" Type="http://schemas.openxmlformats.org/officeDocument/2006/relationships/ctrlProp" Target="../ctrlProps/ctrlProp468.xml"/><Relationship Id="rId1" Type="http://schemas.openxmlformats.org/officeDocument/2006/relationships/drawing" Target="../drawings/drawing92.xml"/><Relationship Id="rId2" Type="http://schemas.openxmlformats.org/officeDocument/2006/relationships/vmlDrawing" Target="../drawings/vmlDrawing92.vml"/></Relationships>
</file>

<file path=xl/worksheets/_rels/sheet94.xml.rels><?xml version="1.0" encoding="UTF-8" standalone="yes"?>
<Relationships xmlns="http://schemas.openxmlformats.org/package/2006/relationships"><Relationship Id="rId3" Type="http://schemas.openxmlformats.org/officeDocument/2006/relationships/ctrlProp" Target="../ctrlProps/ctrlProp469.xml"/><Relationship Id="rId4" Type="http://schemas.openxmlformats.org/officeDocument/2006/relationships/ctrlProp" Target="../ctrlProps/ctrlProp470.xml"/><Relationship Id="rId5" Type="http://schemas.openxmlformats.org/officeDocument/2006/relationships/ctrlProp" Target="../ctrlProps/ctrlProp471.xml"/><Relationship Id="rId6" Type="http://schemas.openxmlformats.org/officeDocument/2006/relationships/ctrlProp" Target="../ctrlProps/ctrlProp472.xml"/><Relationship Id="rId7" Type="http://schemas.openxmlformats.org/officeDocument/2006/relationships/ctrlProp" Target="../ctrlProps/ctrlProp473.xml"/><Relationship Id="rId8" Type="http://schemas.openxmlformats.org/officeDocument/2006/relationships/ctrlProp" Target="../ctrlProps/ctrlProp474.xml"/><Relationship Id="rId9" Type="http://schemas.openxmlformats.org/officeDocument/2006/relationships/ctrlProp" Target="../ctrlProps/ctrlProp475.xml"/><Relationship Id="rId10" Type="http://schemas.openxmlformats.org/officeDocument/2006/relationships/ctrlProp" Target="../ctrlProps/ctrlProp476.xml"/><Relationship Id="rId1" Type="http://schemas.openxmlformats.org/officeDocument/2006/relationships/drawing" Target="../drawings/drawing93.xml"/><Relationship Id="rId2" Type="http://schemas.openxmlformats.org/officeDocument/2006/relationships/vmlDrawing" Target="../drawings/vmlDrawing93.vml"/></Relationships>
</file>

<file path=xl/worksheets/_rels/sheet95.xml.rels><?xml version="1.0" encoding="UTF-8" standalone="yes"?>
<Relationships xmlns="http://schemas.openxmlformats.org/package/2006/relationships"><Relationship Id="rId3" Type="http://schemas.openxmlformats.org/officeDocument/2006/relationships/ctrlProp" Target="../ctrlProps/ctrlProp477.xml"/><Relationship Id="rId4" Type="http://schemas.openxmlformats.org/officeDocument/2006/relationships/ctrlProp" Target="../ctrlProps/ctrlProp478.xml"/><Relationship Id="rId5" Type="http://schemas.openxmlformats.org/officeDocument/2006/relationships/ctrlProp" Target="../ctrlProps/ctrlProp479.xml"/><Relationship Id="rId6" Type="http://schemas.openxmlformats.org/officeDocument/2006/relationships/ctrlProp" Target="../ctrlProps/ctrlProp480.xml"/><Relationship Id="rId7" Type="http://schemas.openxmlformats.org/officeDocument/2006/relationships/ctrlProp" Target="../ctrlProps/ctrlProp481.xml"/><Relationship Id="rId8" Type="http://schemas.openxmlformats.org/officeDocument/2006/relationships/ctrlProp" Target="../ctrlProps/ctrlProp482.xml"/><Relationship Id="rId9" Type="http://schemas.openxmlformats.org/officeDocument/2006/relationships/ctrlProp" Target="../ctrlProps/ctrlProp483.xml"/><Relationship Id="rId10" Type="http://schemas.openxmlformats.org/officeDocument/2006/relationships/ctrlProp" Target="../ctrlProps/ctrlProp484.xml"/><Relationship Id="rId1" Type="http://schemas.openxmlformats.org/officeDocument/2006/relationships/drawing" Target="../drawings/drawing94.xml"/><Relationship Id="rId2" Type="http://schemas.openxmlformats.org/officeDocument/2006/relationships/vmlDrawing" Target="../drawings/vmlDrawing94.vml"/></Relationships>
</file>

<file path=xl/worksheets/_rels/sheet96.xml.rels><?xml version="1.0" encoding="UTF-8" standalone="yes"?>
<Relationships xmlns="http://schemas.openxmlformats.org/package/2006/relationships"><Relationship Id="rId3" Type="http://schemas.openxmlformats.org/officeDocument/2006/relationships/ctrlProp" Target="../ctrlProps/ctrlProp485.xml"/><Relationship Id="rId4" Type="http://schemas.openxmlformats.org/officeDocument/2006/relationships/ctrlProp" Target="../ctrlProps/ctrlProp486.xml"/><Relationship Id="rId5" Type="http://schemas.openxmlformats.org/officeDocument/2006/relationships/ctrlProp" Target="../ctrlProps/ctrlProp487.xml"/><Relationship Id="rId6" Type="http://schemas.openxmlformats.org/officeDocument/2006/relationships/ctrlProp" Target="../ctrlProps/ctrlProp488.xml"/><Relationship Id="rId7" Type="http://schemas.openxmlformats.org/officeDocument/2006/relationships/ctrlProp" Target="../ctrlProps/ctrlProp489.xml"/><Relationship Id="rId8" Type="http://schemas.openxmlformats.org/officeDocument/2006/relationships/ctrlProp" Target="../ctrlProps/ctrlProp490.xml"/><Relationship Id="rId9" Type="http://schemas.openxmlformats.org/officeDocument/2006/relationships/ctrlProp" Target="../ctrlProps/ctrlProp491.xml"/><Relationship Id="rId10" Type="http://schemas.openxmlformats.org/officeDocument/2006/relationships/ctrlProp" Target="../ctrlProps/ctrlProp492.xml"/><Relationship Id="rId1" Type="http://schemas.openxmlformats.org/officeDocument/2006/relationships/drawing" Target="../drawings/drawing95.xml"/><Relationship Id="rId2" Type="http://schemas.openxmlformats.org/officeDocument/2006/relationships/vmlDrawing" Target="../drawings/vmlDrawing95.vml"/></Relationships>
</file>

<file path=xl/worksheets/_rels/sheet97.xml.rels><?xml version="1.0" encoding="UTF-8" standalone="yes"?>
<Relationships xmlns="http://schemas.openxmlformats.org/package/2006/relationships"><Relationship Id="rId3" Type="http://schemas.openxmlformats.org/officeDocument/2006/relationships/ctrlProp" Target="../ctrlProps/ctrlProp493.xml"/><Relationship Id="rId4" Type="http://schemas.openxmlformats.org/officeDocument/2006/relationships/ctrlProp" Target="../ctrlProps/ctrlProp494.xml"/><Relationship Id="rId5" Type="http://schemas.openxmlformats.org/officeDocument/2006/relationships/ctrlProp" Target="../ctrlProps/ctrlProp495.xml"/><Relationship Id="rId6" Type="http://schemas.openxmlformats.org/officeDocument/2006/relationships/ctrlProp" Target="../ctrlProps/ctrlProp496.xml"/><Relationship Id="rId7" Type="http://schemas.openxmlformats.org/officeDocument/2006/relationships/ctrlProp" Target="../ctrlProps/ctrlProp497.xml"/><Relationship Id="rId8" Type="http://schemas.openxmlformats.org/officeDocument/2006/relationships/ctrlProp" Target="../ctrlProps/ctrlProp498.xml"/><Relationship Id="rId9" Type="http://schemas.openxmlformats.org/officeDocument/2006/relationships/ctrlProp" Target="../ctrlProps/ctrlProp499.xml"/><Relationship Id="rId10" Type="http://schemas.openxmlformats.org/officeDocument/2006/relationships/ctrlProp" Target="../ctrlProps/ctrlProp500.xml"/><Relationship Id="rId1" Type="http://schemas.openxmlformats.org/officeDocument/2006/relationships/drawing" Target="../drawings/drawing96.xml"/><Relationship Id="rId2" Type="http://schemas.openxmlformats.org/officeDocument/2006/relationships/vmlDrawing" Target="../drawings/vmlDrawing96.vml"/></Relationships>
</file>

<file path=xl/worksheets/_rels/sheet98.xml.rels><?xml version="1.0" encoding="UTF-8" standalone="yes"?>
<Relationships xmlns="http://schemas.openxmlformats.org/package/2006/relationships"><Relationship Id="rId3" Type="http://schemas.openxmlformats.org/officeDocument/2006/relationships/ctrlProp" Target="../ctrlProps/ctrlProp501.xml"/><Relationship Id="rId4" Type="http://schemas.openxmlformats.org/officeDocument/2006/relationships/ctrlProp" Target="../ctrlProps/ctrlProp502.xml"/><Relationship Id="rId5" Type="http://schemas.openxmlformats.org/officeDocument/2006/relationships/ctrlProp" Target="../ctrlProps/ctrlProp503.xml"/><Relationship Id="rId6" Type="http://schemas.openxmlformats.org/officeDocument/2006/relationships/ctrlProp" Target="../ctrlProps/ctrlProp504.xml"/><Relationship Id="rId7" Type="http://schemas.openxmlformats.org/officeDocument/2006/relationships/ctrlProp" Target="../ctrlProps/ctrlProp505.xml"/><Relationship Id="rId8" Type="http://schemas.openxmlformats.org/officeDocument/2006/relationships/ctrlProp" Target="../ctrlProps/ctrlProp506.xml"/><Relationship Id="rId9" Type="http://schemas.openxmlformats.org/officeDocument/2006/relationships/ctrlProp" Target="../ctrlProps/ctrlProp507.xml"/><Relationship Id="rId10" Type="http://schemas.openxmlformats.org/officeDocument/2006/relationships/ctrlProp" Target="../ctrlProps/ctrlProp508.xml"/><Relationship Id="rId1" Type="http://schemas.openxmlformats.org/officeDocument/2006/relationships/drawing" Target="../drawings/drawing97.xml"/><Relationship Id="rId2" Type="http://schemas.openxmlformats.org/officeDocument/2006/relationships/vmlDrawing" Target="../drawings/vmlDrawing97.vml"/></Relationships>
</file>

<file path=xl/worksheets/_rels/sheet99.xml.rels><?xml version="1.0" encoding="UTF-8" standalone="yes"?>
<Relationships xmlns="http://schemas.openxmlformats.org/package/2006/relationships"><Relationship Id="rId3" Type="http://schemas.openxmlformats.org/officeDocument/2006/relationships/ctrlProp" Target="../ctrlProps/ctrlProp509.xml"/><Relationship Id="rId4" Type="http://schemas.openxmlformats.org/officeDocument/2006/relationships/ctrlProp" Target="../ctrlProps/ctrlProp510.xml"/><Relationship Id="rId5" Type="http://schemas.openxmlformats.org/officeDocument/2006/relationships/ctrlProp" Target="../ctrlProps/ctrlProp511.xml"/><Relationship Id="rId6" Type="http://schemas.openxmlformats.org/officeDocument/2006/relationships/ctrlProp" Target="../ctrlProps/ctrlProp512.xml"/><Relationship Id="rId7" Type="http://schemas.openxmlformats.org/officeDocument/2006/relationships/ctrlProp" Target="../ctrlProps/ctrlProp513.xml"/><Relationship Id="rId8" Type="http://schemas.openxmlformats.org/officeDocument/2006/relationships/ctrlProp" Target="../ctrlProps/ctrlProp514.xml"/><Relationship Id="rId9" Type="http://schemas.openxmlformats.org/officeDocument/2006/relationships/ctrlProp" Target="../ctrlProps/ctrlProp515.xml"/><Relationship Id="rId10" Type="http://schemas.openxmlformats.org/officeDocument/2006/relationships/ctrlProp" Target="../ctrlProps/ctrlProp516.xml"/><Relationship Id="rId1" Type="http://schemas.openxmlformats.org/officeDocument/2006/relationships/drawing" Target="../drawings/drawing98.xml"/><Relationship Id="rId2" Type="http://schemas.openxmlformats.org/officeDocument/2006/relationships/vmlDrawing" Target="../drawings/vmlDrawing98.vml"/></Relationships>
</file>

<file path=xl/worksheets/_rels/sheet100.xml.rels><?xml version="1.0" encoding="UTF-8" standalone="yes"?>
<Relationships xmlns="http://schemas.openxmlformats.org/package/2006/relationships"><Relationship Id="rId3" Type="http://schemas.openxmlformats.org/officeDocument/2006/relationships/ctrlProp" Target="../ctrlProps/ctrlProp517.xml"/><Relationship Id="rId4" Type="http://schemas.openxmlformats.org/officeDocument/2006/relationships/ctrlProp" Target="../ctrlProps/ctrlProp518.xml"/><Relationship Id="rId5" Type="http://schemas.openxmlformats.org/officeDocument/2006/relationships/ctrlProp" Target="../ctrlProps/ctrlProp519.xml"/><Relationship Id="rId6" Type="http://schemas.openxmlformats.org/officeDocument/2006/relationships/ctrlProp" Target="../ctrlProps/ctrlProp520.xml"/><Relationship Id="rId7" Type="http://schemas.openxmlformats.org/officeDocument/2006/relationships/ctrlProp" Target="../ctrlProps/ctrlProp521.xml"/><Relationship Id="rId8" Type="http://schemas.openxmlformats.org/officeDocument/2006/relationships/ctrlProp" Target="../ctrlProps/ctrlProp522.xml"/><Relationship Id="rId9" Type="http://schemas.openxmlformats.org/officeDocument/2006/relationships/ctrlProp" Target="../ctrlProps/ctrlProp523.xml"/><Relationship Id="rId10" Type="http://schemas.openxmlformats.org/officeDocument/2006/relationships/ctrlProp" Target="../ctrlProps/ctrlProp524.xml"/><Relationship Id="rId1" Type="http://schemas.openxmlformats.org/officeDocument/2006/relationships/drawing" Target="../drawings/drawing99.xml"/><Relationship Id="rId2" Type="http://schemas.openxmlformats.org/officeDocument/2006/relationships/vmlDrawing" Target="../drawings/vmlDrawing99.vml"/></Relationships>
</file>

<file path=xl/worksheets/_rels/sheet101.xml.rels><?xml version="1.0" encoding="UTF-8" standalone="yes"?>
<Relationships xmlns="http://schemas.openxmlformats.org/package/2006/relationships"><Relationship Id="rId3" Type="http://schemas.openxmlformats.org/officeDocument/2006/relationships/ctrlProp" Target="../ctrlProps/ctrlProp525.xml"/><Relationship Id="rId4" Type="http://schemas.openxmlformats.org/officeDocument/2006/relationships/ctrlProp" Target="../ctrlProps/ctrlProp526.xml"/><Relationship Id="rId5" Type="http://schemas.openxmlformats.org/officeDocument/2006/relationships/ctrlProp" Target="../ctrlProps/ctrlProp527.xml"/><Relationship Id="rId6" Type="http://schemas.openxmlformats.org/officeDocument/2006/relationships/ctrlProp" Target="../ctrlProps/ctrlProp528.xml"/><Relationship Id="rId7" Type="http://schemas.openxmlformats.org/officeDocument/2006/relationships/ctrlProp" Target="../ctrlProps/ctrlProp529.xml"/><Relationship Id="rId8" Type="http://schemas.openxmlformats.org/officeDocument/2006/relationships/ctrlProp" Target="../ctrlProps/ctrlProp530.xml"/><Relationship Id="rId9" Type="http://schemas.openxmlformats.org/officeDocument/2006/relationships/ctrlProp" Target="../ctrlProps/ctrlProp531.xml"/><Relationship Id="rId10" Type="http://schemas.openxmlformats.org/officeDocument/2006/relationships/ctrlProp" Target="../ctrlProps/ctrlProp532.xml"/><Relationship Id="rId1" Type="http://schemas.openxmlformats.org/officeDocument/2006/relationships/drawing" Target="../drawings/drawing100.xml"/><Relationship Id="rId2" Type="http://schemas.openxmlformats.org/officeDocument/2006/relationships/vmlDrawing" Target="../drawings/vmlDrawing100.vml"/></Relationships>
</file>

<file path=xl/worksheets/_rels/sheet102.xml.rels><?xml version="1.0" encoding="UTF-8" standalone="yes"?>
<Relationships xmlns="http://schemas.openxmlformats.org/package/2006/relationships"><Relationship Id="rId3" Type="http://schemas.openxmlformats.org/officeDocument/2006/relationships/ctrlProp" Target="../ctrlProps/ctrlProp533.xml"/><Relationship Id="rId4" Type="http://schemas.openxmlformats.org/officeDocument/2006/relationships/ctrlProp" Target="../ctrlProps/ctrlProp534.xml"/><Relationship Id="rId5" Type="http://schemas.openxmlformats.org/officeDocument/2006/relationships/ctrlProp" Target="../ctrlProps/ctrlProp535.xml"/><Relationship Id="rId6" Type="http://schemas.openxmlformats.org/officeDocument/2006/relationships/ctrlProp" Target="../ctrlProps/ctrlProp536.xml"/><Relationship Id="rId7" Type="http://schemas.openxmlformats.org/officeDocument/2006/relationships/ctrlProp" Target="../ctrlProps/ctrlProp537.xml"/><Relationship Id="rId8" Type="http://schemas.openxmlformats.org/officeDocument/2006/relationships/ctrlProp" Target="../ctrlProps/ctrlProp538.xml"/><Relationship Id="rId1" Type="http://schemas.openxmlformats.org/officeDocument/2006/relationships/drawing" Target="../drawings/drawing101.xml"/><Relationship Id="rId2" Type="http://schemas.openxmlformats.org/officeDocument/2006/relationships/vmlDrawing" Target="../drawings/vmlDrawing10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B1:B122"/>
  <sheetViews>
    <sheetView tabSelected="1" workbookViewId="0"/>
  </sheetViews>
  <sheetFormatPr baseColWidth="10" defaultColWidth="8.83203125" defaultRowHeight="12" x14ac:dyDescent="0"/>
  <cols>
    <col min="1" max="1" width="2.6640625" customWidth="1"/>
    <col min="2" max="2" width="77.83203125" customWidth="1"/>
  </cols>
  <sheetData>
    <row r="1" spans="2:2" ht="13.5" customHeight="1" thickBot="1"/>
    <row r="2" spans="2:2">
      <c r="B2" s="300"/>
    </row>
    <row r="3" spans="2:2" ht="28">
      <c r="B3" s="301" t="s">
        <v>395</v>
      </c>
    </row>
    <row r="4" spans="2:2" ht="15">
      <c r="B4" s="324" t="s">
        <v>446</v>
      </c>
    </row>
    <row r="5" spans="2:2">
      <c r="B5" s="302" t="s">
        <v>1007</v>
      </c>
    </row>
    <row r="6" spans="2:2">
      <c r="B6" s="303"/>
    </row>
    <row r="7" spans="2:2" ht="30">
      <c r="B7" s="304" t="s">
        <v>1218</v>
      </c>
    </row>
    <row r="8" spans="2:2">
      <c r="B8" s="305"/>
    </row>
    <row r="9" spans="2:2" ht="30">
      <c r="B9" s="306" t="s">
        <v>1219</v>
      </c>
    </row>
    <row r="10" spans="2:2" ht="15">
      <c r="B10" s="307" t="s">
        <v>1220</v>
      </c>
    </row>
    <row r="11" spans="2:2" ht="15">
      <c r="B11" s="307"/>
    </row>
    <row r="12" spans="2:2" ht="15">
      <c r="B12" s="308" t="s">
        <v>1221</v>
      </c>
    </row>
    <row r="13" spans="2:2" ht="15">
      <c r="B13" s="307" t="s">
        <v>1222</v>
      </c>
    </row>
    <row r="14" spans="2:2">
      <c r="B14" s="303"/>
    </row>
    <row r="15" spans="2:2">
      <c r="B15" s="309" t="s">
        <v>1007</v>
      </c>
    </row>
    <row r="16" spans="2:2" ht="25" thickBot="1">
      <c r="B16" s="310" t="s">
        <v>1223</v>
      </c>
    </row>
    <row r="19" spans="2:2" ht="15">
      <c r="B19" s="311" t="s">
        <v>1224</v>
      </c>
    </row>
    <row r="20" spans="2:2">
      <c r="B20" s="312" t="s">
        <v>1225</v>
      </c>
    </row>
    <row r="21" spans="2:2">
      <c r="B21" s="312" t="s">
        <v>1094</v>
      </c>
    </row>
    <row r="22" spans="2:2">
      <c r="B22" s="312" t="s">
        <v>1226</v>
      </c>
    </row>
    <row r="23" spans="2:2">
      <c r="B23" s="312" t="s">
        <v>733</v>
      </c>
    </row>
    <row r="24" spans="2:2">
      <c r="B24" s="312" t="s">
        <v>1102</v>
      </c>
    </row>
    <row r="25" spans="2:2">
      <c r="B25" s="312" t="s">
        <v>1227</v>
      </c>
    </row>
    <row r="26" spans="2:2">
      <c r="B26" s="312" t="s">
        <v>1093</v>
      </c>
    </row>
    <row r="27" spans="2:2">
      <c r="B27" s="312" t="s">
        <v>636</v>
      </c>
    </row>
    <row r="28" spans="2:2">
      <c r="B28" s="312" t="s">
        <v>780</v>
      </c>
    </row>
    <row r="29" spans="2:2">
      <c r="B29" s="312" t="s">
        <v>638</v>
      </c>
    </row>
    <row r="30" spans="2:2">
      <c r="B30" s="312" t="s">
        <v>467</v>
      </c>
    </row>
    <row r="31" spans="2:2">
      <c r="B31" s="312" t="s">
        <v>1110</v>
      </c>
    </row>
    <row r="32" spans="2:2">
      <c r="B32" s="312" t="s">
        <v>1230</v>
      </c>
    </row>
    <row r="33" spans="2:2">
      <c r="B33" s="312" t="s">
        <v>1114</v>
      </c>
    </row>
    <row r="34" spans="2:2">
      <c r="B34" s="312" t="s">
        <v>1115</v>
      </c>
    </row>
    <row r="35" spans="2:2">
      <c r="B35" s="312" t="s">
        <v>1116</v>
      </c>
    </row>
    <row r="36" spans="2:2">
      <c r="B36" s="312" t="s">
        <v>442</v>
      </c>
    </row>
    <row r="37" spans="2:2">
      <c r="B37" s="312" t="s">
        <v>1231</v>
      </c>
    </row>
    <row r="38" spans="2:2">
      <c r="B38" s="312" t="s">
        <v>771</v>
      </c>
    </row>
    <row r="39" spans="2:2">
      <c r="B39" s="312" t="s">
        <v>1117</v>
      </c>
    </row>
    <row r="40" spans="2:2">
      <c r="B40" s="312" t="s">
        <v>797</v>
      </c>
    </row>
    <row r="41" spans="2:2">
      <c r="B41" s="312" t="s">
        <v>1118</v>
      </c>
    </row>
    <row r="42" spans="2:2">
      <c r="B42" s="312" t="s">
        <v>1232</v>
      </c>
    </row>
    <row r="43" spans="2:2">
      <c r="B43" s="312" t="s">
        <v>449</v>
      </c>
    </row>
    <row r="44" spans="2:2">
      <c r="B44" s="312" t="s">
        <v>1120</v>
      </c>
    </row>
    <row r="45" spans="2:2">
      <c r="B45" s="312" t="s">
        <v>466</v>
      </c>
    </row>
    <row r="46" spans="2:2">
      <c r="B46" s="312" t="s">
        <v>1204</v>
      </c>
    </row>
    <row r="47" spans="2:2">
      <c r="B47" s="312" t="s">
        <v>1233</v>
      </c>
    </row>
    <row r="48" spans="2:2">
      <c r="B48" s="312" t="s">
        <v>1217</v>
      </c>
    </row>
    <row r="49" spans="2:2">
      <c r="B49" s="312" t="s">
        <v>1323</v>
      </c>
    </row>
    <row r="50" spans="2:2">
      <c r="B50" s="312" t="s">
        <v>378</v>
      </c>
    </row>
    <row r="51" spans="2:2">
      <c r="B51" s="312" t="s">
        <v>380</v>
      </c>
    </row>
    <row r="52" spans="2:2">
      <c r="B52" s="312" t="s">
        <v>443</v>
      </c>
    </row>
    <row r="53" spans="2:2">
      <c r="B53" s="312" t="s">
        <v>802</v>
      </c>
    </row>
    <row r="54" spans="2:2">
      <c r="B54" s="312" t="s">
        <v>770</v>
      </c>
    </row>
    <row r="55" spans="2:2">
      <c r="B55" s="312" t="s">
        <v>805</v>
      </c>
    </row>
    <row r="56" spans="2:2">
      <c r="B56" s="312" t="s">
        <v>807</v>
      </c>
    </row>
    <row r="57" spans="2:2">
      <c r="B57" s="312" t="s">
        <v>242</v>
      </c>
    </row>
    <row r="58" spans="2:2">
      <c r="B58" s="312" t="s">
        <v>1234</v>
      </c>
    </row>
    <row r="59" spans="2:2">
      <c r="B59" s="312" t="s">
        <v>243</v>
      </c>
    </row>
    <row r="60" spans="2:2">
      <c r="B60" s="312" t="s">
        <v>246</v>
      </c>
    </row>
    <row r="61" spans="2:2">
      <c r="B61" s="312" t="s">
        <v>811</v>
      </c>
    </row>
    <row r="62" spans="2:2">
      <c r="B62" s="312" t="s">
        <v>1253</v>
      </c>
    </row>
    <row r="63" spans="2:2">
      <c r="B63" s="312" t="s">
        <v>477</v>
      </c>
    </row>
    <row r="64" spans="2:2">
      <c r="B64" s="312" t="s">
        <v>476</v>
      </c>
    </row>
    <row r="65" spans="2:2">
      <c r="B65" s="312" t="s">
        <v>140</v>
      </c>
    </row>
    <row r="66" spans="2:2">
      <c r="B66" s="312" t="s">
        <v>479</v>
      </c>
    </row>
    <row r="67" spans="2:2">
      <c r="B67" s="312" t="s">
        <v>132</v>
      </c>
    </row>
    <row r="68" spans="2:2">
      <c r="B68" s="312" t="s">
        <v>480</v>
      </c>
    </row>
    <row r="69" spans="2:2">
      <c r="B69" s="312" t="s">
        <v>478</v>
      </c>
    </row>
    <row r="70" spans="2:2">
      <c r="B70" s="312" t="s">
        <v>813</v>
      </c>
    </row>
    <row r="71" spans="2:2">
      <c r="B71" s="312" t="s">
        <v>814</v>
      </c>
    </row>
    <row r="72" spans="2:2">
      <c r="B72" s="312" t="s">
        <v>1256</v>
      </c>
    </row>
    <row r="73" spans="2:2">
      <c r="B73" s="312" t="s">
        <v>1235</v>
      </c>
    </row>
    <row r="74" spans="2:2">
      <c r="B74" s="312" t="s">
        <v>1259</v>
      </c>
    </row>
    <row r="75" spans="2:2">
      <c r="B75" s="312" t="s">
        <v>1261</v>
      </c>
    </row>
    <row r="76" spans="2:2">
      <c r="B76" s="312" t="s">
        <v>817</v>
      </c>
    </row>
    <row r="77" spans="2:2">
      <c r="B77" s="312" t="s">
        <v>769</v>
      </c>
    </row>
    <row r="78" spans="2:2">
      <c r="B78" s="312" t="s">
        <v>1236</v>
      </c>
    </row>
    <row r="79" spans="2:2">
      <c r="B79" s="312" t="s">
        <v>1324</v>
      </c>
    </row>
    <row r="80" spans="2:2">
      <c r="B80" s="312" t="s">
        <v>1263</v>
      </c>
    </row>
    <row r="81" spans="2:2">
      <c r="B81" s="312" t="s">
        <v>1048</v>
      </c>
    </row>
    <row r="82" spans="2:2">
      <c r="B82" s="312" t="s">
        <v>821</v>
      </c>
    </row>
    <row r="83" spans="2:2">
      <c r="B83" s="312" t="s">
        <v>765</v>
      </c>
    </row>
    <row r="84" spans="2:2">
      <c r="B84" s="312" t="s">
        <v>825</v>
      </c>
    </row>
    <row r="85" spans="2:2">
      <c r="B85" s="312" t="s">
        <v>827</v>
      </c>
    </row>
    <row r="86" spans="2:2">
      <c r="B86" s="312" t="s">
        <v>607</v>
      </c>
    </row>
    <row r="87" spans="2:2">
      <c r="B87" s="312" t="s">
        <v>608</v>
      </c>
    </row>
    <row r="88" spans="2:2">
      <c r="B88" s="312" t="s">
        <v>609</v>
      </c>
    </row>
    <row r="89" spans="2:2">
      <c r="B89" s="312" t="s">
        <v>384</v>
      </c>
    </row>
    <row r="90" spans="2:2">
      <c r="B90" s="312" t="s">
        <v>385</v>
      </c>
    </row>
    <row r="91" spans="2:2">
      <c r="B91" s="312" t="s">
        <v>614</v>
      </c>
    </row>
    <row r="92" spans="2:2">
      <c r="B92" s="312" t="s">
        <v>841</v>
      </c>
    </row>
    <row r="93" spans="2:2">
      <c r="B93" s="312" t="s">
        <v>110</v>
      </c>
    </row>
    <row r="94" spans="2:2">
      <c r="B94" s="312" t="s">
        <v>447</v>
      </c>
    </row>
    <row r="95" spans="2:2">
      <c r="B95" s="312" t="s">
        <v>252</v>
      </c>
    </row>
    <row r="96" spans="2:2">
      <c r="B96" s="312" t="s">
        <v>136</v>
      </c>
    </row>
    <row r="97" spans="2:2">
      <c r="B97" s="312" t="s">
        <v>386</v>
      </c>
    </row>
    <row r="98" spans="2:2">
      <c r="B98" s="312" t="s">
        <v>135</v>
      </c>
    </row>
    <row r="99" spans="2:2">
      <c r="B99" s="312" t="s">
        <v>833</v>
      </c>
    </row>
    <row r="100" spans="2:2">
      <c r="B100" s="312" t="s">
        <v>832</v>
      </c>
    </row>
    <row r="101" spans="2:2">
      <c r="B101" s="312" t="s">
        <v>831</v>
      </c>
    </row>
    <row r="102" spans="2:2">
      <c r="B102" s="312" t="s">
        <v>1064</v>
      </c>
    </row>
    <row r="103" spans="2:2">
      <c r="B103" s="312" t="s">
        <v>425</v>
      </c>
    </row>
    <row r="104" spans="2:2">
      <c r="B104" s="312" t="s">
        <v>426</v>
      </c>
    </row>
    <row r="105" spans="2:2">
      <c r="B105" s="312" t="s">
        <v>138</v>
      </c>
    </row>
    <row r="106" spans="2:2">
      <c r="B106" s="312" t="s">
        <v>732</v>
      </c>
    </row>
    <row r="107" spans="2:2">
      <c r="B107" s="312" t="s">
        <v>111</v>
      </c>
    </row>
    <row r="108" spans="2:2">
      <c r="B108" s="312" t="s">
        <v>1122</v>
      </c>
    </row>
    <row r="109" spans="2:2">
      <c r="B109" s="312" t="s">
        <v>436</v>
      </c>
    </row>
    <row r="110" spans="2:2">
      <c r="B110" s="312" t="s">
        <v>768</v>
      </c>
    </row>
    <row r="111" spans="2:2">
      <c r="B111" s="312" t="s">
        <v>249</v>
      </c>
    </row>
    <row r="112" spans="2:2">
      <c r="B112" s="312" t="s">
        <v>391</v>
      </c>
    </row>
    <row r="113" spans="2:2">
      <c r="B113" s="312" t="s">
        <v>387</v>
      </c>
    </row>
    <row r="114" spans="2:2">
      <c r="B114" s="312" t="s">
        <v>439</v>
      </c>
    </row>
    <row r="115" spans="2:2">
      <c r="B115" s="312" t="s">
        <v>791</v>
      </c>
    </row>
    <row r="116" spans="2:2">
      <c r="B116" s="312" t="s">
        <v>788</v>
      </c>
    </row>
    <row r="117" spans="2:2">
      <c r="B117" s="312" t="s">
        <v>1049</v>
      </c>
    </row>
    <row r="118" spans="2:2">
      <c r="B118" s="312" t="s">
        <v>784</v>
      </c>
    </row>
    <row r="119" spans="2:2">
      <c r="B119" s="312" t="s">
        <v>628</v>
      </c>
    </row>
    <row r="120" spans="2:2">
      <c r="B120" s="312" t="s">
        <v>782</v>
      </c>
    </row>
    <row r="121" spans="2:2">
      <c r="B121" s="312" t="s">
        <v>388</v>
      </c>
    </row>
    <row r="122" spans="2:2">
      <c r="B122" s="312" t="s">
        <v>389</v>
      </c>
    </row>
  </sheetData>
  <phoneticPr fontId="0" type="noConversion"/>
  <hyperlinks>
    <hyperlink ref="B10" r:id="rId1"/>
    <hyperlink ref="B13" r:id="rId2"/>
    <hyperlink ref="B21" r:id="rId3" location="'Absolute Breadth Index'!A1"/>
    <hyperlink ref="B20" r:id="rId4" location="Overview!A1"/>
    <hyperlink ref="B22" r:id="rId5" location="'Accumulation Distribution'!A1"/>
    <hyperlink ref="B23" r:id="rId6" location="'Accumulation Swing Index'!A1"/>
    <hyperlink ref="B24" r:id="rId7" location="'AD Line'!A1"/>
    <hyperlink ref="B25" r:id="rId8" location="'AD Ratio'!A1"/>
    <hyperlink ref="B26" r:id="rId9" location="'Advancing - Declining Issues'!A1"/>
    <hyperlink ref="B27" r:id="rId10" location="'Arms Index'!A1"/>
    <hyperlink ref="B28" r:id="rId11" location="'Aroon'!A1"/>
    <hyperlink ref="B29:B122" r:id="rId12" location="'Advancing - Declining Issues'!A1" display="atozbook.xls - 'Advancing - Declining Issues'!A1"/>
    <hyperlink ref="B29" r:id="rId13" location="'Average True Range'!A1"/>
    <hyperlink ref="B30" r:id="rId14" location="'Bollinger Bands'!A1"/>
    <hyperlink ref="B31" r:id="rId15" location="'Breadth Thrust'!A1"/>
    <hyperlink ref="B32" r:id="rId16" location="'Bull|Bear Ratio'!A1"/>
    <hyperlink ref="B33" r:id="rId17" location="'Chaikin Money Flow'!A1"/>
    <hyperlink ref="B34" r:id="rId18" location="'Chaikin Oscillator'!A1"/>
    <hyperlink ref="B35" r:id="rId19" location="'Chande Momentum Oscillator'!A1"/>
    <hyperlink ref="B36" r:id="rId20" location="'Commodity Channel Index'!A1"/>
    <hyperlink ref="B37" r:id="rId21" location="'Commodity Selection Index'!A1"/>
    <hyperlink ref="B38" r:id="rId22" location="'Correlation'!A1"/>
    <hyperlink ref="B39" r:id="rId23" location="'Cumulative Volume Index'!A1"/>
    <hyperlink ref="B40" r:id="rId24" location="'DEMA and TEMA'!A1"/>
    <hyperlink ref="B41" r:id="rId25" location="'Detrended Price Oscillator'!A1"/>
    <hyperlink ref="B42" r:id="rId26" location="'Directional Movement Indicators'!A1"/>
    <hyperlink ref="B43" r:id="rId27" location="'Dynamic Momentum Index'!A1"/>
    <hyperlink ref="B44" r:id="rId28" location="'Ease of Movement'!A1"/>
    <hyperlink ref="B45" r:id="rId29" location="'Envelopes'!A1"/>
    <hyperlink ref="B46" r:id="rId30" location="'Forecast Oscillator'!A1"/>
    <hyperlink ref="B47" r:id="rId31" location="'Inertia'!A1"/>
    <hyperlink ref="B48" r:id="rId32" location="'Intraday Momentum Index'!A1"/>
    <hyperlink ref="B49" r:id="rId33" location="'Klinger Oscillator'!A1"/>
    <hyperlink ref="B50" r:id="rId34" location="'Large Block Ratio'!A1"/>
    <hyperlink ref="B51" r:id="rId35" location="'Linear Regression Indicator'!A1"/>
    <hyperlink ref="B52" r:id="rId36" location="'Linear Regression Trendline'!A1"/>
    <hyperlink ref="B53" r:id="rId37" location="'Linear Regression Slope'!A1"/>
    <hyperlink ref="B54" r:id="rId38" location="'MACD'!A1"/>
    <hyperlink ref="B55" r:id="rId39" location="'Market Facilitation Index'!A1"/>
    <hyperlink ref="B56" r:id="rId40" location="'Mass Index'!A1"/>
    <hyperlink ref="B57" r:id="rId41" location="'McClellan Oscillator'!A1"/>
    <hyperlink ref="B58" r:id="rId42" location="'McClellan Summation'!A1"/>
    <hyperlink ref="B59" r:id="rId43" location="'Median Price'!A1"/>
    <hyperlink ref="B60" r:id="rId44" location="'Member Short Ratio'!A1"/>
    <hyperlink ref="B61" r:id="rId45" location="'Momentum'!A1"/>
    <hyperlink ref="B62" r:id="rId46" location="'Money Flow Index'!A1"/>
    <hyperlink ref="B65" location="'Moving Average - Time Series'!A1" display="Moving Average - Time Series"/>
    <hyperlink ref="B70" r:id="rId47" location="'Negative Volume Index'!A1"/>
    <hyperlink ref="B71" r:id="rId48" location="'New Highs - Lows Cumulative'!A1"/>
    <hyperlink ref="B72" r:id="rId49" location="'New Highs - New Lows'!A1"/>
    <hyperlink ref="B73" r:id="rId50" location="'New Highs | New Lows Ratio'!A1"/>
    <hyperlink ref="B74" r:id="rId51" location="'Odd Lot Balance Index'!A1"/>
    <hyperlink ref="B75" r:id="rId52" location="'Odd Lot Short Ratio'!A1"/>
    <hyperlink ref="B76" r:id="rId53" location="'On Balance Volume'!A1"/>
    <hyperlink ref="B77" r:id="rId54" location="'Open-10 TRIN'!A1"/>
    <hyperlink ref="B78" r:id="rId55" location="'Overbought|Oversold'!A1"/>
    <hyperlink ref="B79" r:id="rId56" location="'Parabolic SAR'!A1"/>
    <hyperlink ref="B80" r:id="rId57" location="'Performance'!A1"/>
    <hyperlink ref="B81" r:id="rId58" location="'Positive Volume Index'!A1"/>
    <hyperlink ref="B82" r:id="rId59" location="'Price Channels'!A1"/>
    <hyperlink ref="B83" r:id="rId60" location="'Price Oscillator'!A1"/>
    <hyperlink ref="B84" r:id="rId61" location="'Price ROC'!A1"/>
    <hyperlink ref="B85" r:id="rId62" location="'Price and Volume Trend'!A1"/>
    <hyperlink ref="B86" r:id="rId63" location="'Projection Bands'!A1"/>
    <hyperlink ref="B87" r:id="rId64" location="'Projection Oscillator'!A1"/>
    <hyperlink ref="B88" r:id="rId65" location="'Public Short Ratio'!A1"/>
    <hyperlink ref="B89" r:id="rId66" location="'Puts|Calls Ratio'!A1"/>
    <hyperlink ref="B90" r:id="rId67" location="'QStick'!A1"/>
    <hyperlink ref="B91" r:id="rId68" location="'r-squared'!A1"/>
    <hyperlink ref="B92" r:id="rId69" location="'Raff Regression Channel'!A1"/>
    <hyperlink ref="B93" r:id="rId70" location="'Range Indicator'!A1"/>
    <hyperlink ref="B94" r:id="rId71" location="'Relative Momentum Index'!A1"/>
    <hyperlink ref="B95" r:id="rId72" location="'Relative Strength, Comparative'!A1"/>
    <hyperlink ref="B96" r:id="rId73" location="'Relative Strength Index'!A1"/>
    <hyperlink ref="B97" r:id="rId74" location="'Relative Voltlty Idx &amp; Inertia'!A1"/>
    <hyperlink ref="B98" r:id="rId75" location="'Standard Deviation'!A1"/>
    <hyperlink ref="B99" r:id="rId76" location="'Standard Deviation Channel'!A1"/>
    <hyperlink ref="B100" r:id="rId77" location="'Standard Error'!A1"/>
    <hyperlink ref="B101" r:id="rId78" location="'Standard Error Bands'!A1"/>
    <hyperlink ref="B102" r:id="rId79" location="'Standard Error Channel'!A1"/>
    <hyperlink ref="B103" r:id="rId80" location="'STIX'!A1"/>
    <hyperlink ref="B104" r:id="rId81" location="'Stochastic Momentum Index'!A1"/>
    <hyperlink ref="B105" r:id="rId82" location="'Stochastic Oscillator'!A1"/>
    <hyperlink ref="B106" r:id="rId83" location="'Swing Index'!A1"/>
    <hyperlink ref="B107" r:id="rId84" location="'TEMA'!A1"/>
    <hyperlink ref="B108" r:id="rId85" location="'Time Series Forecast'!A1"/>
    <hyperlink ref="B109" r:id="rId86" location="'Total Short Ratio'!A1"/>
    <hyperlink ref="B110" r:id="rId87" location="'TRIX'!A1"/>
    <hyperlink ref="B111" r:id="rId88" location="'Typical Price'!A1"/>
    <hyperlink ref="B113" r:id="rId89" location="'Upside|Downside Ratio'!A1"/>
    <hyperlink ref="B114" r:id="rId90" location="'Upside - Downside Volume'!A1"/>
    <hyperlink ref="B115" r:id="rId91" location="'Vertical Horizontal Filter'!A1"/>
    <hyperlink ref="B116" r:id="rId92" location="'Volatility, Chaikins'!A1"/>
    <hyperlink ref="B117" r:id="rId93" location="'Volume Oscillator'!A1"/>
    <hyperlink ref="B118" r:id="rId94" location="'Volume Rate of Change'!A1"/>
    <hyperlink ref="B119" r:id="rId95" location="'Weighted Close'!A1"/>
    <hyperlink ref="B120" r:id="rId96" location="'Wilders Smoothing'!A1"/>
    <hyperlink ref="B121" r:id="rId97" location="'Williams Acc-Dist'!A1"/>
    <hyperlink ref="B122" r:id="rId98" location="'Williams %R'!A1"/>
    <hyperlink ref="B112" r:id="rId99" location="'Ultimate Oscillator'!A1"/>
    <hyperlink ref="B66" r:id="rId100" location="'Moving Average - Triangular'!A1"/>
    <hyperlink ref="B64" r:id="rId101" location="'Moving Average - Simple'!A1"/>
    <hyperlink ref="B63" r:id="rId102" location="'Moving Average - Exponential'!A1"/>
    <hyperlink ref="B69" r:id="rId103" location="'Moving Average - Weighted'!A1"/>
    <hyperlink ref="B68" r:id="rId104" location="'Moving Average - Volume Adjustd'!A1"/>
    <hyperlink ref="B67" r:id="rId105" location="'Moving Average - Variable'!A1"/>
  </hyperlinks>
  <pageMargins left="0.75" right="0.75" top="1" bottom="1" header="0.5" footer="0.5"/>
  <pageSetup orientation="portrait" horizontalDpi="300" verticalDpi="30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N507"/>
  <sheetViews>
    <sheetView workbookViewId="0"/>
  </sheetViews>
  <sheetFormatPr baseColWidth="10" defaultColWidth="8.83203125" defaultRowHeight="12" x14ac:dyDescent="0"/>
  <cols>
    <col min="1" max="1" width="12.5" customWidth="1"/>
    <col min="2" max="2" width="9.6640625" customWidth="1"/>
    <col min="3" max="3" width="11.1640625" customWidth="1"/>
    <col min="4" max="4" width="12.6640625" customWidth="1"/>
    <col min="5" max="5" width="12" customWidth="1"/>
    <col min="6" max="8" width="12.6640625" customWidth="1"/>
  </cols>
  <sheetData>
    <row r="1" spans="1:14">
      <c r="A1" s="21"/>
      <c r="B1" s="21"/>
      <c r="C1" s="21" t="s">
        <v>846</v>
      </c>
      <c r="D1" s="21"/>
      <c r="E1" s="21"/>
      <c r="F1" s="21"/>
      <c r="G1" s="21"/>
      <c r="H1" s="21"/>
    </row>
    <row r="2" spans="1:14" ht="21" customHeight="1">
      <c r="A2" s="21"/>
      <c r="B2" s="21"/>
      <c r="C2" s="21"/>
      <c r="D2" s="374"/>
      <c r="E2" s="374"/>
      <c r="F2" s="374"/>
      <c r="G2" s="374"/>
      <c r="H2" s="374"/>
      <c r="I2" s="372"/>
      <c r="J2" s="372"/>
      <c r="K2" s="372"/>
      <c r="L2" s="372"/>
      <c r="M2" s="372"/>
      <c r="N2" s="372"/>
    </row>
    <row r="3" spans="1:14">
      <c r="A3" s="19" t="s">
        <v>1046</v>
      </c>
      <c r="B3" s="20" t="s">
        <v>1094</v>
      </c>
      <c r="C3" s="21"/>
      <c r="D3" s="19"/>
      <c r="E3" s="24"/>
      <c r="F3" s="19"/>
      <c r="G3" s="19"/>
      <c r="H3" s="19"/>
    </row>
    <row r="4" spans="1:14" ht="46.5" customHeight="1">
      <c r="A4" s="118" t="s">
        <v>1047</v>
      </c>
      <c r="B4" s="446" t="s">
        <v>1265</v>
      </c>
      <c r="C4" s="446"/>
      <c r="D4" s="446"/>
      <c r="E4" s="446"/>
      <c r="F4" s="446"/>
      <c r="G4" s="446"/>
      <c r="H4" s="446"/>
    </row>
    <row r="5" spans="1:14">
      <c r="A5" s="21"/>
      <c r="B5" s="21"/>
      <c r="C5" s="115" t="s">
        <v>214</v>
      </c>
      <c r="D5" s="19"/>
      <c r="E5" s="24"/>
      <c r="F5" s="19"/>
      <c r="G5" s="19"/>
      <c r="H5" s="19"/>
    </row>
    <row r="6" spans="1:14" s="11" customFormat="1" ht="38.25" customHeight="1">
      <c r="A6" s="22" t="s">
        <v>1090</v>
      </c>
      <c r="B6" s="23" t="s">
        <v>1091</v>
      </c>
      <c r="C6" s="23" t="s">
        <v>1092</v>
      </c>
      <c r="D6" s="184" t="s">
        <v>1266</v>
      </c>
      <c r="E6" s="184" t="s">
        <v>1267</v>
      </c>
      <c r="F6" s="23"/>
      <c r="G6" s="23"/>
      <c r="H6" s="23"/>
    </row>
    <row r="7" spans="1:14">
      <c r="A7" s="26">
        <v>35545</v>
      </c>
      <c r="B7" s="245">
        <v>789</v>
      </c>
      <c r="C7" s="245">
        <v>1662</v>
      </c>
      <c r="D7" s="245">
        <f>B7-C7</f>
        <v>-873</v>
      </c>
      <c r="E7" s="245">
        <f>ABS(D7)</f>
        <v>873</v>
      </c>
      <c r="F7" s="245"/>
      <c r="G7" s="245"/>
      <c r="H7" s="245"/>
    </row>
    <row r="8" spans="1:14">
      <c r="A8" s="26">
        <v>35548</v>
      </c>
      <c r="B8" s="245">
        <v>1348</v>
      </c>
      <c r="C8" s="245">
        <v>1085</v>
      </c>
      <c r="D8" s="245">
        <f t="shared" ref="D8:D23" si="0">B8-C8</f>
        <v>263</v>
      </c>
      <c r="E8" s="245">
        <f t="shared" ref="E8:E23" si="1">ABS(D8)</f>
        <v>263</v>
      </c>
      <c r="F8" s="245"/>
      <c r="G8" s="245"/>
      <c r="H8" s="245"/>
    </row>
    <row r="9" spans="1:14">
      <c r="A9" s="27">
        <v>35549</v>
      </c>
      <c r="B9" s="246">
        <v>2085</v>
      </c>
      <c r="C9" s="246">
        <v>531</v>
      </c>
      <c r="D9" s="246">
        <f t="shared" si="0"/>
        <v>1554</v>
      </c>
      <c r="E9" s="246">
        <f t="shared" si="1"/>
        <v>1554</v>
      </c>
      <c r="F9" s="246"/>
      <c r="G9" s="246"/>
      <c r="H9" s="246"/>
    </row>
    <row r="10" spans="1:14">
      <c r="A10" s="27">
        <v>35550</v>
      </c>
      <c r="B10" s="246">
        <v>1599</v>
      </c>
      <c r="C10" s="246">
        <v>941</v>
      </c>
      <c r="D10" s="246">
        <f t="shared" si="0"/>
        <v>658</v>
      </c>
      <c r="E10" s="246">
        <f t="shared" si="1"/>
        <v>658</v>
      </c>
      <c r="F10" s="246"/>
      <c r="G10" s="246"/>
      <c r="H10" s="246"/>
    </row>
    <row r="11" spans="1:14">
      <c r="A11" s="26">
        <v>35551</v>
      </c>
      <c r="B11" s="245">
        <v>1450</v>
      </c>
      <c r="C11" s="245">
        <v>1021</v>
      </c>
      <c r="D11" s="245">
        <f t="shared" si="0"/>
        <v>429</v>
      </c>
      <c r="E11" s="245">
        <f t="shared" si="1"/>
        <v>429</v>
      </c>
      <c r="F11" s="245"/>
      <c r="G11" s="245"/>
      <c r="H11" s="245"/>
    </row>
    <row r="12" spans="1:14">
      <c r="A12" s="26">
        <v>35552</v>
      </c>
      <c r="B12" s="245">
        <v>2119</v>
      </c>
      <c r="C12" s="245">
        <v>476</v>
      </c>
      <c r="D12" s="245">
        <f t="shared" si="0"/>
        <v>1643</v>
      </c>
      <c r="E12" s="245">
        <f t="shared" si="1"/>
        <v>1643</v>
      </c>
      <c r="F12" s="245"/>
      <c r="G12" s="245"/>
      <c r="H12" s="245"/>
    </row>
    <row r="13" spans="1:14">
      <c r="A13" s="27">
        <v>35555</v>
      </c>
      <c r="B13" s="246">
        <v>1958</v>
      </c>
      <c r="C13" s="246">
        <v>677</v>
      </c>
      <c r="D13" s="246">
        <f t="shared" si="0"/>
        <v>1281</v>
      </c>
      <c r="E13" s="246">
        <f t="shared" si="1"/>
        <v>1281</v>
      </c>
      <c r="F13" s="246"/>
      <c r="G13" s="246"/>
      <c r="H13" s="246"/>
    </row>
    <row r="14" spans="1:14">
      <c r="A14" s="27">
        <v>35556</v>
      </c>
      <c r="B14" s="246">
        <v>1258</v>
      </c>
      <c r="C14" s="246">
        <v>1270</v>
      </c>
      <c r="D14" s="246">
        <f t="shared" si="0"/>
        <v>-12</v>
      </c>
      <c r="E14" s="246">
        <f t="shared" si="1"/>
        <v>12</v>
      </c>
      <c r="F14" s="246"/>
      <c r="G14" s="246"/>
      <c r="H14" s="246"/>
    </row>
    <row r="15" spans="1:14">
      <c r="A15" s="26">
        <v>35557</v>
      </c>
      <c r="B15" s="245">
        <v>842</v>
      </c>
      <c r="C15" s="245">
        <v>1660</v>
      </c>
      <c r="D15" s="245">
        <f t="shared" si="0"/>
        <v>-818</v>
      </c>
      <c r="E15" s="245">
        <f t="shared" si="1"/>
        <v>818</v>
      </c>
      <c r="F15" s="245"/>
      <c r="G15" s="245"/>
      <c r="H15" s="245"/>
    </row>
    <row r="16" spans="1:14">
      <c r="A16" s="26">
        <v>35558</v>
      </c>
      <c r="B16" s="245">
        <v>1398</v>
      </c>
      <c r="C16" s="245">
        <v>1097</v>
      </c>
      <c r="D16" s="245">
        <f t="shared" si="0"/>
        <v>301</v>
      </c>
      <c r="E16" s="245">
        <f t="shared" si="1"/>
        <v>301</v>
      </c>
      <c r="F16" s="245"/>
      <c r="G16" s="245"/>
      <c r="H16" s="245"/>
    </row>
    <row r="17" spans="1:8">
      <c r="A17" s="27">
        <v>35559</v>
      </c>
      <c r="B17" s="246">
        <v>1526</v>
      </c>
      <c r="C17" s="246">
        <v>932</v>
      </c>
      <c r="D17" s="246">
        <f t="shared" si="0"/>
        <v>594</v>
      </c>
      <c r="E17" s="246">
        <f t="shared" si="1"/>
        <v>594</v>
      </c>
      <c r="F17" s="246"/>
      <c r="G17" s="246"/>
      <c r="H17" s="246"/>
    </row>
    <row r="18" spans="1:8">
      <c r="A18" s="27">
        <v>35562</v>
      </c>
      <c r="B18" s="246">
        <v>1766</v>
      </c>
      <c r="C18" s="246">
        <v>761</v>
      </c>
      <c r="D18" s="246">
        <f t="shared" si="0"/>
        <v>1005</v>
      </c>
      <c r="E18" s="246">
        <f t="shared" si="1"/>
        <v>1005</v>
      </c>
      <c r="F18" s="246"/>
      <c r="G18" s="246"/>
      <c r="H18" s="246"/>
    </row>
    <row r="19" spans="1:8">
      <c r="A19" s="26">
        <v>35563</v>
      </c>
      <c r="B19" s="245">
        <v>1133</v>
      </c>
      <c r="C19" s="245">
        <v>1322</v>
      </c>
      <c r="D19" s="245">
        <f t="shared" si="0"/>
        <v>-189</v>
      </c>
      <c r="E19" s="245">
        <f t="shared" si="1"/>
        <v>189</v>
      </c>
      <c r="F19" s="245"/>
      <c r="G19" s="245"/>
      <c r="H19" s="245"/>
    </row>
    <row r="20" spans="1:8">
      <c r="A20" s="26">
        <v>35564</v>
      </c>
      <c r="B20" s="245">
        <v>1472</v>
      </c>
      <c r="C20" s="245">
        <v>992</v>
      </c>
      <c r="D20" s="245">
        <f t="shared" si="0"/>
        <v>480</v>
      </c>
      <c r="E20" s="245">
        <f t="shared" si="1"/>
        <v>480</v>
      </c>
      <c r="F20" s="245"/>
      <c r="G20" s="245"/>
      <c r="H20" s="245"/>
    </row>
    <row r="21" spans="1:8">
      <c r="A21" s="27">
        <v>35565</v>
      </c>
      <c r="B21" s="246">
        <v>1282</v>
      </c>
      <c r="C21" s="246">
        <v>1164</v>
      </c>
      <c r="D21" s="246">
        <f t="shared" si="0"/>
        <v>118</v>
      </c>
      <c r="E21" s="246">
        <f t="shared" si="1"/>
        <v>118</v>
      </c>
      <c r="F21" s="246"/>
      <c r="G21" s="246"/>
      <c r="H21" s="246"/>
    </row>
    <row r="22" spans="1:8">
      <c r="A22" s="27">
        <v>35566</v>
      </c>
      <c r="B22" s="246">
        <v>973</v>
      </c>
      <c r="C22" s="246">
        <v>1431</v>
      </c>
      <c r="D22" s="246">
        <f t="shared" si="0"/>
        <v>-458</v>
      </c>
      <c r="E22" s="246">
        <f t="shared" si="1"/>
        <v>458</v>
      </c>
      <c r="F22" s="246"/>
      <c r="G22" s="246"/>
      <c r="H22" s="246"/>
    </row>
    <row r="23" spans="1:8">
      <c r="A23" s="26">
        <v>35569</v>
      </c>
      <c r="B23" s="245">
        <v>1390</v>
      </c>
      <c r="C23" s="245">
        <v>1056</v>
      </c>
      <c r="D23" s="245">
        <f t="shared" si="0"/>
        <v>334</v>
      </c>
      <c r="E23" s="245">
        <f t="shared" si="1"/>
        <v>334</v>
      </c>
      <c r="F23" s="245"/>
      <c r="G23" s="245"/>
      <c r="H23" s="245"/>
    </row>
    <row r="24" spans="1:8">
      <c r="A24" s="26">
        <v>35570</v>
      </c>
      <c r="B24" s="245">
        <v>1411</v>
      </c>
      <c r="C24" s="245">
        <v>1040</v>
      </c>
      <c r="D24" s="245">
        <f t="shared" ref="D24:D38" si="2">B24-C24</f>
        <v>371</v>
      </c>
      <c r="E24" s="245">
        <f t="shared" ref="E24:E38" si="3">ABS(D24)</f>
        <v>371</v>
      </c>
      <c r="F24" s="245"/>
      <c r="G24" s="245"/>
      <c r="H24" s="245"/>
    </row>
    <row r="25" spans="1:8">
      <c r="A25" s="27">
        <v>35571</v>
      </c>
      <c r="B25" s="246">
        <v>1421</v>
      </c>
      <c r="C25" s="246">
        <v>1107</v>
      </c>
      <c r="D25" s="246">
        <f t="shared" si="2"/>
        <v>314</v>
      </c>
      <c r="E25" s="246">
        <f t="shared" si="3"/>
        <v>314</v>
      </c>
      <c r="F25" s="246"/>
      <c r="G25" s="246"/>
      <c r="H25" s="246"/>
    </row>
    <row r="26" spans="1:8">
      <c r="A26" s="27">
        <v>35572</v>
      </c>
      <c r="B26" s="246">
        <v>1270</v>
      </c>
      <c r="C26" s="246">
        <v>1176</v>
      </c>
      <c r="D26" s="246">
        <f t="shared" si="2"/>
        <v>94</v>
      </c>
      <c r="E26" s="246">
        <f t="shared" si="3"/>
        <v>94</v>
      </c>
      <c r="F26" s="246"/>
      <c r="G26" s="246"/>
      <c r="H26" s="246"/>
    </row>
    <row r="27" spans="1:8">
      <c r="A27" s="26">
        <v>35573</v>
      </c>
      <c r="B27" s="245">
        <v>1875</v>
      </c>
      <c r="C27" s="245">
        <v>618</v>
      </c>
      <c r="D27" s="245">
        <f t="shared" si="2"/>
        <v>1257</v>
      </c>
      <c r="E27" s="245">
        <f t="shared" si="3"/>
        <v>1257</v>
      </c>
      <c r="F27" s="245"/>
      <c r="G27" s="245"/>
      <c r="H27" s="245"/>
    </row>
    <row r="28" spans="1:8">
      <c r="A28" s="26">
        <v>35577</v>
      </c>
      <c r="B28" s="245">
        <v>1221</v>
      </c>
      <c r="C28" s="245">
        <v>1299</v>
      </c>
      <c r="D28" s="245">
        <f t="shared" si="2"/>
        <v>-78</v>
      </c>
      <c r="E28" s="245">
        <f t="shared" si="3"/>
        <v>78</v>
      </c>
      <c r="F28" s="245"/>
      <c r="G28" s="245"/>
      <c r="H28" s="245"/>
    </row>
    <row r="29" spans="1:8">
      <c r="A29" s="27">
        <v>35578</v>
      </c>
      <c r="B29" s="246">
        <v>1309</v>
      </c>
      <c r="C29" s="246">
        <v>1147</v>
      </c>
      <c r="D29" s="246">
        <f t="shared" si="2"/>
        <v>162</v>
      </c>
      <c r="E29" s="246">
        <f t="shared" si="3"/>
        <v>162</v>
      </c>
      <c r="F29" s="246"/>
      <c r="G29" s="246"/>
      <c r="H29" s="246"/>
    </row>
    <row r="30" spans="1:8">
      <c r="A30" s="27">
        <v>35579</v>
      </c>
      <c r="B30" s="246">
        <v>1431</v>
      </c>
      <c r="C30" s="246">
        <v>1043</v>
      </c>
      <c r="D30" s="246">
        <f t="shared" si="2"/>
        <v>388</v>
      </c>
      <c r="E30" s="246">
        <f t="shared" si="3"/>
        <v>388</v>
      </c>
      <c r="F30" s="246"/>
      <c r="G30" s="246"/>
      <c r="H30" s="246"/>
    </row>
    <row r="31" spans="1:8">
      <c r="A31" s="26">
        <v>35580</v>
      </c>
      <c r="B31" s="245">
        <v>1584</v>
      </c>
      <c r="C31" s="245">
        <v>901</v>
      </c>
      <c r="D31" s="245">
        <f t="shared" si="2"/>
        <v>683</v>
      </c>
      <c r="E31" s="245">
        <f t="shared" si="3"/>
        <v>683</v>
      </c>
      <c r="F31" s="245"/>
      <c r="G31" s="245"/>
      <c r="H31" s="245"/>
    </row>
    <row r="32" spans="1:8">
      <c r="A32" s="26">
        <v>35583</v>
      </c>
      <c r="B32" s="245">
        <v>1530</v>
      </c>
      <c r="C32" s="245">
        <v>963</v>
      </c>
      <c r="D32" s="245">
        <f t="shared" si="2"/>
        <v>567</v>
      </c>
      <c r="E32" s="245">
        <f t="shared" si="3"/>
        <v>567</v>
      </c>
      <c r="F32" s="245"/>
      <c r="G32" s="245"/>
      <c r="H32" s="245"/>
    </row>
    <row r="33" spans="1:8">
      <c r="A33" s="27">
        <v>35584</v>
      </c>
      <c r="B33" s="246">
        <v>1472</v>
      </c>
      <c r="C33" s="246">
        <v>1022</v>
      </c>
      <c r="D33" s="246">
        <f t="shared" si="2"/>
        <v>450</v>
      </c>
      <c r="E33" s="246">
        <f t="shared" si="3"/>
        <v>450</v>
      </c>
      <c r="F33" s="246"/>
      <c r="G33" s="246"/>
      <c r="H33" s="246"/>
    </row>
    <row r="34" spans="1:8">
      <c r="A34" s="27">
        <v>35585</v>
      </c>
      <c r="B34" s="246">
        <v>1147</v>
      </c>
      <c r="C34" s="246">
        <v>1322</v>
      </c>
      <c r="D34" s="246">
        <f t="shared" si="2"/>
        <v>-175</v>
      </c>
      <c r="E34" s="246">
        <f t="shared" si="3"/>
        <v>175</v>
      </c>
      <c r="F34" s="246"/>
      <c r="G34" s="246"/>
      <c r="H34" s="246"/>
    </row>
    <row r="35" spans="1:8">
      <c r="A35" s="26">
        <v>35586</v>
      </c>
      <c r="B35" s="245">
        <v>1489</v>
      </c>
      <c r="C35" s="245">
        <v>956</v>
      </c>
      <c r="D35" s="245">
        <f t="shared" si="2"/>
        <v>533</v>
      </c>
      <c r="E35" s="245">
        <f t="shared" si="3"/>
        <v>533</v>
      </c>
      <c r="F35" s="245"/>
      <c r="G35" s="245"/>
      <c r="H35" s="245"/>
    </row>
    <row r="36" spans="1:8">
      <c r="A36" s="26">
        <v>35587</v>
      </c>
      <c r="B36" s="245">
        <v>1703</v>
      </c>
      <c r="C36" s="245">
        <v>734</v>
      </c>
      <c r="D36" s="245">
        <f t="shared" si="2"/>
        <v>969</v>
      </c>
      <c r="E36" s="245">
        <f t="shared" si="3"/>
        <v>969</v>
      </c>
      <c r="F36" s="245"/>
      <c r="G36" s="245"/>
      <c r="H36" s="245"/>
    </row>
    <row r="37" spans="1:8">
      <c r="A37" s="27">
        <v>35590</v>
      </c>
      <c r="B37" s="246">
        <v>1415</v>
      </c>
      <c r="C37" s="246">
        <v>1084</v>
      </c>
      <c r="D37" s="246">
        <f t="shared" si="2"/>
        <v>331</v>
      </c>
      <c r="E37" s="246">
        <f t="shared" si="3"/>
        <v>331</v>
      </c>
      <c r="F37" s="246"/>
      <c r="G37" s="246"/>
      <c r="H37" s="246"/>
    </row>
    <row r="38" spans="1:8">
      <c r="A38" s="27">
        <v>35591</v>
      </c>
      <c r="B38" s="246">
        <v>1403</v>
      </c>
      <c r="C38" s="246">
        <v>1130</v>
      </c>
      <c r="D38" s="246">
        <f t="shared" si="2"/>
        <v>273</v>
      </c>
      <c r="E38" s="246">
        <f t="shared" si="3"/>
        <v>273</v>
      </c>
      <c r="F38" s="246"/>
      <c r="G38" s="246"/>
      <c r="H38" s="246"/>
    </row>
    <row r="39" spans="1:8">
      <c r="A39" s="25"/>
    </row>
    <row r="40" spans="1:8">
      <c r="A40" s="2"/>
      <c r="C40" s="2"/>
    </row>
    <row r="41" spans="1:8" ht="15">
      <c r="A41" s="241" t="s">
        <v>396</v>
      </c>
      <c r="C41" s="2"/>
    </row>
    <row r="42" spans="1:8" ht="15">
      <c r="A42" s="241" t="s">
        <v>703</v>
      </c>
      <c r="C42" s="2"/>
    </row>
    <row r="43" spans="1:8">
      <c r="A43" s="2"/>
      <c r="C43" s="2"/>
    </row>
    <row r="44" spans="1:8">
      <c r="A44" s="2"/>
      <c r="C44" s="2"/>
    </row>
    <row r="45" spans="1:8">
      <c r="A45" s="2"/>
      <c r="C45" s="2"/>
    </row>
    <row r="46" spans="1:8">
      <c r="A46" s="2"/>
      <c r="C46" s="2"/>
    </row>
    <row r="47" spans="1:8">
      <c r="A47" s="2"/>
      <c r="C47" s="2"/>
    </row>
    <row r="48" spans="1:8">
      <c r="A48" s="2"/>
      <c r="C48" s="2"/>
    </row>
    <row r="49" spans="1:3">
      <c r="A49" s="2"/>
      <c r="C49" s="2"/>
    </row>
    <row r="50" spans="1:3">
      <c r="A50" s="2"/>
      <c r="C50" s="2"/>
    </row>
    <row r="51" spans="1:3">
      <c r="A51" s="2"/>
      <c r="C51" s="2"/>
    </row>
    <row r="52" spans="1:3">
      <c r="A52" s="2"/>
      <c r="C52" s="2"/>
    </row>
    <row r="53" spans="1:3">
      <c r="A53" s="2"/>
      <c r="C53" s="2"/>
    </row>
    <row r="54" spans="1:3">
      <c r="A54" s="2"/>
      <c r="C54" s="2"/>
    </row>
    <row r="55" spans="1:3">
      <c r="A55" s="2"/>
      <c r="C55" s="2"/>
    </row>
    <row r="56" spans="1:3">
      <c r="A56" s="2"/>
      <c r="C56" s="2"/>
    </row>
    <row r="57" spans="1:3">
      <c r="A57" s="2"/>
      <c r="C57" s="2"/>
    </row>
    <row r="58" spans="1:3">
      <c r="A58" s="2"/>
      <c r="C58" s="2"/>
    </row>
    <row r="59" spans="1:3">
      <c r="A59" s="2"/>
      <c r="C59" s="2"/>
    </row>
    <row r="60" spans="1:3">
      <c r="A60" s="2"/>
      <c r="C60" s="2"/>
    </row>
    <row r="61" spans="1:3">
      <c r="A61" s="2"/>
      <c r="C61" s="2"/>
    </row>
    <row r="62" spans="1:3">
      <c r="A62" s="2"/>
      <c r="C62" s="2"/>
    </row>
    <row r="63" spans="1:3">
      <c r="A63" s="2"/>
      <c r="C63" s="2"/>
    </row>
    <row r="64" spans="1:3">
      <c r="A64" s="2"/>
      <c r="C64" s="2"/>
    </row>
    <row r="65" spans="1:3">
      <c r="A65" s="2"/>
      <c r="C65" s="2"/>
    </row>
    <row r="66" spans="1:3">
      <c r="A66" s="2"/>
      <c r="C66" s="2"/>
    </row>
    <row r="67" spans="1:3">
      <c r="A67" s="2"/>
      <c r="C67" s="2"/>
    </row>
    <row r="68" spans="1:3">
      <c r="A68" s="2"/>
      <c r="C68" s="2"/>
    </row>
    <row r="69" spans="1:3">
      <c r="A69" s="2"/>
      <c r="C69" s="2"/>
    </row>
    <row r="70" spans="1:3">
      <c r="A70" s="2"/>
      <c r="C70" s="2"/>
    </row>
    <row r="71" spans="1:3">
      <c r="A71" s="2"/>
      <c r="C71" s="2"/>
    </row>
    <row r="72" spans="1:3">
      <c r="A72" s="2"/>
      <c r="C72" s="2"/>
    </row>
    <row r="73" spans="1:3">
      <c r="A73" s="2"/>
      <c r="C73" s="2"/>
    </row>
    <row r="74" spans="1:3">
      <c r="A74" s="2"/>
      <c r="C74" s="2"/>
    </row>
    <row r="75" spans="1:3">
      <c r="A75" s="2"/>
      <c r="C75" s="2"/>
    </row>
    <row r="76" spans="1:3">
      <c r="A76" s="2"/>
      <c r="C76" s="2"/>
    </row>
    <row r="77" spans="1:3">
      <c r="A77" s="2"/>
      <c r="C77" s="2"/>
    </row>
    <row r="78" spans="1:3">
      <c r="A78" s="2"/>
      <c r="C78" s="2"/>
    </row>
    <row r="79" spans="1:3">
      <c r="A79" s="2"/>
      <c r="C79" s="2"/>
    </row>
    <row r="80" spans="1:3">
      <c r="A80" s="2"/>
      <c r="C80" s="2"/>
    </row>
    <row r="81" spans="1:3">
      <c r="A81" s="2"/>
      <c r="C81" s="2"/>
    </row>
    <row r="82" spans="1:3">
      <c r="A82" s="2"/>
      <c r="C82" s="2"/>
    </row>
    <row r="83" spans="1:3">
      <c r="A83" s="2"/>
      <c r="C83" s="2"/>
    </row>
    <row r="84" spans="1:3">
      <c r="A84" s="2"/>
      <c r="C84" s="2"/>
    </row>
    <row r="85" spans="1:3">
      <c r="A85" s="2"/>
      <c r="C85" s="2"/>
    </row>
    <row r="86" spans="1:3">
      <c r="A86" s="2"/>
      <c r="C86" s="2"/>
    </row>
    <row r="87" spans="1:3">
      <c r="A87" s="2"/>
      <c r="C87" s="2"/>
    </row>
    <row r="88" spans="1:3">
      <c r="A88" s="2"/>
      <c r="C88" s="2"/>
    </row>
    <row r="89" spans="1:3">
      <c r="A89" s="2"/>
      <c r="C89" s="2"/>
    </row>
    <row r="90" spans="1:3">
      <c r="A90" s="2"/>
      <c r="C90" s="2"/>
    </row>
    <row r="91" spans="1:3">
      <c r="A91" s="2"/>
      <c r="C91" s="2"/>
    </row>
    <row r="92" spans="1:3">
      <c r="A92" s="2"/>
      <c r="C92" s="2"/>
    </row>
    <row r="93" spans="1:3">
      <c r="A93" s="2"/>
      <c r="C93" s="2"/>
    </row>
    <row r="94" spans="1:3">
      <c r="A94" s="2"/>
      <c r="C94" s="2"/>
    </row>
    <row r="95" spans="1:3">
      <c r="A95" s="2"/>
      <c r="C95" s="2"/>
    </row>
    <row r="96" spans="1:3">
      <c r="A96" s="2"/>
      <c r="C96" s="2"/>
    </row>
    <row r="97" spans="1:3">
      <c r="A97" s="2"/>
      <c r="C97" s="2"/>
    </row>
    <row r="98" spans="1:3">
      <c r="A98" s="2"/>
      <c r="C98" s="2"/>
    </row>
    <row r="99" spans="1:3">
      <c r="A99" s="2"/>
      <c r="C99" s="2"/>
    </row>
    <row r="100" spans="1:3">
      <c r="A100" s="2"/>
      <c r="C100" s="2"/>
    </row>
    <row r="101" spans="1:3">
      <c r="A101" s="2"/>
      <c r="C101" s="2"/>
    </row>
    <row r="102" spans="1:3">
      <c r="A102" s="2"/>
      <c r="C102" s="2"/>
    </row>
    <row r="103" spans="1:3">
      <c r="A103" s="2"/>
      <c r="C103" s="2"/>
    </row>
    <row r="104" spans="1:3">
      <c r="A104" s="2"/>
      <c r="C104" s="2"/>
    </row>
    <row r="105" spans="1:3">
      <c r="A105" s="2"/>
      <c r="C105" s="2"/>
    </row>
    <row r="106" spans="1:3">
      <c r="A106" s="2"/>
      <c r="C106" s="2"/>
    </row>
    <row r="107" spans="1:3">
      <c r="A107" s="2"/>
      <c r="C107" s="2"/>
    </row>
    <row r="108" spans="1:3">
      <c r="A108" s="2"/>
      <c r="C108" s="2"/>
    </row>
    <row r="109" spans="1:3">
      <c r="A109" s="2"/>
      <c r="C109" s="2"/>
    </row>
    <row r="110" spans="1:3">
      <c r="A110" s="2"/>
      <c r="C110" s="2"/>
    </row>
    <row r="111" spans="1:3">
      <c r="A111" s="2"/>
      <c r="C111" s="2"/>
    </row>
    <row r="112" spans="1:3">
      <c r="A112" s="2"/>
      <c r="C112" s="2"/>
    </row>
    <row r="113" spans="1:3">
      <c r="A113" s="2"/>
      <c r="C113" s="2"/>
    </row>
    <row r="114" spans="1:3">
      <c r="A114" s="2"/>
      <c r="C114" s="2"/>
    </row>
    <row r="115" spans="1:3">
      <c r="A115" s="2"/>
      <c r="C115" s="2"/>
    </row>
    <row r="116" spans="1:3">
      <c r="A116" s="2"/>
      <c r="C116" s="2"/>
    </row>
    <row r="117" spans="1:3">
      <c r="A117" s="2"/>
      <c r="C117" s="2"/>
    </row>
    <row r="118" spans="1:3">
      <c r="A118" s="2"/>
      <c r="C118" s="2"/>
    </row>
    <row r="119" spans="1:3">
      <c r="A119" s="2"/>
      <c r="C119" s="2"/>
    </row>
    <row r="120" spans="1:3">
      <c r="A120" s="2"/>
      <c r="C120" s="2"/>
    </row>
    <row r="121" spans="1:3">
      <c r="A121" s="2"/>
      <c r="C121" s="2"/>
    </row>
    <row r="122" spans="1:3">
      <c r="A122" s="2"/>
      <c r="C122" s="2"/>
    </row>
    <row r="123" spans="1:3">
      <c r="A123" s="2"/>
      <c r="C123" s="2"/>
    </row>
    <row r="124" spans="1:3">
      <c r="A124" s="2"/>
      <c r="C124" s="2"/>
    </row>
    <row r="125" spans="1:3">
      <c r="A125" s="2"/>
      <c r="C125" s="2"/>
    </row>
    <row r="126" spans="1:3">
      <c r="A126" s="2"/>
      <c r="C126" s="2"/>
    </row>
    <row r="127" spans="1:3">
      <c r="A127" s="2"/>
      <c r="C127" s="2"/>
    </row>
    <row r="128" spans="1:3">
      <c r="A128" s="2"/>
      <c r="C128" s="2"/>
    </row>
    <row r="129" spans="1:3">
      <c r="A129" s="2"/>
      <c r="C129" s="2"/>
    </row>
    <row r="130" spans="1:3">
      <c r="A130" s="2"/>
      <c r="C130" s="2"/>
    </row>
    <row r="131" spans="1:3">
      <c r="A131" s="2"/>
      <c r="C131" s="2"/>
    </row>
    <row r="132" spans="1:3">
      <c r="A132" s="2"/>
      <c r="C132" s="2"/>
    </row>
    <row r="133" spans="1:3">
      <c r="A133" s="2"/>
      <c r="C133" s="2"/>
    </row>
    <row r="134" spans="1:3">
      <c r="A134" s="2"/>
      <c r="C134" s="2"/>
    </row>
    <row r="135" spans="1:3">
      <c r="A135" s="2"/>
      <c r="C135" s="2"/>
    </row>
    <row r="136" spans="1:3">
      <c r="A136" s="2"/>
      <c r="C136" s="2"/>
    </row>
    <row r="137" spans="1:3">
      <c r="A137" s="2"/>
      <c r="C137" s="2"/>
    </row>
    <row r="138" spans="1:3">
      <c r="A138" s="2"/>
      <c r="C138" s="2"/>
    </row>
    <row r="139" spans="1:3">
      <c r="A139" s="2"/>
      <c r="C139" s="2"/>
    </row>
    <row r="140" spans="1:3">
      <c r="A140" s="2"/>
      <c r="C140" s="2"/>
    </row>
    <row r="141" spans="1:3">
      <c r="A141" s="2"/>
      <c r="C141" s="2"/>
    </row>
    <row r="142" spans="1:3">
      <c r="A142" s="2"/>
      <c r="C142" s="2"/>
    </row>
    <row r="143" spans="1:3">
      <c r="A143" s="2"/>
      <c r="C143" s="2"/>
    </row>
    <row r="144" spans="1:3">
      <c r="A144" s="2"/>
      <c r="C144" s="2"/>
    </row>
    <row r="145" spans="1:3">
      <c r="A145" s="2"/>
      <c r="C145" s="2"/>
    </row>
    <row r="146" spans="1:3">
      <c r="A146" s="2"/>
      <c r="C146" s="2"/>
    </row>
    <row r="147" spans="1:3">
      <c r="A147" s="2"/>
      <c r="C147" s="2"/>
    </row>
    <row r="148" spans="1:3">
      <c r="A148" s="2"/>
      <c r="C148" s="2"/>
    </row>
    <row r="149" spans="1:3">
      <c r="A149" s="2"/>
      <c r="C149" s="2"/>
    </row>
    <row r="150" spans="1:3">
      <c r="A150" s="2"/>
      <c r="C150" s="2"/>
    </row>
    <row r="151" spans="1:3">
      <c r="A151" s="2"/>
      <c r="C151" s="2"/>
    </row>
    <row r="152" spans="1:3">
      <c r="A152" s="2"/>
      <c r="C152" s="2"/>
    </row>
    <row r="153" spans="1:3">
      <c r="A153" s="2"/>
      <c r="C153" s="2"/>
    </row>
    <row r="154" spans="1:3">
      <c r="A154" s="2"/>
      <c r="C154" s="2"/>
    </row>
    <row r="155" spans="1:3">
      <c r="A155" s="2"/>
      <c r="C155" s="2"/>
    </row>
    <row r="156" spans="1:3">
      <c r="A156" s="2"/>
      <c r="C156" s="2"/>
    </row>
    <row r="157" spans="1:3">
      <c r="A157" s="2"/>
      <c r="C157" s="2"/>
    </row>
    <row r="158" spans="1:3">
      <c r="A158" s="2"/>
      <c r="C158" s="2"/>
    </row>
    <row r="159" spans="1:3">
      <c r="A159" s="2"/>
      <c r="C159" s="2"/>
    </row>
    <row r="160" spans="1:3">
      <c r="A160" s="2"/>
      <c r="C160" s="2"/>
    </row>
    <row r="161" spans="1:3">
      <c r="A161" s="2"/>
      <c r="C161" s="2"/>
    </row>
    <row r="162" spans="1:3">
      <c r="A162" s="2"/>
      <c r="C162" s="2"/>
    </row>
    <row r="163" spans="1:3">
      <c r="A163" s="2"/>
      <c r="C163" s="2"/>
    </row>
    <row r="164" spans="1:3">
      <c r="A164" s="2"/>
      <c r="C164" s="2"/>
    </row>
    <row r="165" spans="1:3">
      <c r="A165" s="2"/>
      <c r="C165" s="2"/>
    </row>
    <row r="166" spans="1:3">
      <c r="A166" s="2"/>
      <c r="C166" s="2"/>
    </row>
    <row r="167" spans="1:3">
      <c r="A167" s="2"/>
      <c r="C167" s="2"/>
    </row>
    <row r="168" spans="1:3">
      <c r="A168" s="2"/>
      <c r="C168" s="2"/>
    </row>
    <row r="169" spans="1:3">
      <c r="A169" s="2"/>
      <c r="C169" s="2"/>
    </row>
    <row r="170" spans="1:3">
      <c r="A170" s="2"/>
      <c r="C170" s="2"/>
    </row>
    <row r="171" spans="1:3">
      <c r="A171" s="2"/>
      <c r="C171" s="2"/>
    </row>
    <row r="172" spans="1:3">
      <c r="A172" s="2"/>
      <c r="C172" s="2"/>
    </row>
    <row r="173" spans="1:3">
      <c r="A173" s="2"/>
      <c r="C173" s="2"/>
    </row>
    <row r="174" spans="1:3">
      <c r="A174" s="2"/>
      <c r="C174" s="2"/>
    </row>
    <row r="175" spans="1:3">
      <c r="A175" s="2"/>
      <c r="C175" s="2"/>
    </row>
    <row r="176" spans="1:3">
      <c r="A176" s="2"/>
      <c r="C176" s="2"/>
    </row>
    <row r="177" spans="1:3">
      <c r="A177" s="2"/>
      <c r="C177" s="2"/>
    </row>
    <row r="178" spans="1:3">
      <c r="A178" s="2"/>
      <c r="C178" s="2"/>
    </row>
    <row r="179" spans="1:3">
      <c r="A179" s="2"/>
      <c r="C179" s="2"/>
    </row>
    <row r="180" spans="1:3">
      <c r="A180" s="2"/>
      <c r="C180" s="2"/>
    </row>
    <row r="181" spans="1:3">
      <c r="A181" s="2"/>
      <c r="C181" s="2"/>
    </row>
    <row r="182" spans="1:3">
      <c r="A182" s="2"/>
      <c r="C182" s="2"/>
    </row>
    <row r="183" spans="1:3">
      <c r="A183" s="2"/>
      <c r="C183" s="2"/>
    </row>
    <row r="184" spans="1:3">
      <c r="A184" s="2"/>
      <c r="C184" s="2"/>
    </row>
    <row r="185" spans="1:3">
      <c r="A185" s="2"/>
      <c r="C185" s="2"/>
    </row>
    <row r="186" spans="1:3">
      <c r="A186" s="2"/>
      <c r="C186" s="2"/>
    </row>
    <row r="187" spans="1:3">
      <c r="A187" s="2"/>
      <c r="C187" s="2"/>
    </row>
    <row r="188" spans="1:3">
      <c r="A188" s="2"/>
      <c r="C188" s="2"/>
    </row>
    <row r="189" spans="1:3">
      <c r="A189" s="2"/>
      <c r="C189" s="2"/>
    </row>
    <row r="190" spans="1:3">
      <c r="A190" s="2"/>
      <c r="C190" s="2"/>
    </row>
    <row r="191" spans="1:3">
      <c r="A191" s="2"/>
      <c r="C191" s="2"/>
    </row>
    <row r="192" spans="1:3">
      <c r="A192" s="2"/>
      <c r="C192" s="2"/>
    </row>
    <row r="193" spans="1:3">
      <c r="A193" s="2"/>
      <c r="C193" s="2"/>
    </row>
    <row r="194" spans="1:3">
      <c r="A194" s="2"/>
      <c r="C194" s="2"/>
    </row>
    <row r="195" spans="1:3">
      <c r="A195" s="2"/>
      <c r="C195" s="2"/>
    </row>
    <row r="196" spans="1:3">
      <c r="A196" s="2"/>
      <c r="C196" s="2"/>
    </row>
    <row r="197" spans="1:3">
      <c r="A197" s="2"/>
      <c r="C197" s="2"/>
    </row>
    <row r="198" spans="1:3">
      <c r="A198" s="2"/>
      <c r="C198" s="2"/>
    </row>
    <row r="199" spans="1:3">
      <c r="A199" s="2"/>
      <c r="C199" s="2"/>
    </row>
    <row r="200" spans="1:3">
      <c r="A200" s="2"/>
      <c r="C200" s="2"/>
    </row>
    <row r="201" spans="1:3">
      <c r="A201" s="2"/>
      <c r="C201" s="2"/>
    </row>
    <row r="202" spans="1:3">
      <c r="A202" s="2"/>
      <c r="C202" s="2"/>
    </row>
    <row r="203" spans="1:3">
      <c r="A203" s="2"/>
      <c r="C203" s="2"/>
    </row>
    <row r="204" spans="1:3">
      <c r="A204" s="2"/>
      <c r="C204" s="2"/>
    </row>
    <row r="205" spans="1:3">
      <c r="A205" s="2"/>
      <c r="C205" s="2"/>
    </row>
    <row r="206" spans="1:3">
      <c r="A206" s="2"/>
      <c r="C206" s="2"/>
    </row>
    <row r="207" spans="1:3">
      <c r="A207" s="2"/>
      <c r="C207" s="2"/>
    </row>
    <row r="208" spans="1:3">
      <c r="A208" s="2"/>
      <c r="C208" s="2"/>
    </row>
    <row r="209" spans="1:3">
      <c r="A209" s="2"/>
      <c r="C209" s="2"/>
    </row>
    <row r="210" spans="1:3">
      <c r="A210" s="2"/>
      <c r="C210" s="2"/>
    </row>
    <row r="211" spans="1:3">
      <c r="A211" s="2"/>
      <c r="C211" s="2"/>
    </row>
    <row r="212" spans="1:3">
      <c r="A212" s="2"/>
      <c r="C212" s="2"/>
    </row>
    <row r="213" spans="1:3">
      <c r="A213" s="2"/>
      <c r="C213" s="2"/>
    </row>
    <row r="214" spans="1:3">
      <c r="A214" s="2"/>
      <c r="C214" s="2"/>
    </row>
    <row r="215" spans="1:3">
      <c r="A215" s="2"/>
      <c r="C215" s="2"/>
    </row>
    <row r="216" spans="1:3">
      <c r="A216" s="2"/>
      <c r="C216" s="2"/>
    </row>
    <row r="217" spans="1:3">
      <c r="A217" s="2"/>
      <c r="C217" s="2"/>
    </row>
    <row r="218" spans="1:3">
      <c r="A218" s="2"/>
      <c r="C218" s="2"/>
    </row>
    <row r="219" spans="1:3">
      <c r="A219" s="2"/>
      <c r="C219" s="2"/>
    </row>
    <row r="220" spans="1:3">
      <c r="A220" s="2"/>
      <c r="C220" s="2"/>
    </row>
    <row r="221" spans="1:3">
      <c r="A221" s="2"/>
      <c r="C221" s="2"/>
    </row>
    <row r="222" spans="1:3">
      <c r="A222" s="2"/>
      <c r="C222" s="2"/>
    </row>
    <row r="223" spans="1:3">
      <c r="A223" s="2"/>
      <c r="C223" s="2"/>
    </row>
    <row r="224" spans="1:3">
      <c r="A224" s="2"/>
      <c r="C224" s="2"/>
    </row>
    <row r="225" spans="1:3">
      <c r="A225" s="2"/>
      <c r="C225" s="2"/>
    </row>
    <row r="226" spans="1:3">
      <c r="A226" s="2"/>
      <c r="C226" s="2"/>
    </row>
    <row r="227" spans="1:3">
      <c r="A227" s="2"/>
      <c r="C227" s="2"/>
    </row>
    <row r="228" spans="1:3">
      <c r="A228" s="2"/>
      <c r="C228" s="2"/>
    </row>
    <row r="229" spans="1:3">
      <c r="A229" s="2"/>
      <c r="C229" s="2"/>
    </row>
    <row r="230" spans="1:3">
      <c r="A230" s="2"/>
      <c r="C230" s="2"/>
    </row>
    <row r="231" spans="1:3">
      <c r="A231" s="2"/>
      <c r="C231" s="2"/>
    </row>
    <row r="232" spans="1:3">
      <c r="A232" s="2"/>
      <c r="C232" s="2"/>
    </row>
    <row r="233" spans="1:3">
      <c r="A233" s="2"/>
      <c r="C233" s="2"/>
    </row>
    <row r="234" spans="1:3">
      <c r="A234" s="2"/>
      <c r="C234" s="2"/>
    </row>
    <row r="235" spans="1:3">
      <c r="A235" s="2"/>
      <c r="C235" s="2"/>
    </row>
    <row r="236" spans="1:3">
      <c r="A236" s="2"/>
      <c r="C236" s="2"/>
    </row>
    <row r="237" spans="1:3">
      <c r="A237" s="2"/>
      <c r="C237" s="2"/>
    </row>
    <row r="238" spans="1:3">
      <c r="A238" s="2"/>
      <c r="C238" s="2"/>
    </row>
    <row r="239" spans="1:3">
      <c r="A239" s="2"/>
      <c r="C239" s="2"/>
    </row>
    <row r="240" spans="1:3">
      <c r="A240" s="2"/>
      <c r="C240" s="2"/>
    </row>
    <row r="241" spans="1:3">
      <c r="A241" s="2"/>
      <c r="C241" s="2"/>
    </row>
    <row r="242" spans="1:3">
      <c r="A242" s="2"/>
      <c r="C242" s="2"/>
    </row>
    <row r="243" spans="1:3">
      <c r="A243" s="2"/>
      <c r="C243" s="2"/>
    </row>
    <row r="244" spans="1:3">
      <c r="A244" s="2"/>
      <c r="C244" s="2"/>
    </row>
    <row r="245" spans="1:3">
      <c r="A245" s="2"/>
      <c r="C245" s="2"/>
    </row>
    <row r="246" spans="1:3">
      <c r="A246" s="2"/>
      <c r="C246" s="2"/>
    </row>
    <row r="247" spans="1:3">
      <c r="A247" s="2"/>
      <c r="C247" s="2"/>
    </row>
    <row r="248" spans="1:3">
      <c r="A248" s="2"/>
      <c r="C248" s="2"/>
    </row>
    <row r="249" spans="1:3">
      <c r="A249" s="2"/>
      <c r="C249" s="2"/>
    </row>
    <row r="250" spans="1:3">
      <c r="A250" s="2"/>
      <c r="C250" s="2"/>
    </row>
    <row r="251" spans="1:3">
      <c r="A251" s="2"/>
      <c r="C251" s="2"/>
    </row>
    <row r="252" spans="1:3">
      <c r="A252" s="2"/>
      <c r="C252" s="2"/>
    </row>
    <row r="253" spans="1:3">
      <c r="A253" s="2"/>
      <c r="C253" s="2"/>
    </row>
    <row r="254" spans="1:3">
      <c r="A254" s="2"/>
      <c r="C254" s="2"/>
    </row>
    <row r="255" spans="1:3">
      <c r="A255" s="2"/>
      <c r="C255" s="2"/>
    </row>
    <row r="256" spans="1:3">
      <c r="A256" s="2"/>
      <c r="C256" s="2"/>
    </row>
    <row r="257" spans="1:3">
      <c r="A257" s="2"/>
      <c r="C257" s="2"/>
    </row>
    <row r="258" spans="1:3">
      <c r="A258" s="2"/>
      <c r="C258" s="2"/>
    </row>
    <row r="259" spans="1:3">
      <c r="A259" s="2"/>
      <c r="C259" s="2"/>
    </row>
    <row r="260" spans="1:3">
      <c r="A260" s="2"/>
      <c r="C260" s="2"/>
    </row>
    <row r="261" spans="1:3">
      <c r="A261" s="2"/>
      <c r="C261" s="2"/>
    </row>
    <row r="262" spans="1:3">
      <c r="A262" s="2"/>
      <c r="C262" s="2"/>
    </row>
    <row r="263" spans="1:3">
      <c r="A263" s="2"/>
      <c r="C263" s="2"/>
    </row>
    <row r="264" spans="1:3">
      <c r="A264" s="2"/>
      <c r="C264" s="2"/>
    </row>
    <row r="265" spans="1:3">
      <c r="A265" s="2"/>
      <c r="C265" s="2"/>
    </row>
    <row r="266" spans="1:3">
      <c r="A266" s="2"/>
      <c r="C266" s="2"/>
    </row>
    <row r="267" spans="1:3">
      <c r="A267" s="2"/>
      <c r="C267" s="2"/>
    </row>
    <row r="268" spans="1:3">
      <c r="A268" s="2"/>
      <c r="C268" s="2"/>
    </row>
    <row r="269" spans="1:3">
      <c r="A269" s="2"/>
      <c r="C269" s="2"/>
    </row>
    <row r="270" spans="1:3">
      <c r="A270" s="2"/>
      <c r="C270" s="2"/>
    </row>
    <row r="271" spans="1:3">
      <c r="A271" s="2"/>
      <c r="C271" s="2"/>
    </row>
    <row r="272" spans="1:3">
      <c r="A272" s="2"/>
      <c r="C272" s="2"/>
    </row>
    <row r="273" spans="1:3">
      <c r="A273" s="2"/>
      <c r="C273" s="2"/>
    </row>
    <row r="274" spans="1:3">
      <c r="A274" s="2"/>
      <c r="C274" s="2"/>
    </row>
    <row r="275" spans="1:3">
      <c r="A275" s="2"/>
      <c r="C275" s="2"/>
    </row>
    <row r="276" spans="1:3">
      <c r="A276" s="2"/>
      <c r="C276" s="2"/>
    </row>
    <row r="277" spans="1:3">
      <c r="A277" s="2"/>
      <c r="C277" s="2"/>
    </row>
    <row r="278" spans="1:3">
      <c r="A278" s="2"/>
      <c r="C278" s="2"/>
    </row>
    <row r="279" spans="1:3">
      <c r="A279" s="2"/>
      <c r="C279" s="2"/>
    </row>
    <row r="280" spans="1:3">
      <c r="A280" s="2"/>
      <c r="C280" s="2"/>
    </row>
    <row r="281" spans="1:3">
      <c r="A281" s="2"/>
      <c r="C281" s="2"/>
    </row>
    <row r="282" spans="1:3">
      <c r="A282" s="2"/>
      <c r="C282" s="2"/>
    </row>
    <row r="283" spans="1:3">
      <c r="A283" s="2"/>
      <c r="C283" s="2"/>
    </row>
    <row r="284" spans="1:3">
      <c r="A284" s="2"/>
      <c r="C284" s="2"/>
    </row>
    <row r="285" spans="1:3">
      <c r="A285" s="2"/>
      <c r="C285" s="2"/>
    </row>
    <row r="286" spans="1:3">
      <c r="A286" s="2"/>
      <c r="C286" s="2"/>
    </row>
    <row r="287" spans="1:3">
      <c r="A287" s="2"/>
      <c r="C287" s="2"/>
    </row>
    <row r="288" spans="1:3">
      <c r="A288" s="2"/>
      <c r="C288" s="2"/>
    </row>
    <row r="289" spans="1:3">
      <c r="A289" s="2"/>
      <c r="C289" s="2"/>
    </row>
    <row r="290" spans="1:3">
      <c r="A290" s="2"/>
      <c r="C290" s="2"/>
    </row>
    <row r="291" spans="1:3">
      <c r="A291" s="2"/>
      <c r="C291" s="2"/>
    </row>
    <row r="292" spans="1:3">
      <c r="A292" s="2"/>
      <c r="C292" s="2"/>
    </row>
    <row r="293" spans="1:3">
      <c r="A293" s="2"/>
      <c r="C293" s="2"/>
    </row>
    <row r="294" spans="1:3">
      <c r="A294" s="2"/>
      <c r="C294" s="2"/>
    </row>
    <row r="295" spans="1:3">
      <c r="A295" s="2"/>
      <c r="C295" s="2"/>
    </row>
    <row r="296" spans="1:3">
      <c r="A296" s="2"/>
      <c r="C296" s="2"/>
    </row>
    <row r="297" spans="1:3">
      <c r="A297" s="2"/>
      <c r="C297" s="2"/>
    </row>
    <row r="298" spans="1:3">
      <c r="A298" s="2"/>
      <c r="C298" s="2"/>
    </row>
    <row r="299" spans="1:3">
      <c r="A299" s="2"/>
      <c r="C299" s="2"/>
    </row>
    <row r="300" spans="1:3">
      <c r="A300" s="2"/>
      <c r="C300" s="2"/>
    </row>
    <row r="301" spans="1:3">
      <c r="A301" s="2"/>
      <c r="C301" s="2"/>
    </row>
    <row r="302" spans="1:3">
      <c r="A302" s="2"/>
      <c r="C302" s="2"/>
    </row>
    <row r="303" spans="1:3">
      <c r="A303" s="2"/>
      <c r="C303" s="2"/>
    </row>
    <row r="304" spans="1:3">
      <c r="A304" s="2"/>
      <c r="C304" s="2"/>
    </row>
    <row r="305" spans="1:3">
      <c r="A305" s="2"/>
      <c r="C305" s="2"/>
    </row>
    <row r="306" spans="1:3">
      <c r="A306" s="2"/>
      <c r="C306" s="2"/>
    </row>
    <row r="307" spans="1:3">
      <c r="A307" s="2"/>
      <c r="C307" s="2"/>
    </row>
    <row r="308" spans="1:3">
      <c r="A308" s="2"/>
      <c r="C308" s="2"/>
    </row>
    <row r="309" spans="1:3">
      <c r="A309" s="2"/>
      <c r="C309" s="2"/>
    </row>
    <row r="310" spans="1:3">
      <c r="A310" s="2"/>
      <c r="C310" s="2"/>
    </row>
    <row r="311" spans="1:3">
      <c r="A311" s="2"/>
      <c r="C311" s="2"/>
    </row>
    <row r="312" spans="1:3">
      <c r="A312" s="2"/>
      <c r="C312" s="2"/>
    </row>
    <row r="313" spans="1:3">
      <c r="A313" s="2"/>
      <c r="C313" s="2"/>
    </row>
    <row r="314" spans="1:3">
      <c r="A314" s="2"/>
      <c r="C314" s="2"/>
    </row>
    <row r="315" spans="1:3">
      <c r="A315" s="2"/>
      <c r="C315" s="2"/>
    </row>
    <row r="316" spans="1:3">
      <c r="A316" s="2"/>
      <c r="C316" s="2"/>
    </row>
    <row r="317" spans="1:3">
      <c r="A317" s="2"/>
      <c r="C317" s="2"/>
    </row>
    <row r="318" spans="1:3">
      <c r="A318" s="2"/>
      <c r="C318" s="2"/>
    </row>
    <row r="319" spans="1:3">
      <c r="A319" s="2"/>
      <c r="C319" s="2"/>
    </row>
    <row r="320" spans="1:3">
      <c r="A320" s="2"/>
      <c r="C320" s="2"/>
    </row>
    <row r="321" spans="1:3">
      <c r="A321" s="2"/>
      <c r="C321" s="2"/>
    </row>
    <row r="322" spans="1:3">
      <c r="A322" s="2"/>
      <c r="C322" s="2"/>
    </row>
    <row r="323" spans="1:3">
      <c r="A323" s="2"/>
      <c r="C323" s="2"/>
    </row>
    <row r="324" spans="1:3">
      <c r="A324" s="2"/>
      <c r="C324" s="2"/>
    </row>
    <row r="325" spans="1:3">
      <c r="A325" s="2"/>
      <c r="C325" s="2"/>
    </row>
    <row r="326" spans="1:3">
      <c r="A326" s="2"/>
      <c r="C326" s="2"/>
    </row>
    <row r="327" spans="1:3">
      <c r="A327" s="2"/>
      <c r="C327" s="2"/>
    </row>
    <row r="328" spans="1:3">
      <c r="A328" s="2"/>
      <c r="C328" s="2"/>
    </row>
    <row r="329" spans="1:3">
      <c r="A329" s="2"/>
      <c r="C329" s="2"/>
    </row>
    <row r="330" spans="1:3">
      <c r="A330" s="2"/>
      <c r="C330" s="2"/>
    </row>
    <row r="331" spans="1:3">
      <c r="A331" s="2"/>
      <c r="C331" s="2"/>
    </row>
    <row r="332" spans="1:3">
      <c r="A332" s="2"/>
      <c r="C332" s="2"/>
    </row>
    <row r="333" spans="1:3">
      <c r="A333" s="2"/>
      <c r="C333" s="2"/>
    </row>
    <row r="334" spans="1:3">
      <c r="A334" s="2"/>
      <c r="C334" s="2"/>
    </row>
    <row r="335" spans="1:3">
      <c r="A335" s="2"/>
      <c r="C335" s="2"/>
    </row>
    <row r="336" spans="1:3">
      <c r="A336" s="2"/>
      <c r="C336" s="2"/>
    </row>
    <row r="337" spans="1:3">
      <c r="A337" s="2"/>
      <c r="C337" s="2"/>
    </row>
    <row r="338" spans="1:3">
      <c r="A338" s="2"/>
      <c r="C338" s="2"/>
    </row>
    <row r="339" spans="1:3">
      <c r="A339" s="2"/>
      <c r="C339" s="2"/>
    </row>
    <row r="340" spans="1:3">
      <c r="A340" s="2"/>
      <c r="C340" s="2"/>
    </row>
    <row r="341" spans="1:3">
      <c r="A341" s="2"/>
      <c r="C341" s="2"/>
    </row>
    <row r="342" spans="1:3">
      <c r="A342" s="2"/>
      <c r="C342" s="2"/>
    </row>
    <row r="343" spans="1:3">
      <c r="A343" s="2"/>
      <c r="C343" s="2"/>
    </row>
    <row r="344" spans="1:3">
      <c r="A344" s="2"/>
      <c r="C344" s="2"/>
    </row>
    <row r="345" spans="1:3">
      <c r="A345" s="2"/>
      <c r="C345" s="2"/>
    </row>
    <row r="346" spans="1:3">
      <c r="A346" s="2"/>
      <c r="C346" s="2"/>
    </row>
    <row r="347" spans="1:3">
      <c r="A347" s="2"/>
      <c r="C347" s="2"/>
    </row>
    <row r="348" spans="1:3">
      <c r="A348" s="2"/>
      <c r="C348" s="2"/>
    </row>
    <row r="349" spans="1:3">
      <c r="A349" s="2"/>
      <c r="C349" s="2"/>
    </row>
    <row r="350" spans="1:3">
      <c r="A350" s="2"/>
      <c r="C350" s="2"/>
    </row>
    <row r="351" spans="1:3">
      <c r="A351" s="2"/>
      <c r="C351" s="2"/>
    </row>
    <row r="352" spans="1:3">
      <c r="A352" s="2"/>
      <c r="C352" s="2"/>
    </row>
    <row r="353" spans="1:3">
      <c r="A353" s="2"/>
      <c r="C353" s="2"/>
    </row>
    <row r="354" spans="1:3">
      <c r="A354" s="2"/>
      <c r="C354" s="2"/>
    </row>
    <row r="355" spans="1:3">
      <c r="A355" s="2"/>
      <c r="C355" s="2"/>
    </row>
    <row r="356" spans="1:3">
      <c r="A356" s="2"/>
      <c r="C356" s="2"/>
    </row>
    <row r="357" spans="1:3">
      <c r="A357" s="2"/>
      <c r="C357" s="2"/>
    </row>
    <row r="358" spans="1:3">
      <c r="A358" s="2"/>
      <c r="C358" s="2"/>
    </row>
    <row r="359" spans="1:3">
      <c r="A359" s="2"/>
      <c r="C359" s="2"/>
    </row>
    <row r="360" spans="1:3">
      <c r="A360" s="2"/>
      <c r="C360" s="2"/>
    </row>
    <row r="361" spans="1:3">
      <c r="A361" s="2"/>
      <c r="C361" s="2"/>
    </row>
    <row r="362" spans="1:3">
      <c r="A362" s="2"/>
      <c r="C362" s="2"/>
    </row>
    <row r="363" spans="1:3">
      <c r="A363" s="2"/>
      <c r="C363" s="2"/>
    </row>
    <row r="364" spans="1:3">
      <c r="A364" s="2"/>
      <c r="C364" s="2"/>
    </row>
    <row r="365" spans="1:3">
      <c r="A365" s="2"/>
      <c r="C365" s="2"/>
    </row>
    <row r="366" spans="1:3">
      <c r="A366" s="2"/>
      <c r="C366" s="2"/>
    </row>
    <row r="367" spans="1:3">
      <c r="A367" s="2"/>
      <c r="C367" s="2"/>
    </row>
    <row r="368" spans="1:3">
      <c r="A368" s="2"/>
      <c r="C368" s="2"/>
    </row>
    <row r="369" spans="1:3">
      <c r="A369" s="2"/>
      <c r="C369" s="2"/>
    </row>
    <row r="370" spans="1:3">
      <c r="A370" s="2"/>
      <c r="C370" s="2"/>
    </row>
    <row r="371" spans="1:3">
      <c r="A371" s="2"/>
      <c r="C371" s="2"/>
    </row>
    <row r="372" spans="1:3">
      <c r="A372" s="2"/>
      <c r="C372" s="2"/>
    </row>
    <row r="373" spans="1:3">
      <c r="A373" s="2"/>
      <c r="C373" s="2"/>
    </row>
    <row r="374" spans="1:3">
      <c r="A374" s="2"/>
      <c r="C374" s="2"/>
    </row>
    <row r="375" spans="1:3">
      <c r="A375" s="2"/>
      <c r="C375" s="2"/>
    </row>
    <row r="376" spans="1:3">
      <c r="A376" s="2"/>
      <c r="C376" s="2"/>
    </row>
    <row r="377" spans="1:3">
      <c r="A377" s="2"/>
      <c r="C377" s="2"/>
    </row>
    <row r="378" spans="1:3">
      <c r="A378" s="2"/>
      <c r="C378" s="2"/>
    </row>
    <row r="379" spans="1:3">
      <c r="A379" s="2"/>
      <c r="C379" s="2"/>
    </row>
    <row r="380" spans="1:3">
      <c r="A380" s="2"/>
      <c r="C380" s="2"/>
    </row>
    <row r="381" spans="1:3">
      <c r="A381" s="2"/>
      <c r="C381" s="2"/>
    </row>
    <row r="382" spans="1:3">
      <c r="A382" s="2"/>
      <c r="C382" s="2"/>
    </row>
    <row r="383" spans="1:3">
      <c r="A383" s="2"/>
      <c r="C383" s="2"/>
    </row>
    <row r="384" spans="1:3">
      <c r="A384" s="2"/>
      <c r="C384" s="2"/>
    </row>
    <row r="385" spans="1:3">
      <c r="A385" s="2"/>
      <c r="C385" s="2"/>
    </row>
    <row r="386" spans="1:3">
      <c r="A386" s="2"/>
      <c r="C386" s="2"/>
    </row>
    <row r="387" spans="1:3">
      <c r="A387" s="2"/>
      <c r="C387" s="2"/>
    </row>
    <row r="388" spans="1:3">
      <c r="A388" s="2"/>
      <c r="C388" s="2"/>
    </row>
    <row r="389" spans="1:3">
      <c r="A389" s="2"/>
      <c r="C389" s="2"/>
    </row>
    <row r="390" spans="1:3">
      <c r="A390" s="2"/>
      <c r="C390" s="2"/>
    </row>
    <row r="391" spans="1:3">
      <c r="A391" s="2"/>
      <c r="C391" s="2"/>
    </row>
    <row r="392" spans="1:3">
      <c r="A392" s="2"/>
      <c r="C392" s="2"/>
    </row>
    <row r="393" spans="1:3">
      <c r="A393" s="2"/>
      <c r="C393" s="2"/>
    </row>
    <row r="394" spans="1:3">
      <c r="A394" s="2"/>
      <c r="C394" s="2"/>
    </row>
    <row r="395" spans="1:3">
      <c r="A395" s="2"/>
      <c r="C395" s="2"/>
    </row>
    <row r="396" spans="1:3">
      <c r="A396" s="2"/>
      <c r="C396" s="2"/>
    </row>
    <row r="397" spans="1:3">
      <c r="A397" s="2"/>
      <c r="C397" s="2"/>
    </row>
    <row r="398" spans="1:3">
      <c r="A398" s="2"/>
      <c r="C398" s="2"/>
    </row>
    <row r="399" spans="1:3">
      <c r="A399" s="2"/>
      <c r="C399" s="2"/>
    </row>
    <row r="400" spans="1:3">
      <c r="A400" s="2"/>
      <c r="C400" s="2"/>
    </row>
    <row r="401" spans="1:3">
      <c r="A401" s="2"/>
      <c r="C401" s="2"/>
    </row>
    <row r="402" spans="1:3">
      <c r="A402" s="2"/>
      <c r="C402" s="2"/>
    </row>
    <row r="403" spans="1:3">
      <c r="A403" s="2"/>
      <c r="C403" s="2"/>
    </row>
    <row r="404" spans="1:3">
      <c r="A404" s="2"/>
      <c r="C404" s="2"/>
    </row>
    <row r="405" spans="1:3">
      <c r="A405" s="2"/>
      <c r="C405" s="2"/>
    </row>
    <row r="406" spans="1:3">
      <c r="A406" s="2"/>
      <c r="C406" s="2"/>
    </row>
    <row r="407" spans="1:3">
      <c r="A407" s="2"/>
      <c r="C407" s="2"/>
    </row>
    <row r="408" spans="1:3">
      <c r="A408" s="2"/>
      <c r="C408" s="2"/>
    </row>
    <row r="409" spans="1:3">
      <c r="A409" s="2"/>
      <c r="C409" s="2"/>
    </row>
    <row r="410" spans="1:3">
      <c r="A410" s="2"/>
      <c r="C410" s="2"/>
    </row>
    <row r="411" spans="1:3">
      <c r="A411" s="2"/>
      <c r="C411" s="2"/>
    </row>
    <row r="412" spans="1:3">
      <c r="A412" s="2"/>
      <c r="C412" s="2"/>
    </row>
    <row r="413" spans="1:3">
      <c r="A413" s="2"/>
      <c r="C413" s="2"/>
    </row>
    <row r="414" spans="1:3">
      <c r="A414" s="2"/>
      <c r="C414" s="2"/>
    </row>
    <row r="415" spans="1:3">
      <c r="A415" s="2"/>
      <c r="C415" s="2"/>
    </row>
    <row r="416" spans="1:3">
      <c r="A416" s="2"/>
      <c r="C416" s="2"/>
    </row>
    <row r="417" spans="1:3">
      <c r="A417" s="2"/>
      <c r="C417" s="2"/>
    </row>
    <row r="418" spans="1:3">
      <c r="A418" s="2"/>
      <c r="C418" s="2"/>
    </row>
    <row r="419" spans="1:3">
      <c r="A419" s="2"/>
      <c r="C419" s="2"/>
    </row>
    <row r="420" spans="1:3">
      <c r="A420" s="2"/>
      <c r="C420" s="2"/>
    </row>
    <row r="421" spans="1:3">
      <c r="A421" s="2"/>
      <c r="C421" s="2"/>
    </row>
    <row r="422" spans="1:3">
      <c r="A422" s="2"/>
      <c r="C422" s="2"/>
    </row>
    <row r="423" spans="1:3">
      <c r="A423" s="2"/>
      <c r="C423" s="2"/>
    </row>
    <row r="424" spans="1:3">
      <c r="A424" s="2"/>
      <c r="C424" s="2"/>
    </row>
    <row r="425" spans="1:3">
      <c r="A425" s="2"/>
      <c r="C425" s="2"/>
    </row>
    <row r="426" spans="1:3">
      <c r="A426" s="2"/>
      <c r="C426" s="2"/>
    </row>
    <row r="427" spans="1:3">
      <c r="A427" s="2"/>
      <c r="C427" s="2"/>
    </row>
    <row r="428" spans="1:3">
      <c r="A428" s="2"/>
      <c r="C428" s="2"/>
    </row>
    <row r="429" spans="1:3">
      <c r="A429" s="2"/>
      <c r="C429" s="2"/>
    </row>
    <row r="430" spans="1:3">
      <c r="A430" s="2"/>
      <c r="C430" s="2"/>
    </row>
    <row r="431" spans="1:3">
      <c r="A431" s="2"/>
      <c r="C431" s="2"/>
    </row>
    <row r="432" spans="1:3">
      <c r="A432" s="2"/>
      <c r="C432" s="2"/>
    </row>
    <row r="433" spans="1:3">
      <c r="A433" s="2"/>
      <c r="C433" s="2"/>
    </row>
    <row r="434" spans="1:3">
      <c r="A434" s="2"/>
      <c r="C434" s="2"/>
    </row>
    <row r="435" spans="1:3">
      <c r="A435" s="2"/>
      <c r="C435" s="2"/>
    </row>
    <row r="436" spans="1:3">
      <c r="A436" s="2"/>
      <c r="C436" s="2"/>
    </row>
    <row r="437" spans="1:3">
      <c r="A437" s="2"/>
      <c r="C437" s="2"/>
    </row>
    <row r="438" spans="1:3">
      <c r="A438" s="2"/>
      <c r="C438" s="2"/>
    </row>
    <row r="439" spans="1:3">
      <c r="A439" s="2"/>
      <c r="C439" s="2"/>
    </row>
    <row r="440" spans="1:3">
      <c r="A440" s="2"/>
      <c r="C440" s="2"/>
    </row>
    <row r="441" spans="1:3">
      <c r="A441" s="2"/>
      <c r="C441" s="2"/>
    </row>
    <row r="442" spans="1:3">
      <c r="A442" s="2"/>
      <c r="C442" s="2"/>
    </row>
    <row r="443" spans="1:3">
      <c r="A443" s="2"/>
      <c r="C443" s="2"/>
    </row>
    <row r="444" spans="1:3">
      <c r="A444" s="2"/>
      <c r="C444" s="2"/>
    </row>
    <row r="445" spans="1:3">
      <c r="A445" s="2"/>
      <c r="C445" s="2"/>
    </row>
    <row r="446" spans="1:3">
      <c r="A446" s="2"/>
      <c r="C446" s="2"/>
    </row>
    <row r="447" spans="1:3">
      <c r="A447" s="2"/>
      <c r="C447" s="2"/>
    </row>
    <row r="448" spans="1:3">
      <c r="A448" s="2"/>
      <c r="C448" s="2"/>
    </row>
    <row r="449" spans="1:3">
      <c r="A449" s="2"/>
      <c r="C449" s="2"/>
    </row>
    <row r="450" spans="1:3">
      <c r="A450" s="2"/>
      <c r="C450" s="2"/>
    </row>
    <row r="451" spans="1:3">
      <c r="A451" s="2"/>
      <c r="C451" s="2"/>
    </row>
    <row r="452" spans="1:3">
      <c r="A452" s="2"/>
      <c r="C452" s="2"/>
    </row>
    <row r="453" spans="1:3">
      <c r="A453" s="2"/>
      <c r="C453" s="2"/>
    </row>
    <row r="454" spans="1:3">
      <c r="A454" s="2"/>
      <c r="C454" s="2"/>
    </row>
    <row r="455" spans="1:3">
      <c r="A455" s="2"/>
      <c r="C455" s="2"/>
    </row>
    <row r="456" spans="1:3">
      <c r="A456" s="2"/>
      <c r="C456" s="2"/>
    </row>
    <row r="457" spans="1:3">
      <c r="A457" s="2"/>
      <c r="C457" s="2"/>
    </row>
    <row r="458" spans="1:3">
      <c r="A458" s="2"/>
      <c r="C458" s="2"/>
    </row>
    <row r="459" spans="1:3">
      <c r="A459" s="2"/>
      <c r="C459" s="2"/>
    </row>
    <row r="460" spans="1:3">
      <c r="A460" s="2"/>
      <c r="C460" s="2"/>
    </row>
    <row r="461" spans="1:3">
      <c r="A461" s="2"/>
      <c r="C461" s="2"/>
    </row>
    <row r="462" spans="1:3">
      <c r="A462" s="2"/>
      <c r="C462" s="2"/>
    </row>
    <row r="463" spans="1:3">
      <c r="A463" s="2"/>
      <c r="C463" s="2"/>
    </row>
    <row r="464" spans="1:3">
      <c r="A464" s="2"/>
      <c r="C464" s="2"/>
    </row>
    <row r="465" spans="1:3">
      <c r="A465" s="2"/>
      <c r="C465" s="2"/>
    </row>
    <row r="466" spans="1:3">
      <c r="A466" s="2"/>
      <c r="C466" s="2"/>
    </row>
    <row r="467" spans="1:3">
      <c r="A467" s="2"/>
      <c r="C467" s="2"/>
    </row>
    <row r="468" spans="1:3">
      <c r="A468" s="2"/>
      <c r="C468" s="2"/>
    </row>
    <row r="469" spans="1:3">
      <c r="A469" s="2"/>
      <c r="C469" s="2"/>
    </row>
    <row r="470" spans="1:3">
      <c r="A470" s="2"/>
      <c r="C470" s="2"/>
    </row>
    <row r="471" spans="1:3">
      <c r="A471" s="2"/>
      <c r="C471" s="2"/>
    </row>
    <row r="472" spans="1:3">
      <c r="A472" s="2"/>
      <c r="C472" s="2"/>
    </row>
    <row r="473" spans="1:3">
      <c r="A473" s="2"/>
      <c r="C473" s="2"/>
    </row>
    <row r="474" spans="1:3">
      <c r="A474" s="2"/>
      <c r="C474" s="2"/>
    </row>
    <row r="475" spans="1:3">
      <c r="A475" s="2"/>
      <c r="C475" s="2"/>
    </row>
    <row r="476" spans="1:3">
      <c r="A476" s="2"/>
      <c r="C476" s="2"/>
    </row>
    <row r="477" spans="1:3">
      <c r="A477" s="2"/>
      <c r="C477" s="2"/>
    </row>
    <row r="478" spans="1:3">
      <c r="A478" s="2"/>
      <c r="C478" s="2"/>
    </row>
    <row r="479" spans="1:3">
      <c r="A479" s="2"/>
      <c r="C479" s="2"/>
    </row>
    <row r="480" spans="1:3">
      <c r="A480" s="2"/>
      <c r="C480" s="2"/>
    </row>
    <row r="481" spans="1:3">
      <c r="A481" s="2"/>
      <c r="C481" s="2"/>
    </row>
    <row r="482" spans="1:3">
      <c r="A482" s="2"/>
      <c r="C482" s="2"/>
    </row>
    <row r="483" spans="1:3">
      <c r="A483" s="2"/>
      <c r="C483" s="2"/>
    </row>
    <row r="484" spans="1:3">
      <c r="A484" s="2"/>
      <c r="C484" s="2"/>
    </row>
    <row r="485" spans="1:3">
      <c r="A485" s="2"/>
      <c r="C485" s="2"/>
    </row>
    <row r="486" spans="1:3">
      <c r="A486" s="2"/>
      <c r="C486" s="2"/>
    </row>
    <row r="487" spans="1:3">
      <c r="A487" s="2"/>
      <c r="C487" s="2"/>
    </row>
    <row r="488" spans="1:3">
      <c r="A488" s="2"/>
      <c r="C488" s="2"/>
    </row>
    <row r="489" spans="1:3">
      <c r="A489" s="2"/>
      <c r="C489" s="2"/>
    </row>
    <row r="490" spans="1:3">
      <c r="A490" s="2"/>
      <c r="C490" s="2"/>
    </row>
    <row r="491" spans="1:3">
      <c r="A491" s="2"/>
      <c r="C491" s="2"/>
    </row>
    <row r="492" spans="1:3">
      <c r="A492" s="2"/>
      <c r="C492" s="2"/>
    </row>
    <row r="493" spans="1:3">
      <c r="A493" s="2"/>
      <c r="C493" s="2"/>
    </row>
    <row r="494" spans="1:3">
      <c r="A494" s="2"/>
      <c r="C494" s="2"/>
    </row>
    <row r="495" spans="1:3">
      <c r="A495" s="2"/>
      <c r="C495" s="2"/>
    </row>
    <row r="496" spans="1:3">
      <c r="A496" s="2"/>
      <c r="C496" s="2"/>
    </row>
    <row r="497" spans="1:3">
      <c r="A497" s="2"/>
      <c r="C497" s="2"/>
    </row>
    <row r="498" spans="1:3">
      <c r="A498" s="2"/>
      <c r="C498" s="2"/>
    </row>
    <row r="499" spans="1:3">
      <c r="A499" s="2"/>
      <c r="C499" s="2"/>
    </row>
    <row r="500" spans="1:3">
      <c r="A500" s="2"/>
      <c r="C500" s="2"/>
    </row>
    <row r="501" spans="1:3">
      <c r="A501" s="2"/>
      <c r="C501" s="2"/>
    </row>
    <row r="502" spans="1:3">
      <c r="A502" s="2"/>
      <c r="C502" s="2"/>
    </row>
    <row r="503" spans="1:3">
      <c r="A503" s="2"/>
      <c r="C503" s="2"/>
    </row>
    <row r="504" spans="1:3">
      <c r="A504" s="2"/>
      <c r="C504" s="2"/>
    </row>
    <row r="505" spans="1:3">
      <c r="A505" s="2"/>
      <c r="C505" s="2"/>
    </row>
    <row r="506" spans="1:3">
      <c r="A506" s="2"/>
      <c r="C506" s="2"/>
    </row>
    <row r="507" spans="1:3">
      <c r="C507" s="2"/>
    </row>
  </sheetData>
  <mergeCells count="1">
    <mergeCell ref="B4:H4"/>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71712" r:id="rId3" name="Button 32">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71713" r:id="rId4" name="Button 33">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71714" r:id="rId5" name="Button 34">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71715" r:id="rId6" name="Button 35">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N36"/>
  <sheetViews>
    <sheetView workbookViewId="0"/>
  </sheetViews>
  <sheetFormatPr baseColWidth="10" defaultColWidth="8.83203125" defaultRowHeight="12" x14ac:dyDescent="0"/>
  <cols>
    <col min="1" max="1" width="13.1640625" customWidth="1"/>
    <col min="4" max="4" width="12" customWidth="1"/>
    <col min="8" max="8" width="13.5" customWidth="1"/>
    <col min="9" max="9" width="12.1640625" customWidth="1"/>
    <col min="10" max="10" width="15.5" customWidth="1"/>
    <col min="11" max="11" width="12.1640625" customWidth="1"/>
    <col min="12" max="12" width="13.83203125" customWidth="1"/>
    <col min="13" max="13" width="14.1640625" customWidth="1"/>
  </cols>
  <sheetData>
    <row r="1" spans="1:14">
      <c r="A1" s="21"/>
      <c r="B1" s="21"/>
      <c r="C1" s="21" t="s">
        <v>846</v>
      </c>
      <c r="D1" s="21"/>
      <c r="E1" s="21"/>
      <c r="F1" s="21"/>
      <c r="G1" s="21"/>
      <c r="H1" s="21"/>
      <c r="I1" s="21"/>
      <c r="J1" s="21"/>
      <c r="K1" s="21"/>
      <c r="L1" s="21"/>
    </row>
    <row r="2" spans="1:14" ht="21" customHeight="1">
      <c r="A2" s="21"/>
      <c r="B2" s="21"/>
      <c r="C2" s="21"/>
      <c r="D2" s="374"/>
      <c r="E2" s="374"/>
      <c r="F2" s="374"/>
      <c r="G2" s="374"/>
      <c r="H2" s="374"/>
      <c r="I2" s="374"/>
      <c r="J2" s="374"/>
      <c r="K2" s="374"/>
      <c r="L2" s="374"/>
      <c r="M2" s="372"/>
      <c r="N2" s="372"/>
    </row>
    <row r="3" spans="1:14">
      <c r="A3" s="24" t="s">
        <v>1045</v>
      </c>
      <c r="B3" s="33" t="s">
        <v>1100</v>
      </c>
      <c r="C3" s="24"/>
      <c r="D3" s="24"/>
      <c r="E3" s="24"/>
      <c r="F3" s="24"/>
      <c r="G3" s="24"/>
      <c r="H3" s="24"/>
      <c r="I3" s="24"/>
      <c r="J3" s="24"/>
      <c r="K3" s="24"/>
      <c r="L3" s="24"/>
    </row>
    <row r="4" spans="1:14">
      <c r="A4" s="24" t="s">
        <v>774</v>
      </c>
      <c r="B4" s="33" t="s">
        <v>1095</v>
      </c>
      <c r="C4" s="24"/>
      <c r="D4" s="24"/>
      <c r="E4" s="24"/>
      <c r="F4" s="24"/>
      <c r="G4" s="24"/>
      <c r="H4" s="24"/>
      <c r="I4" s="24"/>
      <c r="J4" s="24"/>
      <c r="K4" s="24"/>
      <c r="L4" s="24"/>
    </row>
    <row r="5" spans="1:14" ht="64.5" customHeight="1">
      <c r="A5" s="48" t="s">
        <v>779</v>
      </c>
      <c r="B5" s="446" t="s">
        <v>444</v>
      </c>
      <c r="C5" s="446"/>
      <c r="D5" s="446"/>
      <c r="E5" s="446"/>
      <c r="F5" s="446"/>
      <c r="G5" s="446"/>
      <c r="H5" s="446"/>
      <c r="I5" s="446"/>
      <c r="J5" s="446"/>
      <c r="K5" s="446"/>
      <c r="L5" s="446"/>
    </row>
    <row r="6" spans="1:14" ht="39" customHeight="1">
      <c r="A6" s="21"/>
      <c r="B6" s="24"/>
      <c r="C6" s="24"/>
      <c r="D6" s="24"/>
      <c r="E6" s="24"/>
      <c r="F6" s="24"/>
      <c r="G6" s="24"/>
      <c r="H6" s="24"/>
      <c r="I6" s="24"/>
      <c r="J6" s="24"/>
      <c r="K6" s="24"/>
      <c r="L6" s="24"/>
    </row>
    <row r="7" spans="1:14" ht="36">
      <c r="A7" s="22" t="s">
        <v>1090</v>
      </c>
      <c r="B7" s="22" t="s">
        <v>1096</v>
      </c>
      <c r="C7" s="22" t="s">
        <v>1097</v>
      </c>
      <c r="D7" s="22" t="s">
        <v>1098</v>
      </c>
      <c r="E7" s="22" t="s">
        <v>1099</v>
      </c>
      <c r="F7" s="31" t="s">
        <v>1268</v>
      </c>
      <c r="G7" s="31" t="s">
        <v>1269</v>
      </c>
      <c r="H7" s="31" t="s">
        <v>522</v>
      </c>
      <c r="I7" s="31" t="s">
        <v>1270</v>
      </c>
      <c r="J7" s="31" t="s">
        <v>1271</v>
      </c>
      <c r="K7" s="31" t="s">
        <v>1272</v>
      </c>
      <c r="L7" s="31" t="s">
        <v>1273</v>
      </c>
      <c r="M7" s="17"/>
    </row>
    <row r="8" spans="1:14">
      <c r="A8" s="34">
        <v>34103</v>
      </c>
      <c r="B8" s="35">
        <v>8.625</v>
      </c>
      <c r="C8" s="35">
        <v>8.25</v>
      </c>
      <c r="D8" s="35">
        <v>8.625</v>
      </c>
      <c r="E8" s="36">
        <v>19194</v>
      </c>
      <c r="F8" s="178">
        <f>D8-C8</f>
        <v>0.375</v>
      </c>
      <c r="G8" s="178">
        <f>B8-D8</f>
        <v>0</v>
      </c>
      <c r="H8" s="178">
        <f>B8-C8</f>
        <v>0.375</v>
      </c>
      <c r="I8" s="178">
        <f>(F8-G8)</f>
        <v>0.375</v>
      </c>
      <c r="J8" s="178">
        <f>I8/H8</f>
        <v>1</v>
      </c>
      <c r="K8" s="247">
        <f>J8*E8</f>
        <v>19194</v>
      </c>
      <c r="L8" s="247">
        <f>K8</f>
        <v>19194</v>
      </c>
      <c r="M8" s="16"/>
    </row>
    <row r="9" spans="1:14">
      <c r="A9" s="34">
        <v>34106</v>
      </c>
      <c r="B9" s="35">
        <v>8.875</v>
      </c>
      <c r="C9" s="35">
        <v>8.375</v>
      </c>
      <c r="D9" s="35">
        <v>8.375</v>
      </c>
      <c r="E9" s="36">
        <v>10768</v>
      </c>
      <c r="F9" s="178">
        <f t="shared" ref="F9:F29" si="0">D9-C9</f>
        <v>0</v>
      </c>
      <c r="G9" s="178">
        <f t="shared" ref="G9:G29" si="1">B9-D9</f>
        <v>0.5</v>
      </c>
      <c r="H9" s="178">
        <f t="shared" ref="H9:H29" si="2">B9-C9</f>
        <v>0.5</v>
      </c>
      <c r="I9" s="178">
        <f t="shared" ref="I9:I29" si="3">(F9-G9)</f>
        <v>-0.5</v>
      </c>
      <c r="J9" s="178">
        <f t="shared" ref="J9:J29" si="4">I9/H9</f>
        <v>-1</v>
      </c>
      <c r="K9" s="247">
        <f t="shared" ref="K9:K29" si="5">J9*E9</f>
        <v>-10768</v>
      </c>
      <c r="L9" s="247">
        <f>K9+L8</f>
        <v>8426</v>
      </c>
      <c r="M9" s="16"/>
    </row>
    <row r="10" spans="1:14">
      <c r="A10" s="27">
        <v>34107</v>
      </c>
      <c r="B10" s="37">
        <v>9.375</v>
      </c>
      <c r="C10" s="37">
        <v>8.375</v>
      </c>
      <c r="D10" s="37">
        <v>9.375</v>
      </c>
      <c r="E10" s="38">
        <v>20032</v>
      </c>
      <c r="F10" s="179">
        <f t="shared" si="0"/>
        <v>1</v>
      </c>
      <c r="G10" s="179">
        <f t="shared" si="1"/>
        <v>0</v>
      </c>
      <c r="H10" s="179">
        <f t="shared" si="2"/>
        <v>1</v>
      </c>
      <c r="I10" s="179">
        <f t="shared" si="3"/>
        <v>1</v>
      </c>
      <c r="J10" s="179">
        <f t="shared" si="4"/>
        <v>1</v>
      </c>
      <c r="K10" s="248">
        <f t="shared" si="5"/>
        <v>20032</v>
      </c>
      <c r="L10" s="248">
        <f t="shared" ref="L10:L29" si="6">K10+L9</f>
        <v>28458</v>
      </c>
      <c r="M10" s="16"/>
    </row>
    <row r="11" spans="1:14">
      <c r="A11" s="27">
        <v>34108</v>
      </c>
      <c r="B11" s="37">
        <v>10.125</v>
      </c>
      <c r="C11" s="37">
        <v>8.75</v>
      </c>
      <c r="D11" s="37">
        <v>8.75</v>
      </c>
      <c r="E11" s="38">
        <v>55218</v>
      </c>
      <c r="F11" s="179">
        <f t="shared" si="0"/>
        <v>0</v>
      </c>
      <c r="G11" s="179">
        <f t="shared" si="1"/>
        <v>1.375</v>
      </c>
      <c r="H11" s="179">
        <f t="shared" si="2"/>
        <v>1.375</v>
      </c>
      <c r="I11" s="179">
        <f t="shared" si="3"/>
        <v>-1.375</v>
      </c>
      <c r="J11" s="179">
        <f t="shared" si="4"/>
        <v>-1</v>
      </c>
      <c r="K11" s="248">
        <f t="shared" si="5"/>
        <v>-55218</v>
      </c>
      <c r="L11" s="248">
        <f t="shared" si="6"/>
        <v>-26760</v>
      </c>
      <c r="M11" s="16"/>
    </row>
    <row r="12" spans="1:14">
      <c r="A12" s="34">
        <v>34109</v>
      </c>
      <c r="B12" s="35">
        <v>9.375</v>
      </c>
      <c r="C12" s="35">
        <v>8.75</v>
      </c>
      <c r="D12" s="35">
        <v>9.375</v>
      </c>
      <c r="E12" s="36">
        <v>13172</v>
      </c>
      <c r="F12" s="178">
        <f t="shared" si="0"/>
        <v>0.625</v>
      </c>
      <c r="G12" s="178">
        <f t="shared" si="1"/>
        <v>0</v>
      </c>
      <c r="H12" s="178">
        <f t="shared" si="2"/>
        <v>0.625</v>
      </c>
      <c r="I12" s="178">
        <f t="shared" si="3"/>
        <v>0.625</v>
      </c>
      <c r="J12" s="178">
        <f t="shared" si="4"/>
        <v>1</v>
      </c>
      <c r="K12" s="247">
        <f t="shared" si="5"/>
        <v>13172</v>
      </c>
      <c r="L12" s="247">
        <f t="shared" si="6"/>
        <v>-13588</v>
      </c>
      <c r="M12" s="16"/>
    </row>
    <row r="13" spans="1:14">
      <c r="A13" s="34">
        <v>34110</v>
      </c>
      <c r="B13" s="35">
        <v>10.125</v>
      </c>
      <c r="C13" s="35">
        <v>9.25</v>
      </c>
      <c r="D13" s="35">
        <v>9.875</v>
      </c>
      <c r="E13" s="36">
        <v>22245</v>
      </c>
      <c r="F13" s="178">
        <f t="shared" si="0"/>
        <v>0.625</v>
      </c>
      <c r="G13" s="178">
        <f t="shared" si="1"/>
        <v>0.25</v>
      </c>
      <c r="H13" s="178">
        <f t="shared" si="2"/>
        <v>0.875</v>
      </c>
      <c r="I13" s="178">
        <f t="shared" si="3"/>
        <v>0.375</v>
      </c>
      <c r="J13" s="178">
        <f t="shared" si="4"/>
        <v>0.42857142857142855</v>
      </c>
      <c r="K13" s="247">
        <f t="shared" si="5"/>
        <v>9533.5714285714275</v>
      </c>
      <c r="L13" s="247">
        <f t="shared" si="6"/>
        <v>-4054.4285714285725</v>
      </c>
      <c r="M13" s="16"/>
    </row>
    <row r="14" spans="1:14">
      <c r="A14" s="27">
        <v>34113</v>
      </c>
      <c r="B14" s="37">
        <v>10</v>
      </c>
      <c r="C14" s="37">
        <v>9.125</v>
      </c>
      <c r="D14" s="37">
        <v>9.375</v>
      </c>
      <c r="E14" s="38">
        <v>15987</v>
      </c>
      <c r="F14" s="179">
        <f t="shared" si="0"/>
        <v>0.25</v>
      </c>
      <c r="G14" s="179">
        <f t="shared" si="1"/>
        <v>0.625</v>
      </c>
      <c r="H14" s="179">
        <f t="shared" si="2"/>
        <v>0.875</v>
      </c>
      <c r="I14" s="179">
        <f t="shared" si="3"/>
        <v>-0.375</v>
      </c>
      <c r="J14" s="179">
        <f t="shared" si="4"/>
        <v>-0.42857142857142855</v>
      </c>
      <c r="K14" s="248">
        <f t="shared" si="5"/>
        <v>-6851.5714285714284</v>
      </c>
      <c r="L14" s="248">
        <f t="shared" si="6"/>
        <v>-10906</v>
      </c>
      <c r="M14" s="16"/>
    </row>
    <row r="15" spans="1:14">
      <c r="A15" s="27">
        <v>34114</v>
      </c>
      <c r="B15" s="37">
        <v>9.75</v>
      </c>
      <c r="C15" s="37">
        <v>9.375</v>
      </c>
      <c r="D15" s="37">
        <v>9.625</v>
      </c>
      <c r="E15" s="38">
        <v>9646</v>
      </c>
      <c r="F15" s="179">
        <f t="shared" si="0"/>
        <v>0.25</v>
      </c>
      <c r="G15" s="179">
        <f t="shared" si="1"/>
        <v>0.125</v>
      </c>
      <c r="H15" s="179">
        <f t="shared" si="2"/>
        <v>0.375</v>
      </c>
      <c r="I15" s="179">
        <f t="shared" si="3"/>
        <v>0.125</v>
      </c>
      <c r="J15" s="179">
        <f t="shared" si="4"/>
        <v>0.33333333333333331</v>
      </c>
      <c r="K15" s="248">
        <f t="shared" si="5"/>
        <v>3215.333333333333</v>
      </c>
      <c r="L15" s="248">
        <f t="shared" si="6"/>
        <v>-7690.666666666667</v>
      </c>
      <c r="M15" s="16"/>
    </row>
    <row r="16" spans="1:14">
      <c r="A16" s="34">
        <v>34115</v>
      </c>
      <c r="B16" s="35">
        <v>9.5</v>
      </c>
      <c r="C16" s="35">
        <v>9</v>
      </c>
      <c r="D16" s="35">
        <v>9.125</v>
      </c>
      <c r="E16" s="36">
        <v>10848</v>
      </c>
      <c r="F16" s="178">
        <f t="shared" si="0"/>
        <v>0.125</v>
      </c>
      <c r="G16" s="178">
        <f t="shared" si="1"/>
        <v>0.375</v>
      </c>
      <c r="H16" s="178">
        <f t="shared" si="2"/>
        <v>0.5</v>
      </c>
      <c r="I16" s="178">
        <f t="shared" si="3"/>
        <v>-0.25</v>
      </c>
      <c r="J16" s="178">
        <f t="shared" si="4"/>
        <v>-0.5</v>
      </c>
      <c r="K16" s="247">
        <f t="shared" si="5"/>
        <v>-5424</v>
      </c>
      <c r="L16" s="247">
        <f t="shared" si="6"/>
        <v>-13114.666666666668</v>
      </c>
      <c r="M16" s="16"/>
    </row>
    <row r="17" spans="1:13">
      <c r="A17" s="34">
        <v>34116</v>
      </c>
      <c r="B17" s="35">
        <v>9.625</v>
      </c>
      <c r="C17" s="35">
        <v>8.875</v>
      </c>
      <c r="D17" s="35">
        <v>9.25</v>
      </c>
      <c r="E17" s="36">
        <v>14470</v>
      </c>
      <c r="F17" s="178">
        <f t="shared" si="0"/>
        <v>0.375</v>
      </c>
      <c r="G17" s="178">
        <f t="shared" si="1"/>
        <v>0.375</v>
      </c>
      <c r="H17" s="178">
        <f t="shared" si="2"/>
        <v>0.75</v>
      </c>
      <c r="I17" s="178">
        <f t="shared" si="3"/>
        <v>0</v>
      </c>
      <c r="J17" s="178">
        <f t="shared" si="4"/>
        <v>0</v>
      </c>
      <c r="K17" s="247">
        <f t="shared" si="5"/>
        <v>0</v>
      </c>
      <c r="L17" s="247">
        <f t="shared" si="6"/>
        <v>-13114.666666666668</v>
      </c>
      <c r="M17" s="16"/>
    </row>
    <row r="18" spans="1:13">
      <c r="A18" s="27">
        <v>34117</v>
      </c>
      <c r="B18" s="37">
        <v>10</v>
      </c>
      <c r="C18" s="37">
        <v>9.375</v>
      </c>
      <c r="D18" s="37">
        <v>9.75</v>
      </c>
      <c r="E18" s="38">
        <v>14973</v>
      </c>
      <c r="F18" s="179">
        <f t="shared" si="0"/>
        <v>0.375</v>
      </c>
      <c r="G18" s="179">
        <f t="shared" si="1"/>
        <v>0.25</v>
      </c>
      <c r="H18" s="179">
        <f t="shared" si="2"/>
        <v>0.625</v>
      </c>
      <c r="I18" s="179">
        <f t="shared" si="3"/>
        <v>0.125</v>
      </c>
      <c r="J18" s="179">
        <f t="shared" si="4"/>
        <v>0.2</v>
      </c>
      <c r="K18" s="248">
        <f t="shared" si="5"/>
        <v>2994.6000000000004</v>
      </c>
      <c r="L18" s="248">
        <f t="shared" si="6"/>
        <v>-10120.066666666668</v>
      </c>
      <c r="M18" s="16"/>
    </row>
    <row r="19" spans="1:13">
      <c r="A19" s="27">
        <v>34121</v>
      </c>
      <c r="B19" s="37">
        <v>9.75</v>
      </c>
      <c r="C19" s="37">
        <v>8.75</v>
      </c>
      <c r="D19" s="37">
        <v>8.875</v>
      </c>
      <c r="E19" s="38">
        <v>15799</v>
      </c>
      <c r="F19" s="179">
        <f t="shared" si="0"/>
        <v>0.125</v>
      </c>
      <c r="G19" s="179">
        <f t="shared" si="1"/>
        <v>0.875</v>
      </c>
      <c r="H19" s="179">
        <f t="shared" si="2"/>
        <v>1</v>
      </c>
      <c r="I19" s="179">
        <f t="shared" si="3"/>
        <v>-0.75</v>
      </c>
      <c r="J19" s="179">
        <f t="shared" si="4"/>
        <v>-0.75</v>
      </c>
      <c r="K19" s="248">
        <f t="shared" si="5"/>
        <v>-11849.25</v>
      </c>
      <c r="L19" s="248">
        <f t="shared" si="6"/>
        <v>-21969.316666666666</v>
      </c>
      <c r="M19" s="16"/>
    </row>
    <row r="20" spans="1:13">
      <c r="A20" s="34">
        <v>34122</v>
      </c>
      <c r="B20" s="35">
        <v>9.125</v>
      </c>
      <c r="C20" s="35">
        <v>8.75</v>
      </c>
      <c r="D20" s="35">
        <v>8.875</v>
      </c>
      <c r="E20" s="36">
        <v>16860</v>
      </c>
      <c r="F20" s="178">
        <f t="shared" si="0"/>
        <v>0.125</v>
      </c>
      <c r="G20" s="178">
        <f t="shared" si="1"/>
        <v>0.25</v>
      </c>
      <c r="H20" s="178">
        <f t="shared" si="2"/>
        <v>0.375</v>
      </c>
      <c r="I20" s="178">
        <f t="shared" si="3"/>
        <v>-0.125</v>
      </c>
      <c r="J20" s="178">
        <f t="shared" si="4"/>
        <v>-0.33333333333333331</v>
      </c>
      <c r="K20" s="247">
        <f t="shared" si="5"/>
        <v>-5620</v>
      </c>
      <c r="L20" s="247">
        <f t="shared" si="6"/>
        <v>-27589.316666666666</v>
      </c>
      <c r="M20" s="16"/>
    </row>
    <row r="21" spans="1:13">
      <c r="A21" s="34">
        <v>34123</v>
      </c>
      <c r="B21" s="35">
        <v>9.25</v>
      </c>
      <c r="C21" s="35">
        <v>9.125</v>
      </c>
      <c r="D21" s="35">
        <v>9.125</v>
      </c>
      <c r="E21" s="36">
        <v>6568</v>
      </c>
      <c r="F21" s="178">
        <f t="shared" si="0"/>
        <v>0</v>
      </c>
      <c r="G21" s="178">
        <f t="shared" si="1"/>
        <v>0.125</v>
      </c>
      <c r="H21" s="178">
        <f t="shared" si="2"/>
        <v>0.125</v>
      </c>
      <c r="I21" s="178">
        <f t="shared" si="3"/>
        <v>-0.125</v>
      </c>
      <c r="J21" s="178">
        <f t="shared" si="4"/>
        <v>-1</v>
      </c>
      <c r="K21" s="247">
        <f t="shared" si="5"/>
        <v>-6568</v>
      </c>
      <c r="L21" s="247">
        <f t="shared" si="6"/>
        <v>-34157.316666666666</v>
      </c>
      <c r="M21" s="16"/>
    </row>
    <row r="22" spans="1:13">
      <c r="A22" s="27">
        <v>34124</v>
      </c>
      <c r="B22" s="37">
        <v>9.375</v>
      </c>
      <c r="C22" s="37">
        <v>9.25</v>
      </c>
      <c r="D22" s="37">
        <v>9.375</v>
      </c>
      <c r="E22" s="38">
        <v>8312</v>
      </c>
      <c r="F22" s="179">
        <f t="shared" si="0"/>
        <v>0.125</v>
      </c>
      <c r="G22" s="179">
        <f t="shared" si="1"/>
        <v>0</v>
      </c>
      <c r="H22" s="179">
        <f t="shared" si="2"/>
        <v>0.125</v>
      </c>
      <c r="I22" s="179">
        <f t="shared" si="3"/>
        <v>0.125</v>
      </c>
      <c r="J22" s="179">
        <f t="shared" si="4"/>
        <v>1</v>
      </c>
      <c r="K22" s="248">
        <f t="shared" si="5"/>
        <v>8312</v>
      </c>
      <c r="L22" s="248">
        <f t="shared" si="6"/>
        <v>-25845.316666666666</v>
      </c>
      <c r="M22" s="16"/>
    </row>
    <row r="23" spans="1:13">
      <c r="A23" s="27">
        <v>34127</v>
      </c>
      <c r="B23" s="37">
        <v>9.375</v>
      </c>
      <c r="C23" s="37">
        <v>9.125</v>
      </c>
      <c r="D23" s="37">
        <v>9.25</v>
      </c>
      <c r="E23" s="38">
        <v>5573</v>
      </c>
      <c r="F23" s="179">
        <f t="shared" si="0"/>
        <v>0.125</v>
      </c>
      <c r="G23" s="179">
        <f t="shared" si="1"/>
        <v>0.125</v>
      </c>
      <c r="H23" s="179">
        <f t="shared" si="2"/>
        <v>0.25</v>
      </c>
      <c r="I23" s="179">
        <f t="shared" si="3"/>
        <v>0</v>
      </c>
      <c r="J23" s="179">
        <f t="shared" si="4"/>
        <v>0</v>
      </c>
      <c r="K23" s="248">
        <f t="shared" si="5"/>
        <v>0</v>
      </c>
      <c r="L23" s="248">
        <f t="shared" si="6"/>
        <v>-25845.316666666666</v>
      </c>
      <c r="M23" s="16"/>
    </row>
    <row r="24" spans="1:13">
      <c r="A24" s="34">
        <v>34128</v>
      </c>
      <c r="B24" s="35">
        <v>9.375</v>
      </c>
      <c r="C24" s="35">
        <v>8.625</v>
      </c>
      <c r="D24" s="35">
        <v>8.625</v>
      </c>
      <c r="E24" s="36">
        <v>11480</v>
      </c>
      <c r="F24" s="178">
        <f t="shared" si="0"/>
        <v>0</v>
      </c>
      <c r="G24" s="178">
        <f t="shared" si="1"/>
        <v>0.75</v>
      </c>
      <c r="H24" s="178">
        <f t="shared" si="2"/>
        <v>0.75</v>
      </c>
      <c r="I24" s="178">
        <f t="shared" si="3"/>
        <v>-0.75</v>
      </c>
      <c r="J24" s="178">
        <f t="shared" si="4"/>
        <v>-1</v>
      </c>
      <c r="K24" s="247">
        <f t="shared" si="5"/>
        <v>-11480</v>
      </c>
      <c r="L24" s="247">
        <f t="shared" si="6"/>
        <v>-37325.316666666666</v>
      </c>
      <c r="M24" s="16"/>
    </row>
    <row r="25" spans="1:13">
      <c r="A25" s="34">
        <v>34129</v>
      </c>
      <c r="B25" s="35">
        <v>8.625</v>
      </c>
      <c r="C25" s="35">
        <v>8.25</v>
      </c>
      <c r="D25" s="35">
        <v>8.5</v>
      </c>
      <c r="E25" s="36">
        <v>6366</v>
      </c>
      <c r="F25" s="178">
        <f t="shared" si="0"/>
        <v>0.25</v>
      </c>
      <c r="G25" s="178">
        <f t="shared" si="1"/>
        <v>0.125</v>
      </c>
      <c r="H25" s="178">
        <f t="shared" si="2"/>
        <v>0.375</v>
      </c>
      <c r="I25" s="178">
        <f t="shared" si="3"/>
        <v>0.125</v>
      </c>
      <c r="J25" s="178">
        <f t="shared" si="4"/>
        <v>0.33333333333333331</v>
      </c>
      <c r="K25" s="247">
        <f t="shared" si="5"/>
        <v>2122</v>
      </c>
      <c r="L25" s="247">
        <f t="shared" si="6"/>
        <v>-35203.316666666666</v>
      </c>
      <c r="M25" s="16"/>
    </row>
    <row r="26" spans="1:13">
      <c r="A26" s="27">
        <v>34130</v>
      </c>
      <c r="B26" s="37">
        <v>8.625</v>
      </c>
      <c r="C26" s="37">
        <v>8.25</v>
      </c>
      <c r="D26" s="37">
        <v>8.5</v>
      </c>
      <c r="E26" s="38">
        <v>8394</v>
      </c>
      <c r="F26" s="179">
        <f t="shared" si="0"/>
        <v>0.25</v>
      </c>
      <c r="G26" s="179">
        <f t="shared" si="1"/>
        <v>0.125</v>
      </c>
      <c r="H26" s="179">
        <f t="shared" si="2"/>
        <v>0.375</v>
      </c>
      <c r="I26" s="179">
        <f t="shared" si="3"/>
        <v>0.125</v>
      </c>
      <c r="J26" s="179">
        <f t="shared" si="4"/>
        <v>0.33333333333333331</v>
      </c>
      <c r="K26" s="248">
        <f t="shared" si="5"/>
        <v>2798</v>
      </c>
      <c r="L26" s="248">
        <f t="shared" si="6"/>
        <v>-32405.316666666666</v>
      </c>
      <c r="M26" s="16"/>
    </row>
    <row r="27" spans="1:13">
      <c r="A27" s="27">
        <v>34131</v>
      </c>
      <c r="B27" s="37">
        <v>8.625</v>
      </c>
      <c r="C27" s="37">
        <v>7.875</v>
      </c>
      <c r="D27" s="37">
        <v>7.875</v>
      </c>
      <c r="E27" s="38">
        <v>12616</v>
      </c>
      <c r="F27" s="179">
        <f t="shared" si="0"/>
        <v>0</v>
      </c>
      <c r="G27" s="179">
        <f t="shared" si="1"/>
        <v>0.75</v>
      </c>
      <c r="H27" s="179">
        <f t="shared" si="2"/>
        <v>0.75</v>
      </c>
      <c r="I27" s="179">
        <f t="shared" si="3"/>
        <v>-0.75</v>
      </c>
      <c r="J27" s="179">
        <f t="shared" si="4"/>
        <v>-1</v>
      </c>
      <c r="K27" s="248">
        <f t="shared" si="5"/>
        <v>-12616</v>
      </c>
      <c r="L27" s="248">
        <f t="shared" si="6"/>
        <v>-45021.316666666666</v>
      </c>
      <c r="M27" s="16"/>
    </row>
    <row r="28" spans="1:13">
      <c r="A28" s="34">
        <v>34134</v>
      </c>
      <c r="B28" s="35">
        <v>8.375</v>
      </c>
      <c r="C28" s="35">
        <v>7.625</v>
      </c>
      <c r="D28" s="35">
        <v>8.375</v>
      </c>
      <c r="E28" s="36">
        <v>12287</v>
      </c>
      <c r="F28" s="178">
        <f t="shared" si="0"/>
        <v>0.75</v>
      </c>
      <c r="G28" s="178">
        <f t="shared" si="1"/>
        <v>0</v>
      </c>
      <c r="H28" s="178">
        <f t="shared" si="2"/>
        <v>0.75</v>
      </c>
      <c r="I28" s="178">
        <f t="shared" si="3"/>
        <v>0.75</v>
      </c>
      <c r="J28" s="178">
        <f t="shared" si="4"/>
        <v>1</v>
      </c>
      <c r="K28" s="247">
        <f t="shared" si="5"/>
        <v>12287</v>
      </c>
      <c r="L28" s="247">
        <f t="shared" si="6"/>
        <v>-32734.316666666666</v>
      </c>
      <c r="M28" s="16"/>
    </row>
    <row r="29" spans="1:13">
      <c r="A29" s="34">
        <v>34135</v>
      </c>
      <c r="B29" s="35">
        <v>8.75</v>
      </c>
      <c r="C29" s="35">
        <v>8.25</v>
      </c>
      <c r="D29" s="35">
        <v>8.625</v>
      </c>
      <c r="E29" s="36">
        <v>12113</v>
      </c>
      <c r="F29" s="178">
        <f t="shared" si="0"/>
        <v>0.375</v>
      </c>
      <c r="G29" s="178">
        <f t="shared" si="1"/>
        <v>0.125</v>
      </c>
      <c r="H29" s="178">
        <f t="shared" si="2"/>
        <v>0.5</v>
      </c>
      <c r="I29" s="178">
        <f t="shared" si="3"/>
        <v>0.25</v>
      </c>
      <c r="J29" s="178">
        <f t="shared" si="4"/>
        <v>0.5</v>
      </c>
      <c r="K29" s="247">
        <f t="shared" si="5"/>
        <v>6056.5</v>
      </c>
      <c r="L29" s="247">
        <f t="shared" si="6"/>
        <v>-26677.816666666666</v>
      </c>
      <c r="M29" s="16"/>
    </row>
    <row r="32" spans="1:13" ht="15">
      <c r="A32" s="241" t="s">
        <v>704</v>
      </c>
    </row>
    <row r="33" spans="1:1" ht="15">
      <c r="A33" s="241" t="s">
        <v>705</v>
      </c>
    </row>
    <row r="34" spans="1:1" ht="15">
      <c r="A34" s="241" t="s">
        <v>706</v>
      </c>
    </row>
    <row r="35" spans="1:1" ht="15">
      <c r="A35" s="241" t="s">
        <v>708</v>
      </c>
    </row>
    <row r="36" spans="1:1" ht="15">
      <c r="A36" s="241" t="s">
        <v>707</v>
      </c>
    </row>
  </sheetData>
  <mergeCells count="1">
    <mergeCell ref="B5:L5"/>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034" r:id="rId4" name="Button 10">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035" r:id="rId5" name="Button 11">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036" r:id="rId6" name="Button 12">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dimension ref="A1:N3"/>
  <sheetViews>
    <sheetView workbookViewId="0"/>
  </sheetViews>
  <sheetFormatPr baseColWidth="10" defaultColWidth="8.83203125" defaultRowHeight="12" x14ac:dyDescent="0"/>
  <cols>
    <col min="1" max="1" width="18.33203125" customWidth="1"/>
    <col min="4" max="4" width="10.83203125" customWidth="1"/>
  </cols>
  <sheetData>
    <row r="1" spans="1:14">
      <c r="A1" s="21"/>
      <c r="B1" s="21"/>
      <c r="C1" s="21" t="s">
        <v>846</v>
      </c>
      <c r="D1" s="21"/>
      <c r="E1" s="21"/>
      <c r="F1" s="21"/>
      <c r="G1" s="21"/>
      <c r="H1" s="21"/>
    </row>
    <row r="2" spans="1:14" ht="21" customHeight="1">
      <c r="A2" s="21"/>
      <c r="B2" s="21"/>
      <c r="C2" s="21"/>
      <c r="D2" s="374"/>
      <c r="E2" s="374"/>
      <c r="F2" s="374"/>
      <c r="G2" s="374"/>
      <c r="H2" s="374"/>
      <c r="I2" s="372"/>
      <c r="J2" s="372"/>
      <c r="K2" s="372"/>
      <c r="L2" s="372"/>
      <c r="M2" s="372"/>
      <c r="N2" s="372"/>
    </row>
    <row r="3" spans="1:14">
      <c r="A3" s="312" t="s">
        <v>734</v>
      </c>
    </row>
  </sheetData>
  <phoneticPr fontId="0" type="noConversion"/>
  <hyperlinks>
    <hyperlink ref="A3" r:id="rId1" location="'Swing Index'!A1"/>
  </hyperlinks>
  <pageMargins left="0.75" right="0.75" top="1" bottom="1" header="0.5" footer="0.5"/>
  <pageSetup orientation="portrait" horizontalDpi="300" verticalDpi="300"/>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06498" r:id="rId5"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06499" r:id="rId6"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06500" r:id="rId7"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N41"/>
  <sheetViews>
    <sheetView workbookViewId="0"/>
  </sheetViews>
  <sheetFormatPr baseColWidth="10" defaultColWidth="8.83203125" defaultRowHeight="12" x14ac:dyDescent="0"/>
  <cols>
    <col min="1" max="1" width="11.5" customWidth="1"/>
    <col min="2" max="2" width="13.5" customWidth="1"/>
    <col min="3" max="3" width="10.6640625" customWidth="1"/>
    <col min="4" max="4" width="12.1640625" customWidth="1"/>
    <col min="5" max="5" width="13.5" customWidth="1"/>
    <col min="6" max="7" width="12.33203125" customWidth="1"/>
  </cols>
  <sheetData>
    <row r="1" spans="1:14">
      <c r="A1" s="21"/>
      <c r="B1" s="21"/>
      <c r="C1" s="21" t="s">
        <v>846</v>
      </c>
      <c r="D1" s="21"/>
      <c r="E1" s="21"/>
      <c r="F1" s="21"/>
      <c r="G1" s="21"/>
      <c r="H1" s="30"/>
    </row>
    <row r="2" spans="1:14" ht="21" customHeight="1">
      <c r="A2" s="21"/>
      <c r="B2" s="21"/>
      <c r="C2" s="21"/>
      <c r="D2" s="374"/>
      <c r="E2" s="374"/>
      <c r="F2" s="374"/>
      <c r="G2" s="374"/>
      <c r="H2" s="372"/>
      <c r="I2" s="372"/>
      <c r="J2" s="372"/>
      <c r="K2" s="372"/>
      <c r="L2" s="372"/>
      <c r="M2" s="372"/>
      <c r="N2" s="372"/>
    </row>
    <row r="3" spans="1:14">
      <c r="A3" s="24" t="s">
        <v>1045</v>
      </c>
      <c r="B3" s="33" t="s">
        <v>1101</v>
      </c>
      <c r="C3" s="24"/>
      <c r="D3" s="24"/>
      <c r="E3" s="24"/>
      <c r="F3" s="24"/>
      <c r="G3" s="24"/>
    </row>
    <row r="4" spans="1:14" ht="44.25" customHeight="1">
      <c r="A4" s="60" t="s">
        <v>779</v>
      </c>
      <c r="B4" s="446" t="s">
        <v>445</v>
      </c>
      <c r="C4" s="446"/>
      <c r="D4" s="446"/>
      <c r="E4" s="446"/>
      <c r="F4" s="446"/>
      <c r="G4" s="446"/>
    </row>
    <row r="5" spans="1:14" ht="15">
      <c r="A5" s="21"/>
      <c r="B5" s="21"/>
      <c r="C5" s="189" t="s">
        <v>711</v>
      </c>
      <c r="D5" s="24"/>
      <c r="E5" s="24"/>
      <c r="F5" s="24"/>
      <c r="G5" s="24"/>
    </row>
    <row r="6" spans="1:14" ht="40.5" customHeight="1">
      <c r="A6" s="22" t="s">
        <v>1090</v>
      </c>
      <c r="B6" s="23" t="s">
        <v>1091</v>
      </c>
      <c r="C6" s="23" t="s">
        <v>1092</v>
      </c>
      <c r="D6" s="31" t="s">
        <v>1202</v>
      </c>
      <c r="E6" s="31" t="s">
        <v>1056</v>
      </c>
      <c r="F6" s="22"/>
      <c r="G6" s="22"/>
    </row>
    <row r="7" spans="1:14">
      <c r="A7" s="26">
        <v>35545</v>
      </c>
      <c r="B7" s="255">
        <v>789</v>
      </c>
      <c r="C7" s="255">
        <v>1662</v>
      </c>
      <c r="D7" s="255">
        <f>B7-C7</f>
        <v>-873</v>
      </c>
      <c r="E7" s="256">
        <f>D7</f>
        <v>-873</v>
      </c>
      <c r="F7" s="256"/>
      <c r="G7" s="256"/>
    </row>
    <row r="8" spans="1:14">
      <c r="A8" s="26">
        <v>35548</v>
      </c>
      <c r="B8" s="255">
        <v>1348</v>
      </c>
      <c r="C8" s="255">
        <v>1085</v>
      </c>
      <c r="D8" s="255">
        <f t="shared" ref="D8:D23" si="0">B8-C8</f>
        <v>263</v>
      </c>
      <c r="E8" s="256">
        <f>E7+D8</f>
        <v>-610</v>
      </c>
      <c r="F8" s="256"/>
      <c r="G8" s="256"/>
    </row>
    <row r="9" spans="1:14">
      <c r="A9" s="27">
        <v>35549</v>
      </c>
      <c r="B9" s="257">
        <v>2085</v>
      </c>
      <c r="C9" s="257">
        <v>531</v>
      </c>
      <c r="D9" s="257">
        <f t="shared" si="0"/>
        <v>1554</v>
      </c>
      <c r="E9" s="258">
        <f t="shared" ref="E9:E24" si="1">E8+D9</f>
        <v>944</v>
      </c>
      <c r="F9" s="258"/>
      <c r="G9" s="258"/>
    </row>
    <row r="10" spans="1:14">
      <c r="A10" s="27">
        <v>35550</v>
      </c>
      <c r="B10" s="257">
        <v>1599</v>
      </c>
      <c r="C10" s="257">
        <v>941</v>
      </c>
      <c r="D10" s="257">
        <f t="shared" si="0"/>
        <v>658</v>
      </c>
      <c r="E10" s="258">
        <f t="shared" si="1"/>
        <v>1602</v>
      </c>
      <c r="F10" s="258"/>
      <c r="G10" s="258"/>
    </row>
    <row r="11" spans="1:14">
      <c r="A11" s="26">
        <v>35551</v>
      </c>
      <c r="B11" s="255">
        <v>1450</v>
      </c>
      <c r="C11" s="255">
        <v>1021</v>
      </c>
      <c r="D11" s="255">
        <f t="shared" si="0"/>
        <v>429</v>
      </c>
      <c r="E11" s="256">
        <f t="shared" si="1"/>
        <v>2031</v>
      </c>
      <c r="F11" s="256"/>
      <c r="G11" s="256"/>
    </row>
    <row r="12" spans="1:14">
      <c r="A12" s="26">
        <v>35552</v>
      </c>
      <c r="B12" s="255">
        <v>2119</v>
      </c>
      <c r="C12" s="255">
        <v>476</v>
      </c>
      <c r="D12" s="255">
        <f t="shared" si="0"/>
        <v>1643</v>
      </c>
      <c r="E12" s="256">
        <f t="shared" si="1"/>
        <v>3674</v>
      </c>
      <c r="F12" s="256"/>
      <c r="G12" s="256"/>
    </row>
    <row r="13" spans="1:14">
      <c r="A13" s="27">
        <v>35555</v>
      </c>
      <c r="B13" s="257">
        <v>1958</v>
      </c>
      <c r="C13" s="257">
        <v>677</v>
      </c>
      <c r="D13" s="257">
        <f t="shared" si="0"/>
        <v>1281</v>
      </c>
      <c r="E13" s="258">
        <f t="shared" si="1"/>
        <v>4955</v>
      </c>
      <c r="F13" s="258"/>
      <c r="G13" s="258"/>
    </row>
    <row r="14" spans="1:14">
      <c r="A14" s="27">
        <v>35556</v>
      </c>
      <c r="B14" s="257">
        <v>1258</v>
      </c>
      <c r="C14" s="257">
        <v>1270</v>
      </c>
      <c r="D14" s="257">
        <f t="shared" si="0"/>
        <v>-12</v>
      </c>
      <c r="E14" s="258">
        <f t="shared" si="1"/>
        <v>4943</v>
      </c>
      <c r="F14" s="258"/>
      <c r="G14" s="258"/>
    </row>
    <row r="15" spans="1:14">
      <c r="A15" s="26">
        <v>35557</v>
      </c>
      <c r="B15" s="255">
        <v>842</v>
      </c>
      <c r="C15" s="255">
        <v>1660</v>
      </c>
      <c r="D15" s="255">
        <f t="shared" si="0"/>
        <v>-818</v>
      </c>
      <c r="E15" s="256">
        <f t="shared" si="1"/>
        <v>4125</v>
      </c>
      <c r="F15" s="256"/>
      <c r="G15" s="256"/>
    </row>
    <row r="16" spans="1:14">
      <c r="A16" s="26">
        <v>35558</v>
      </c>
      <c r="B16" s="255">
        <v>1398</v>
      </c>
      <c r="C16" s="255">
        <v>1097</v>
      </c>
      <c r="D16" s="255">
        <f t="shared" si="0"/>
        <v>301</v>
      </c>
      <c r="E16" s="256">
        <f t="shared" si="1"/>
        <v>4426</v>
      </c>
      <c r="F16" s="256"/>
      <c r="G16" s="256"/>
    </row>
    <row r="17" spans="1:7">
      <c r="A17" s="27">
        <v>35559</v>
      </c>
      <c r="B17" s="257">
        <v>1526</v>
      </c>
      <c r="C17" s="257">
        <v>932</v>
      </c>
      <c r="D17" s="257">
        <f t="shared" si="0"/>
        <v>594</v>
      </c>
      <c r="E17" s="258">
        <f t="shared" si="1"/>
        <v>5020</v>
      </c>
      <c r="F17" s="258"/>
      <c r="G17" s="258"/>
    </row>
    <row r="18" spans="1:7">
      <c r="A18" s="27">
        <v>35562</v>
      </c>
      <c r="B18" s="257">
        <v>1766</v>
      </c>
      <c r="C18" s="257">
        <v>761</v>
      </c>
      <c r="D18" s="257">
        <f t="shared" si="0"/>
        <v>1005</v>
      </c>
      <c r="E18" s="258">
        <f t="shared" si="1"/>
        <v>6025</v>
      </c>
      <c r="F18" s="258"/>
      <c r="G18" s="258"/>
    </row>
    <row r="19" spans="1:7">
      <c r="A19" s="26">
        <v>35563</v>
      </c>
      <c r="B19" s="255">
        <v>1133</v>
      </c>
      <c r="C19" s="255">
        <v>1322</v>
      </c>
      <c r="D19" s="255">
        <f t="shared" si="0"/>
        <v>-189</v>
      </c>
      <c r="E19" s="256">
        <f t="shared" si="1"/>
        <v>5836</v>
      </c>
      <c r="F19" s="256"/>
      <c r="G19" s="256"/>
    </row>
    <row r="20" spans="1:7">
      <c r="A20" s="26">
        <v>35564</v>
      </c>
      <c r="B20" s="255">
        <v>1472</v>
      </c>
      <c r="C20" s="255">
        <v>992</v>
      </c>
      <c r="D20" s="255">
        <f t="shared" si="0"/>
        <v>480</v>
      </c>
      <c r="E20" s="256">
        <f t="shared" si="1"/>
        <v>6316</v>
      </c>
      <c r="F20" s="256"/>
      <c r="G20" s="256"/>
    </row>
    <row r="21" spans="1:7">
      <c r="A21" s="27">
        <v>35565</v>
      </c>
      <c r="B21" s="257">
        <v>1282</v>
      </c>
      <c r="C21" s="257">
        <v>1164</v>
      </c>
      <c r="D21" s="257">
        <f t="shared" si="0"/>
        <v>118</v>
      </c>
      <c r="E21" s="258">
        <f t="shared" si="1"/>
        <v>6434</v>
      </c>
      <c r="F21" s="258"/>
      <c r="G21" s="258"/>
    </row>
    <row r="22" spans="1:7">
      <c r="A22" s="27">
        <v>35566</v>
      </c>
      <c r="B22" s="257">
        <v>973</v>
      </c>
      <c r="C22" s="257">
        <v>1431</v>
      </c>
      <c r="D22" s="257">
        <f t="shared" si="0"/>
        <v>-458</v>
      </c>
      <c r="E22" s="258">
        <f t="shared" si="1"/>
        <v>5976</v>
      </c>
      <c r="F22" s="258"/>
      <c r="G22" s="258"/>
    </row>
    <row r="23" spans="1:7">
      <c r="A23" s="26">
        <v>35569</v>
      </c>
      <c r="B23" s="255">
        <v>1390</v>
      </c>
      <c r="C23" s="255">
        <v>1056</v>
      </c>
      <c r="D23" s="255">
        <f t="shared" si="0"/>
        <v>334</v>
      </c>
      <c r="E23" s="256">
        <f t="shared" si="1"/>
        <v>6310</v>
      </c>
      <c r="F23" s="256"/>
      <c r="G23" s="256"/>
    </row>
    <row r="24" spans="1:7">
      <c r="A24" s="26">
        <v>35570</v>
      </c>
      <c r="B24" s="255">
        <v>1411</v>
      </c>
      <c r="C24" s="255">
        <v>1040</v>
      </c>
      <c r="D24" s="255">
        <f t="shared" ref="D24:D38" si="2">B24-C24</f>
        <v>371</v>
      </c>
      <c r="E24" s="256">
        <f t="shared" si="1"/>
        <v>6681</v>
      </c>
      <c r="F24" s="256"/>
      <c r="G24" s="256"/>
    </row>
    <row r="25" spans="1:7">
      <c r="A25" s="27">
        <v>35571</v>
      </c>
      <c r="B25" s="257">
        <v>1421</v>
      </c>
      <c r="C25" s="257">
        <v>1107</v>
      </c>
      <c r="D25" s="257">
        <f t="shared" si="2"/>
        <v>314</v>
      </c>
      <c r="E25" s="258">
        <f t="shared" ref="E25:E38" si="3">E24+D25</f>
        <v>6995</v>
      </c>
      <c r="F25" s="258"/>
      <c r="G25" s="258"/>
    </row>
    <row r="26" spans="1:7">
      <c r="A26" s="27">
        <v>35572</v>
      </c>
      <c r="B26" s="257">
        <v>1270</v>
      </c>
      <c r="C26" s="257">
        <v>1176</v>
      </c>
      <c r="D26" s="257">
        <f t="shared" si="2"/>
        <v>94</v>
      </c>
      <c r="E26" s="258">
        <f t="shared" si="3"/>
        <v>7089</v>
      </c>
      <c r="F26" s="258"/>
      <c r="G26" s="258"/>
    </row>
    <row r="27" spans="1:7">
      <c r="A27" s="26">
        <v>35573</v>
      </c>
      <c r="B27" s="255">
        <v>1875</v>
      </c>
      <c r="C27" s="255">
        <v>618</v>
      </c>
      <c r="D27" s="255">
        <f t="shared" si="2"/>
        <v>1257</v>
      </c>
      <c r="E27" s="256">
        <f t="shared" si="3"/>
        <v>8346</v>
      </c>
      <c r="F27" s="256"/>
      <c r="G27" s="256"/>
    </row>
    <row r="28" spans="1:7">
      <c r="A28" s="26">
        <v>35577</v>
      </c>
      <c r="B28" s="255">
        <v>1221</v>
      </c>
      <c r="C28" s="255">
        <v>1299</v>
      </c>
      <c r="D28" s="255">
        <f t="shared" si="2"/>
        <v>-78</v>
      </c>
      <c r="E28" s="256">
        <f t="shared" si="3"/>
        <v>8268</v>
      </c>
      <c r="F28" s="256"/>
      <c r="G28" s="256"/>
    </row>
    <row r="29" spans="1:7">
      <c r="A29" s="27">
        <v>35578</v>
      </c>
      <c r="B29" s="257">
        <v>1309</v>
      </c>
      <c r="C29" s="257">
        <v>1147</v>
      </c>
      <c r="D29" s="257">
        <f t="shared" si="2"/>
        <v>162</v>
      </c>
      <c r="E29" s="258">
        <f t="shared" si="3"/>
        <v>8430</v>
      </c>
      <c r="F29" s="258"/>
      <c r="G29" s="258"/>
    </row>
    <row r="30" spans="1:7">
      <c r="A30" s="27">
        <v>35579</v>
      </c>
      <c r="B30" s="257">
        <v>1431</v>
      </c>
      <c r="C30" s="257">
        <v>1043</v>
      </c>
      <c r="D30" s="257">
        <f t="shared" si="2"/>
        <v>388</v>
      </c>
      <c r="E30" s="258">
        <f t="shared" si="3"/>
        <v>8818</v>
      </c>
      <c r="F30" s="258"/>
      <c r="G30" s="258"/>
    </row>
    <row r="31" spans="1:7">
      <c r="A31" s="26">
        <v>35580</v>
      </c>
      <c r="B31" s="255">
        <v>1584</v>
      </c>
      <c r="C31" s="255">
        <v>901</v>
      </c>
      <c r="D31" s="255">
        <f t="shared" si="2"/>
        <v>683</v>
      </c>
      <c r="E31" s="256">
        <f t="shared" si="3"/>
        <v>9501</v>
      </c>
      <c r="F31" s="256"/>
      <c r="G31" s="256"/>
    </row>
    <row r="32" spans="1:7">
      <c r="A32" s="26">
        <v>35583</v>
      </c>
      <c r="B32" s="255">
        <v>1530</v>
      </c>
      <c r="C32" s="255">
        <v>963</v>
      </c>
      <c r="D32" s="255">
        <f t="shared" si="2"/>
        <v>567</v>
      </c>
      <c r="E32" s="256">
        <f t="shared" si="3"/>
        <v>10068</v>
      </c>
      <c r="F32" s="256"/>
      <c r="G32" s="256"/>
    </row>
    <row r="33" spans="1:7">
      <c r="A33" s="27">
        <v>35584</v>
      </c>
      <c r="B33" s="257">
        <v>1472</v>
      </c>
      <c r="C33" s="257">
        <v>1022</v>
      </c>
      <c r="D33" s="257">
        <f t="shared" si="2"/>
        <v>450</v>
      </c>
      <c r="E33" s="258">
        <f t="shared" si="3"/>
        <v>10518</v>
      </c>
      <c r="F33" s="258"/>
      <c r="G33" s="258"/>
    </row>
    <row r="34" spans="1:7">
      <c r="A34" s="27">
        <v>35585</v>
      </c>
      <c r="B34" s="257">
        <v>1147</v>
      </c>
      <c r="C34" s="257">
        <v>1322</v>
      </c>
      <c r="D34" s="257">
        <f t="shared" si="2"/>
        <v>-175</v>
      </c>
      <c r="E34" s="258">
        <f t="shared" si="3"/>
        <v>10343</v>
      </c>
      <c r="F34" s="258"/>
      <c r="G34" s="258"/>
    </row>
    <row r="35" spans="1:7">
      <c r="A35" s="26">
        <v>35586</v>
      </c>
      <c r="B35" s="255">
        <v>1489</v>
      </c>
      <c r="C35" s="255">
        <v>956</v>
      </c>
      <c r="D35" s="255">
        <f t="shared" si="2"/>
        <v>533</v>
      </c>
      <c r="E35" s="256">
        <f t="shared" si="3"/>
        <v>10876</v>
      </c>
      <c r="F35" s="256"/>
      <c r="G35" s="256"/>
    </row>
    <row r="36" spans="1:7">
      <c r="A36" s="26">
        <v>35587</v>
      </c>
      <c r="B36" s="255">
        <v>1703</v>
      </c>
      <c r="C36" s="255">
        <v>734</v>
      </c>
      <c r="D36" s="255">
        <f t="shared" si="2"/>
        <v>969</v>
      </c>
      <c r="E36" s="256">
        <f t="shared" si="3"/>
        <v>11845</v>
      </c>
      <c r="F36" s="256"/>
      <c r="G36" s="256"/>
    </row>
    <row r="37" spans="1:7">
      <c r="A37" s="27">
        <v>35590</v>
      </c>
      <c r="B37" s="257">
        <v>1415</v>
      </c>
      <c r="C37" s="257">
        <v>1084</v>
      </c>
      <c r="D37" s="257">
        <f t="shared" si="2"/>
        <v>331</v>
      </c>
      <c r="E37" s="258">
        <f t="shared" si="3"/>
        <v>12176</v>
      </c>
      <c r="F37" s="258"/>
      <c r="G37" s="258"/>
    </row>
    <row r="38" spans="1:7">
      <c r="A38" s="27">
        <v>35591</v>
      </c>
      <c r="B38" s="257">
        <v>1403</v>
      </c>
      <c r="C38" s="257">
        <v>1130</v>
      </c>
      <c r="D38" s="257">
        <f t="shared" si="2"/>
        <v>273</v>
      </c>
      <c r="E38" s="258">
        <f t="shared" si="3"/>
        <v>12449</v>
      </c>
      <c r="F38" s="258"/>
      <c r="G38" s="258"/>
    </row>
    <row r="40" spans="1:7" ht="15">
      <c r="A40" s="241" t="s">
        <v>709</v>
      </c>
    </row>
    <row r="41" spans="1:7" ht="15">
      <c r="A41" s="241" t="s">
        <v>710</v>
      </c>
    </row>
  </sheetData>
  <mergeCells count="1">
    <mergeCell ref="B4:G4"/>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72710" r:id="rId3" name="Button 6">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72711" r:id="rId4" name="Button 7">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72712" r:id="rId5" name="Button 8">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72713" r:id="rId6" name="Button 9">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N42"/>
  <sheetViews>
    <sheetView workbookViewId="0"/>
  </sheetViews>
  <sheetFormatPr baseColWidth="10" defaultColWidth="8.83203125" defaultRowHeight="12" x14ac:dyDescent="0"/>
  <cols>
    <col min="1" max="1" width="12.5" customWidth="1"/>
    <col min="2" max="2" width="11.1640625" customWidth="1"/>
    <col min="3" max="3" width="10" customWidth="1"/>
    <col min="4" max="4" width="11.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13" t="s">
        <v>1045</v>
      </c>
      <c r="B3" s="62" t="s">
        <v>1319</v>
      </c>
      <c r="C3" s="21"/>
      <c r="D3" s="21"/>
      <c r="E3" s="21"/>
      <c r="F3" s="21"/>
      <c r="G3" s="21"/>
      <c r="H3" s="21"/>
      <c r="I3" s="21"/>
      <c r="J3" s="21"/>
    </row>
    <row r="4" spans="1:14" ht="30.75" customHeight="1">
      <c r="A4" s="66" t="s">
        <v>779</v>
      </c>
      <c r="B4" s="446" t="s">
        <v>1057</v>
      </c>
      <c r="C4" s="446"/>
      <c r="D4" s="446"/>
      <c r="E4" s="446"/>
      <c r="F4" s="446"/>
      <c r="G4" s="446"/>
      <c r="H4" s="446"/>
      <c r="I4" s="446"/>
      <c r="J4" s="446"/>
    </row>
    <row r="5" spans="1:14" ht="36.75" customHeight="1">
      <c r="A5" s="21"/>
      <c r="B5" s="21"/>
      <c r="C5" s="21"/>
      <c r="D5" s="21"/>
      <c r="E5" s="21"/>
      <c r="F5" s="21"/>
      <c r="G5" s="21"/>
      <c r="H5" s="21"/>
      <c r="I5" s="21"/>
      <c r="J5" s="21"/>
    </row>
    <row r="6" spans="1:14" ht="36">
      <c r="A6" s="22" t="s">
        <v>1090</v>
      </c>
      <c r="B6" s="23" t="s">
        <v>1091</v>
      </c>
      <c r="C6" s="23" t="s">
        <v>1092</v>
      </c>
      <c r="D6" s="31" t="s">
        <v>407</v>
      </c>
      <c r="E6" s="22"/>
      <c r="F6" s="22"/>
      <c r="G6" s="22"/>
      <c r="H6" s="22"/>
      <c r="I6" s="22"/>
      <c r="J6" s="22"/>
    </row>
    <row r="7" spans="1:14">
      <c r="A7" s="26">
        <v>35545</v>
      </c>
      <c r="B7" s="255">
        <v>789</v>
      </c>
      <c r="C7" s="255">
        <v>1662</v>
      </c>
      <c r="D7" s="43">
        <f>B7/C7</f>
        <v>0.47472924187725629</v>
      </c>
      <c r="E7" s="28"/>
      <c r="F7" s="28"/>
      <c r="G7" s="28"/>
      <c r="H7" s="28"/>
      <c r="I7" s="28"/>
      <c r="J7" s="54"/>
      <c r="K7" s="114"/>
    </row>
    <row r="8" spans="1:14">
      <c r="A8" s="26">
        <v>35548</v>
      </c>
      <c r="B8" s="255">
        <v>1348</v>
      </c>
      <c r="C8" s="255">
        <v>1085</v>
      </c>
      <c r="D8" s="43">
        <f t="shared" ref="D8:D23" si="0">B8/C8</f>
        <v>1.2423963133640552</v>
      </c>
      <c r="E8" s="28"/>
      <c r="F8" s="28"/>
      <c r="G8" s="28"/>
      <c r="H8" s="28"/>
      <c r="I8" s="28"/>
      <c r="J8" s="54"/>
      <c r="K8" s="114"/>
    </row>
    <row r="9" spans="1:14">
      <c r="A9" s="27">
        <v>35549</v>
      </c>
      <c r="B9" s="257">
        <v>2085</v>
      </c>
      <c r="C9" s="257">
        <v>531</v>
      </c>
      <c r="D9" s="47">
        <f t="shared" si="0"/>
        <v>3.9265536723163841</v>
      </c>
      <c r="E9" s="29"/>
      <c r="F9" s="29"/>
      <c r="G9" s="29"/>
      <c r="H9" s="29"/>
      <c r="I9" s="29"/>
      <c r="J9" s="57"/>
      <c r="K9" s="114"/>
    </row>
    <row r="10" spans="1:14">
      <c r="A10" s="27">
        <v>35550</v>
      </c>
      <c r="B10" s="257">
        <v>1599</v>
      </c>
      <c r="C10" s="257">
        <v>941</v>
      </c>
      <c r="D10" s="47">
        <f t="shared" si="0"/>
        <v>1.6992561105207227</v>
      </c>
      <c r="E10" s="29"/>
      <c r="F10" s="29"/>
      <c r="G10" s="29"/>
      <c r="H10" s="29"/>
      <c r="I10" s="29"/>
      <c r="J10" s="57"/>
      <c r="K10" s="114"/>
    </row>
    <row r="11" spans="1:14">
      <c r="A11" s="26">
        <v>35551</v>
      </c>
      <c r="B11" s="255">
        <v>1450</v>
      </c>
      <c r="C11" s="255">
        <v>1021</v>
      </c>
      <c r="D11" s="43">
        <f t="shared" si="0"/>
        <v>1.4201762977473065</v>
      </c>
      <c r="E11" s="28"/>
      <c r="F11" s="28"/>
      <c r="G11" s="28"/>
      <c r="H11" s="28"/>
      <c r="I11" s="28"/>
      <c r="J11" s="54"/>
    </row>
    <row r="12" spans="1:14">
      <c r="A12" s="26">
        <v>35552</v>
      </c>
      <c r="B12" s="255">
        <v>2119</v>
      </c>
      <c r="C12" s="255">
        <v>476</v>
      </c>
      <c r="D12" s="43">
        <f t="shared" si="0"/>
        <v>4.4516806722689077</v>
      </c>
      <c r="E12" s="28"/>
      <c r="F12" s="28"/>
      <c r="G12" s="28"/>
      <c r="H12" s="28"/>
      <c r="I12" s="28"/>
      <c r="J12" s="54"/>
    </row>
    <row r="13" spans="1:14">
      <c r="A13" s="27">
        <v>35555</v>
      </c>
      <c r="B13" s="257">
        <v>1958</v>
      </c>
      <c r="C13" s="257">
        <v>677</v>
      </c>
      <c r="D13" s="47">
        <f t="shared" si="0"/>
        <v>2.8921713441654355</v>
      </c>
      <c r="E13" s="29"/>
      <c r="F13" s="29"/>
      <c r="G13" s="29"/>
      <c r="H13" s="29"/>
      <c r="I13" s="29"/>
      <c r="J13" s="57"/>
    </row>
    <row r="14" spans="1:14">
      <c r="A14" s="27">
        <v>35556</v>
      </c>
      <c r="B14" s="257">
        <v>1258</v>
      </c>
      <c r="C14" s="257">
        <v>1270</v>
      </c>
      <c r="D14" s="47">
        <f t="shared" si="0"/>
        <v>0.99055118110236218</v>
      </c>
      <c r="E14" s="29"/>
      <c r="F14" s="29"/>
      <c r="G14" s="29"/>
      <c r="H14" s="29"/>
      <c r="I14" s="29"/>
      <c r="J14" s="57"/>
    </row>
    <row r="15" spans="1:14">
      <c r="A15" s="26">
        <v>35557</v>
      </c>
      <c r="B15" s="255">
        <v>842</v>
      </c>
      <c r="C15" s="255">
        <v>1660</v>
      </c>
      <c r="D15" s="43">
        <f t="shared" si="0"/>
        <v>0.5072289156626506</v>
      </c>
      <c r="E15" s="28"/>
      <c r="F15" s="28"/>
      <c r="G15" s="28"/>
      <c r="H15" s="28"/>
      <c r="I15" s="28"/>
      <c r="J15" s="54"/>
    </row>
    <row r="16" spans="1:14">
      <c r="A16" s="26">
        <v>35558</v>
      </c>
      <c r="B16" s="255">
        <v>1398</v>
      </c>
      <c r="C16" s="255">
        <v>1097</v>
      </c>
      <c r="D16" s="43">
        <f t="shared" si="0"/>
        <v>1.2743846855059253</v>
      </c>
      <c r="E16" s="28"/>
      <c r="F16" s="28"/>
      <c r="G16" s="28"/>
      <c r="H16" s="28"/>
      <c r="I16" s="28"/>
      <c r="J16" s="54"/>
    </row>
    <row r="17" spans="1:10">
      <c r="A17" s="27">
        <v>35559</v>
      </c>
      <c r="B17" s="257">
        <v>1526</v>
      </c>
      <c r="C17" s="257">
        <v>932</v>
      </c>
      <c r="D17" s="47">
        <f t="shared" si="0"/>
        <v>1.6373390557939915</v>
      </c>
      <c r="E17" s="29"/>
      <c r="F17" s="29"/>
      <c r="G17" s="29"/>
      <c r="H17" s="29"/>
      <c r="I17" s="29"/>
      <c r="J17" s="57"/>
    </row>
    <row r="18" spans="1:10">
      <c r="A18" s="27">
        <v>35562</v>
      </c>
      <c r="B18" s="257">
        <v>1766</v>
      </c>
      <c r="C18" s="257">
        <v>761</v>
      </c>
      <c r="D18" s="47">
        <f t="shared" si="0"/>
        <v>2.3206307490144549</v>
      </c>
      <c r="E18" s="29"/>
      <c r="F18" s="29"/>
      <c r="G18" s="29"/>
      <c r="H18" s="29"/>
      <c r="I18" s="29"/>
      <c r="J18" s="57"/>
    </row>
    <row r="19" spans="1:10">
      <c r="A19" s="26">
        <v>35563</v>
      </c>
      <c r="B19" s="255">
        <v>1133</v>
      </c>
      <c r="C19" s="255">
        <v>1322</v>
      </c>
      <c r="D19" s="43">
        <f t="shared" si="0"/>
        <v>0.857034795763994</v>
      </c>
      <c r="E19" s="28"/>
      <c r="F19" s="28"/>
      <c r="G19" s="28"/>
      <c r="H19" s="28"/>
      <c r="I19" s="28"/>
      <c r="J19" s="54"/>
    </row>
    <row r="20" spans="1:10">
      <c r="A20" s="26">
        <v>35564</v>
      </c>
      <c r="B20" s="255">
        <v>1472</v>
      </c>
      <c r="C20" s="255">
        <v>992</v>
      </c>
      <c r="D20" s="43">
        <f t="shared" si="0"/>
        <v>1.4838709677419355</v>
      </c>
      <c r="E20" s="28"/>
      <c r="F20" s="28"/>
      <c r="G20" s="28"/>
      <c r="H20" s="28"/>
      <c r="I20" s="28"/>
      <c r="J20" s="54"/>
    </row>
    <row r="21" spans="1:10">
      <c r="A21" s="27">
        <v>35565</v>
      </c>
      <c r="B21" s="257">
        <v>1282</v>
      </c>
      <c r="C21" s="257">
        <v>1164</v>
      </c>
      <c r="D21" s="47">
        <f t="shared" si="0"/>
        <v>1.1013745704467355</v>
      </c>
      <c r="E21" s="29"/>
      <c r="F21" s="29"/>
      <c r="G21" s="29"/>
      <c r="H21" s="29"/>
      <c r="I21" s="29"/>
      <c r="J21" s="57"/>
    </row>
    <row r="22" spans="1:10">
      <c r="A22" s="27">
        <v>35566</v>
      </c>
      <c r="B22" s="257">
        <v>973</v>
      </c>
      <c r="C22" s="257">
        <v>1431</v>
      </c>
      <c r="D22" s="47">
        <f t="shared" si="0"/>
        <v>0.67994409503843467</v>
      </c>
      <c r="E22" s="29"/>
      <c r="F22" s="29"/>
      <c r="G22" s="29"/>
      <c r="H22" s="29"/>
      <c r="I22" s="29"/>
      <c r="J22" s="57"/>
    </row>
    <row r="23" spans="1:10">
      <c r="A23" s="26">
        <v>35569</v>
      </c>
      <c r="B23" s="255">
        <v>1390</v>
      </c>
      <c r="C23" s="255">
        <v>1056</v>
      </c>
      <c r="D23" s="43">
        <f t="shared" si="0"/>
        <v>1.3162878787878789</v>
      </c>
      <c r="E23" s="28"/>
      <c r="F23" s="28"/>
      <c r="G23" s="28"/>
      <c r="H23" s="28"/>
      <c r="I23" s="28"/>
      <c r="J23" s="54"/>
    </row>
    <row r="24" spans="1:10">
      <c r="A24" s="26">
        <v>35570</v>
      </c>
      <c r="B24" s="255">
        <v>1411</v>
      </c>
      <c r="C24" s="255">
        <v>1040</v>
      </c>
      <c r="D24" s="43">
        <f t="shared" ref="D24:D39" si="1">B24/C24</f>
        <v>1.3567307692307693</v>
      </c>
      <c r="E24" s="28"/>
      <c r="F24" s="28"/>
      <c r="G24" s="28"/>
      <c r="H24" s="28"/>
      <c r="I24" s="28"/>
      <c r="J24" s="54"/>
    </row>
    <row r="25" spans="1:10">
      <c r="A25" s="27">
        <v>35571</v>
      </c>
      <c r="B25" s="257">
        <v>1421</v>
      </c>
      <c r="C25" s="257">
        <v>1107</v>
      </c>
      <c r="D25" s="47">
        <f t="shared" si="1"/>
        <v>1.2836495031616983</v>
      </c>
      <c r="E25" s="29"/>
      <c r="F25" s="29"/>
      <c r="G25" s="29"/>
      <c r="H25" s="29"/>
      <c r="I25" s="29"/>
      <c r="J25" s="57"/>
    </row>
    <row r="26" spans="1:10">
      <c r="A26" s="27">
        <v>35572</v>
      </c>
      <c r="B26" s="257">
        <v>1270</v>
      </c>
      <c r="C26" s="257">
        <v>1176</v>
      </c>
      <c r="D26" s="47">
        <f t="shared" si="1"/>
        <v>1.0799319727891157</v>
      </c>
      <c r="E26" s="29"/>
      <c r="F26" s="29"/>
      <c r="G26" s="29"/>
      <c r="H26" s="29"/>
      <c r="I26" s="29"/>
      <c r="J26" s="57"/>
    </row>
    <row r="27" spans="1:10">
      <c r="A27" s="26">
        <v>35573</v>
      </c>
      <c r="B27" s="255">
        <v>1875</v>
      </c>
      <c r="C27" s="255">
        <v>618</v>
      </c>
      <c r="D27" s="43">
        <f t="shared" si="1"/>
        <v>3.0339805825242721</v>
      </c>
      <c r="E27" s="28"/>
      <c r="F27" s="28"/>
      <c r="G27" s="28"/>
      <c r="H27" s="28"/>
      <c r="I27" s="28"/>
      <c r="J27" s="54"/>
    </row>
    <row r="28" spans="1:10">
      <c r="A28" s="26">
        <v>35577</v>
      </c>
      <c r="B28" s="255">
        <v>1221</v>
      </c>
      <c r="C28" s="255">
        <v>1299</v>
      </c>
      <c r="D28" s="43">
        <f t="shared" si="1"/>
        <v>0.93995381062355654</v>
      </c>
      <c r="E28" s="28"/>
      <c r="F28" s="28"/>
      <c r="G28" s="28"/>
      <c r="H28" s="28"/>
      <c r="I28" s="28"/>
      <c r="J28" s="54"/>
    </row>
    <row r="29" spans="1:10">
      <c r="A29" s="27">
        <v>35578</v>
      </c>
      <c r="B29" s="257">
        <v>1309</v>
      </c>
      <c r="C29" s="257">
        <v>1147</v>
      </c>
      <c r="D29" s="47">
        <f t="shared" si="1"/>
        <v>1.1412380122057542</v>
      </c>
      <c r="E29" s="29"/>
      <c r="F29" s="29"/>
      <c r="G29" s="29"/>
      <c r="H29" s="29"/>
      <c r="I29" s="29"/>
      <c r="J29" s="57"/>
    </row>
    <row r="30" spans="1:10">
      <c r="A30" s="27">
        <v>35579</v>
      </c>
      <c r="B30" s="257">
        <v>1431</v>
      </c>
      <c r="C30" s="257">
        <v>1043</v>
      </c>
      <c r="D30" s="47">
        <f t="shared" si="1"/>
        <v>1.3720038350910835</v>
      </c>
      <c r="E30" s="29"/>
      <c r="F30" s="29"/>
      <c r="G30" s="29"/>
      <c r="H30" s="29"/>
      <c r="I30" s="29"/>
      <c r="J30" s="57"/>
    </row>
    <row r="31" spans="1:10">
      <c r="A31" s="26">
        <v>35580</v>
      </c>
      <c r="B31" s="255">
        <v>1584</v>
      </c>
      <c r="C31" s="255">
        <v>901</v>
      </c>
      <c r="D31" s="43">
        <f t="shared" si="1"/>
        <v>1.7580466148723641</v>
      </c>
      <c r="E31" s="28"/>
      <c r="F31" s="28"/>
      <c r="G31" s="28"/>
      <c r="H31" s="28"/>
      <c r="I31" s="28"/>
      <c r="J31" s="54"/>
    </row>
    <row r="32" spans="1:10">
      <c r="A32" s="26">
        <v>35583</v>
      </c>
      <c r="B32" s="255">
        <v>1530</v>
      </c>
      <c r="C32" s="255">
        <v>963</v>
      </c>
      <c r="D32" s="43">
        <f t="shared" si="1"/>
        <v>1.5887850467289719</v>
      </c>
      <c r="E32" s="28"/>
      <c r="F32" s="28"/>
      <c r="G32" s="28"/>
      <c r="H32" s="28"/>
      <c r="I32" s="28"/>
      <c r="J32" s="54"/>
    </row>
    <row r="33" spans="1:10">
      <c r="A33" s="27">
        <v>35584</v>
      </c>
      <c r="B33" s="257">
        <v>1472</v>
      </c>
      <c r="C33" s="257">
        <v>1022</v>
      </c>
      <c r="D33" s="47">
        <f t="shared" si="1"/>
        <v>1.4403131115459882</v>
      </c>
      <c r="E33" s="29"/>
      <c r="F33" s="29"/>
      <c r="G33" s="29"/>
      <c r="H33" s="29"/>
      <c r="I33" s="29"/>
      <c r="J33" s="57"/>
    </row>
    <row r="34" spans="1:10">
      <c r="A34" s="27">
        <v>35585</v>
      </c>
      <c r="B34" s="257">
        <v>1147</v>
      </c>
      <c r="C34" s="257">
        <v>1322</v>
      </c>
      <c r="D34" s="47">
        <f t="shared" si="1"/>
        <v>0.86762481089258703</v>
      </c>
      <c r="E34" s="29"/>
      <c r="F34" s="29"/>
      <c r="G34" s="29"/>
      <c r="H34" s="29"/>
      <c r="I34" s="29"/>
      <c r="J34" s="57"/>
    </row>
    <row r="35" spans="1:10">
      <c r="A35" s="26">
        <v>35586</v>
      </c>
      <c r="B35" s="255">
        <v>1489</v>
      </c>
      <c r="C35" s="255">
        <v>956</v>
      </c>
      <c r="D35" s="43">
        <f t="shared" si="1"/>
        <v>1.5575313807531381</v>
      </c>
      <c r="E35" s="28"/>
      <c r="F35" s="28"/>
      <c r="G35" s="28"/>
      <c r="H35" s="28"/>
      <c r="I35" s="28"/>
      <c r="J35" s="54"/>
    </row>
    <row r="36" spans="1:10">
      <c r="A36" s="26">
        <v>35587</v>
      </c>
      <c r="B36" s="255">
        <v>1703</v>
      </c>
      <c r="C36" s="255">
        <v>734</v>
      </c>
      <c r="D36" s="43">
        <f t="shared" si="1"/>
        <v>2.3201634877384194</v>
      </c>
      <c r="E36" s="28"/>
      <c r="F36" s="28"/>
      <c r="G36" s="28"/>
      <c r="H36" s="28"/>
      <c r="I36" s="28"/>
      <c r="J36" s="54"/>
    </row>
    <row r="37" spans="1:10">
      <c r="A37" s="27">
        <v>35590</v>
      </c>
      <c r="B37" s="257">
        <v>1415</v>
      </c>
      <c r="C37" s="257">
        <v>1084</v>
      </c>
      <c r="D37" s="47">
        <f t="shared" si="1"/>
        <v>1.305350553505535</v>
      </c>
      <c r="E37" s="29"/>
      <c r="F37" s="29"/>
      <c r="G37" s="29"/>
      <c r="H37" s="29"/>
      <c r="I37" s="29"/>
      <c r="J37" s="57"/>
    </row>
    <row r="38" spans="1:10">
      <c r="A38" s="27">
        <v>35591</v>
      </c>
      <c r="B38" s="257">
        <v>1403</v>
      </c>
      <c r="C38" s="257">
        <v>1130</v>
      </c>
      <c r="D38" s="47">
        <f t="shared" si="1"/>
        <v>1.2415929203539824</v>
      </c>
      <c r="E38" s="29"/>
      <c r="F38" s="29"/>
      <c r="G38" s="29"/>
      <c r="H38" s="29"/>
      <c r="I38" s="29"/>
      <c r="J38" s="57"/>
    </row>
    <row r="39" spans="1:10">
      <c r="A39" s="26">
        <v>35592</v>
      </c>
      <c r="B39" s="255">
        <v>1511</v>
      </c>
      <c r="C39" s="255">
        <v>1027</v>
      </c>
      <c r="D39" s="43">
        <f t="shared" si="1"/>
        <v>1.4712755598831548</v>
      </c>
      <c r="E39" s="28"/>
      <c r="F39" s="28"/>
      <c r="G39" s="28"/>
      <c r="H39" s="28"/>
      <c r="I39" s="28"/>
      <c r="J39" s="54"/>
    </row>
    <row r="40" spans="1:10">
      <c r="A40" s="26"/>
      <c r="B40" s="28"/>
      <c r="C40" s="28"/>
      <c r="D40" s="28"/>
      <c r="E40" s="28"/>
      <c r="F40" s="28"/>
      <c r="G40" s="28"/>
      <c r="H40" s="28"/>
      <c r="I40" s="28"/>
      <c r="J40" s="54"/>
    </row>
    <row r="41" spans="1:10">
      <c r="A41" s="71"/>
      <c r="B41" s="29"/>
      <c r="C41" s="29"/>
      <c r="D41" s="29"/>
      <c r="E41" s="29"/>
      <c r="F41" s="29"/>
      <c r="G41" s="29"/>
      <c r="H41" s="29"/>
      <c r="I41" s="29"/>
      <c r="J41" s="57"/>
    </row>
    <row r="42" spans="1:10">
      <c r="A42" s="346" t="s">
        <v>713</v>
      </c>
    </row>
  </sheetData>
  <mergeCells count="1">
    <mergeCell ref="B4:J4"/>
  </mergeCells>
  <phoneticPr fontId="0" type="noConversion"/>
  <pageMargins left="0.75" right="0.75" top="1" bottom="1" header="0.5" footer="0.5"/>
  <pageSetup orientation="portrait" horizontalDpi="0" verticalDpi="0" copies="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8675" r:id="rId3" name="Button 3">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28676"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28677"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8678"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N42"/>
  <sheetViews>
    <sheetView workbookViewId="0"/>
  </sheetViews>
  <sheetFormatPr baseColWidth="10" defaultColWidth="8.83203125" defaultRowHeight="12" x14ac:dyDescent="0"/>
  <cols>
    <col min="1" max="1" width="10.83203125" customWidth="1"/>
    <col min="2" max="3" width="10.5" customWidth="1"/>
    <col min="4" max="4" width="1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1093</v>
      </c>
      <c r="C3" s="21"/>
      <c r="D3" s="21"/>
      <c r="E3" s="21"/>
      <c r="F3" s="21"/>
      <c r="G3" s="21"/>
      <c r="H3" s="21"/>
      <c r="I3" s="21"/>
      <c r="J3" s="21"/>
    </row>
    <row r="4" spans="1:14" ht="28.5" customHeight="1">
      <c r="A4" s="118" t="s">
        <v>779</v>
      </c>
      <c r="B4" s="446" t="s">
        <v>1058</v>
      </c>
      <c r="C4" s="446"/>
      <c r="D4" s="446"/>
      <c r="E4" s="446"/>
      <c r="F4" s="446"/>
      <c r="G4" s="446"/>
      <c r="H4" s="446"/>
      <c r="I4" s="446"/>
      <c r="J4" s="446"/>
    </row>
    <row r="5" spans="1:14">
      <c r="A5" s="21"/>
      <c r="B5" s="21"/>
      <c r="C5" s="115" t="s">
        <v>639</v>
      </c>
      <c r="D5" s="21"/>
      <c r="E5" s="21"/>
      <c r="F5" s="21"/>
      <c r="G5" s="21"/>
      <c r="H5" s="21"/>
      <c r="I5" s="21"/>
      <c r="J5" s="21"/>
    </row>
    <row r="6" spans="1:14" ht="58.5" customHeight="1">
      <c r="A6" s="22" t="s">
        <v>1090</v>
      </c>
      <c r="B6" s="23" t="s">
        <v>1091</v>
      </c>
      <c r="C6" s="23" t="s">
        <v>1092</v>
      </c>
      <c r="D6" s="31" t="s">
        <v>1059</v>
      </c>
      <c r="E6" s="22"/>
      <c r="F6" s="22"/>
      <c r="G6" s="22"/>
      <c r="H6" s="22"/>
      <c r="I6" s="22"/>
      <c r="J6" s="22"/>
    </row>
    <row r="7" spans="1:14">
      <c r="A7" s="26">
        <v>35545</v>
      </c>
      <c r="B7" s="255">
        <v>789</v>
      </c>
      <c r="C7" s="255">
        <v>1662</v>
      </c>
      <c r="D7" s="255">
        <f>B7-C7</f>
        <v>-873</v>
      </c>
      <c r="E7" s="28"/>
      <c r="F7" s="28"/>
      <c r="G7" s="28"/>
      <c r="H7" s="28"/>
      <c r="I7" s="28"/>
      <c r="J7" s="54"/>
    </row>
    <row r="8" spans="1:14">
      <c r="A8" s="26">
        <v>35548</v>
      </c>
      <c r="B8" s="255">
        <v>1348</v>
      </c>
      <c r="C8" s="255">
        <v>1085</v>
      </c>
      <c r="D8" s="255">
        <f t="shared" ref="D8:D23" si="0">B8-C8</f>
        <v>263</v>
      </c>
      <c r="E8" s="28"/>
      <c r="F8" s="28"/>
      <c r="G8" s="28"/>
      <c r="H8" s="28"/>
      <c r="I8" s="28"/>
      <c r="J8" s="54"/>
    </row>
    <row r="9" spans="1:14">
      <c r="A9" s="27">
        <v>35549</v>
      </c>
      <c r="B9" s="257">
        <v>2085</v>
      </c>
      <c r="C9" s="257">
        <v>531</v>
      </c>
      <c r="D9" s="257">
        <f t="shared" si="0"/>
        <v>1554</v>
      </c>
      <c r="E9" s="29"/>
      <c r="F9" s="29"/>
      <c r="G9" s="29"/>
      <c r="H9" s="29"/>
      <c r="I9" s="29"/>
      <c r="J9" s="57"/>
    </row>
    <row r="10" spans="1:14">
      <c r="A10" s="27">
        <v>35550</v>
      </c>
      <c r="B10" s="257">
        <v>1599</v>
      </c>
      <c r="C10" s="257">
        <v>941</v>
      </c>
      <c r="D10" s="257">
        <f t="shared" si="0"/>
        <v>658</v>
      </c>
      <c r="E10" s="29"/>
      <c r="F10" s="29"/>
      <c r="G10" s="29"/>
      <c r="H10" s="29"/>
      <c r="I10" s="29"/>
      <c r="J10" s="57"/>
    </row>
    <row r="11" spans="1:14">
      <c r="A11" s="26">
        <v>35551</v>
      </c>
      <c r="B11" s="255">
        <v>1450</v>
      </c>
      <c r="C11" s="255">
        <v>1021</v>
      </c>
      <c r="D11" s="255">
        <f t="shared" si="0"/>
        <v>429</v>
      </c>
      <c r="E11" s="28"/>
      <c r="F11" s="28"/>
      <c r="G11" s="28"/>
      <c r="H11" s="28"/>
      <c r="I11" s="28"/>
      <c r="J11" s="54"/>
    </row>
    <row r="12" spans="1:14">
      <c r="A12" s="26">
        <v>35552</v>
      </c>
      <c r="B12" s="255">
        <v>2119</v>
      </c>
      <c r="C12" s="255">
        <v>476</v>
      </c>
      <c r="D12" s="255">
        <f t="shared" si="0"/>
        <v>1643</v>
      </c>
      <c r="E12" s="28"/>
      <c r="F12" s="28"/>
      <c r="G12" s="28"/>
      <c r="H12" s="28"/>
      <c r="I12" s="28"/>
      <c r="J12" s="54"/>
    </row>
    <row r="13" spans="1:14">
      <c r="A13" s="27">
        <v>35555</v>
      </c>
      <c r="B13" s="257">
        <v>1958</v>
      </c>
      <c r="C13" s="257">
        <v>677</v>
      </c>
      <c r="D13" s="257">
        <f t="shared" si="0"/>
        <v>1281</v>
      </c>
      <c r="E13" s="29"/>
      <c r="F13" s="29"/>
      <c r="G13" s="29"/>
      <c r="H13" s="29"/>
      <c r="I13" s="29"/>
      <c r="J13" s="57"/>
    </row>
    <row r="14" spans="1:14">
      <c r="A14" s="27">
        <v>35556</v>
      </c>
      <c r="B14" s="257">
        <v>1258</v>
      </c>
      <c r="C14" s="257">
        <v>1270</v>
      </c>
      <c r="D14" s="257">
        <f t="shared" si="0"/>
        <v>-12</v>
      </c>
      <c r="E14" s="29"/>
      <c r="F14" s="29"/>
      <c r="G14" s="29"/>
      <c r="H14" s="29"/>
      <c r="I14" s="29"/>
      <c r="J14" s="57"/>
    </row>
    <row r="15" spans="1:14">
      <c r="A15" s="26">
        <v>35557</v>
      </c>
      <c r="B15" s="255">
        <v>842</v>
      </c>
      <c r="C15" s="255">
        <v>1660</v>
      </c>
      <c r="D15" s="255">
        <f t="shared" si="0"/>
        <v>-818</v>
      </c>
      <c r="E15" s="28"/>
      <c r="F15" s="28"/>
      <c r="G15" s="28"/>
      <c r="H15" s="28"/>
      <c r="I15" s="28"/>
      <c r="J15" s="54"/>
    </row>
    <row r="16" spans="1:14">
      <c r="A16" s="26">
        <v>35558</v>
      </c>
      <c r="B16" s="255">
        <v>1398</v>
      </c>
      <c r="C16" s="255">
        <v>1097</v>
      </c>
      <c r="D16" s="255">
        <f t="shared" si="0"/>
        <v>301</v>
      </c>
      <c r="E16" s="28"/>
      <c r="F16" s="28"/>
      <c r="G16" s="28"/>
      <c r="H16" s="28"/>
      <c r="I16" s="28"/>
      <c r="J16" s="54"/>
    </row>
    <row r="17" spans="1:10">
      <c r="A17" s="27">
        <v>35559</v>
      </c>
      <c r="B17" s="257">
        <v>1526</v>
      </c>
      <c r="C17" s="257">
        <v>932</v>
      </c>
      <c r="D17" s="257">
        <f t="shared" si="0"/>
        <v>594</v>
      </c>
      <c r="E17" s="29"/>
      <c r="F17" s="29"/>
      <c r="G17" s="29"/>
      <c r="H17" s="29"/>
      <c r="I17" s="29"/>
      <c r="J17" s="57"/>
    </row>
    <row r="18" spans="1:10">
      <c r="A18" s="27">
        <v>35562</v>
      </c>
      <c r="B18" s="257">
        <v>1766</v>
      </c>
      <c r="C18" s="257">
        <v>761</v>
      </c>
      <c r="D18" s="257">
        <f t="shared" si="0"/>
        <v>1005</v>
      </c>
      <c r="E18" s="29"/>
      <c r="F18" s="29"/>
      <c r="G18" s="29"/>
      <c r="H18" s="29"/>
      <c r="I18" s="29"/>
      <c r="J18" s="57"/>
    </row>
    <row r="19" spans="1:10">
      <c r="A19" s="26">
        <v>35563</v>
      </c>
      <c r="B19" s="255">
        <v>1133</v>
      </c>
      <c r="C19" s="255">
        <v>1322</v>
      </c>
      <c r="D19" s="255">
        <f t="shared" si="0"/>
        <v>-189</v>
      </c>
      <c r="E19" s="28"/>
      <c r="F19" s="28"/>
      <c r="G19" s="28"/>
      <c r="H19" s="28"/>
      <c r="I19" s="28"/>
      <c r="J19" s="54"/>
    </row>
    <row r="20" spans="1:10">
      <c r="A20" s="26">
        <v>35564</v>
      </c>
      <c r="B20" s="255">
        <v>1472</v>
      </c>
      <c r="C20" s="255">
        <v>992</v>
      </c>
      <c r="D20" s="255">
        <f t="shared" si="0"/>
        <v>480</v>
      </c>
      <c r="E20" s="28"/>
      <c r="F20" s="28"/>
      <c r="G20" s="28"/>
      <c r="H20" s="28"/>
      <c r="I20" s="28"/>
      <c r="J20" s="54"/>
    </row>
    <row r="21" spans="1:10">
      <c r="A21" s="27">
        <v>35565</v>
      </c>
      <c r="B21" s="257">
        <v>1282</v>
      </c>
      <c r="C21" s="257">
        <v>1164</v>
      </c>
      <c r="D21" s="257">
        <f t="shared" si="0"/>
        <v>118</v>
      </c>
      <c r="E21" s="29"/>
      <c r="F21" s="29"/>
      <c r="G21" s="29"/>
      <c r="H21" s="29"/>
      <c r="I21" s="29"/>
      <c r="J21" s="57"/>
    </row>
    <row r="22" spans="1:10">
      <c r="A22" s="27">
        <v>35566</v>
      </c>
      <c r="B22" s="257">
        <v>973</v>
      </c>
      <c r="C22" s="257">
        <v>1431</v>
      </c>
      <c r="D22" s="257">
        <f t="shared" si="0"/>
        <v>-458</v>
      </c>
      <c r="E22" s="29"/>
      <c r="F22" s="29"/>
      <c r="G22" s="29"/>
      <c r="H22" s="29"/>
      <c r="I22" s="29"/>
      <c r="J22" s="57"/>
    </row>
    <row r="23" spans="1:10">
      <c r="A23" s="26">
        <v>35569</v>
      </c>
      <c r="B23" s="255">
        <v>1390</v>
      </c>
      <c r="C23" s="255">
        <v>1056</v>
      </c>
      <c r="D23" s="255">
        <f t="shared" si="0"/>
        <v>334</v>
      </c>
      <c r="E23" s="28"/>
      <c r="F23" s="28"/>
      <c r="G23" s="28"/>
      <c r="H23" s="28"/>
      <c r="I23" s="28"/>
      <c r="J23" s="54"/>
    </row>
    <row r="24" spans="1:10">
      <c r="A24" s="26">
        <v>35570</v>
      </c>
      <c r="B24" s="255">
        <v>1411</v>
      </c>
      <c r="C24" s="255">
        <v>1040</v>
      </c>
      <c r="D24" s="255">
        <f t="shared" ref="D24:D39" si="1">B24-C24</f>
        <v>371</v>
      </c>
      <c r="E24" s="28"/>
      <c r="F24" s="28"/>
      <c r="G24" s="28"/>
      <c r="H24" s="28"/>
      <c r="I24" s="28"/>
      <c r="J24" s="54"/>
    </row>
    <row r="25" spans="1:10">
      <c r="A25" s="27">
        <v>35571</v>
      </c>
      <c r="B25" s="257">
        <v>1421</v>
      </c>
      <c r="C25" s="257">
        <v>1107</v>
      </c>
      <c r="D25" s="257">
        <f t="shared" si="1"/>
        <v>314</v>
      </c>
      <c r="E25" s="29"/>
      <c r="F25" s="29"/>
      <c r="G25" s="29"/>
      <c r="H25" s="29"/>
      <c r="I25" s="29"/>
      <c r="J25" s="57"/>
    </row>
    <row r="26" spans="1:10">
      <c r="A26" s="27">
        <v>35572</v>
      </c>
      <c r="B26" s="257">
        <v>1270</v>
      </c>
      <c r="C26" s="257">
        <v>1176</v>
      </c>
      <c r="D26" s="257">
        <f t="shared" si="1"/>
        <v>94</v>
      </c>
      <c r="E26" s="29"/>
      <c r="F26" s="29"/>
      <c r="G26" s="29"/>
      <c r="H26" s="29"/>
      <c r="I26" s="29"/>
      <c r="J26" s="57"/>
    </row>
    <row r="27" spans="1:10">
      <c r="A27" s="26">
        <v>35573</v>
      </c>
      <c r="B27" s="255">
        <v>1875</v>
      </c>
      <c r="C27" s="255">
        <v>618</v>
      </c>
      <c r="D27" s="255">
        <f t="shared" si="1"/>
        <v>1257</v>
      </c>
      <c r="E27" s="28"/>
      <c r="F27" s="28"/>
      <c r="G27" s="28"/>
      <c r="H27" s="28"/>
      <c r="I27" s="28"/>
      <c r="J27" s="54"/>
    </row>
    <row r="28" spans="1:10">
      <c r="A28" s="26">
        <v>35577</v>
      </c>
      <c r="B28" s="255">
        <v>1221</v>
      </c>
      <c r="C28" s="255">
        <v>1299</v>
      </c>
      <c r="D28" s="255">
        <f t="shared" si="1"/>
        <v>-78</v>
      </c>
      <c r="E28" s="28"/>
      <c r="F28" s="28"/>
      <c r="G28" s="28"/>
      <c r="H28" s="28"/>
      <c r="I28" s="28"/>
      <c r="J28" s="54"/>
    </row>
    <row r="29" spans="1:10">
      <c r="A29" s="27">
        <v>35578</v>
      </c>
      <c r="B29" s="257">
        <v>1309</v>
      </c>
      <c r="C29" s="257">
        <v>1147</v>
      </c>
      <c r="D29" s="257">
        <f t="shared" si="1"/>
        <v>162</v>
      </c>
      <c r="E29" s="29"/>
      <c r="F29" s="29"/>
      <c r="G29" s="29"/>
      <c r="H29" s="29"/>
      <c r="I29" s="29"/>
      <c r="J29" s="57"/>
    </row>
    <row r="30" spans="1:10">
      <c r="A30" s="27">
        <v>35579</v>
      </c>
      <c r="B30" s="257">
        <v>1431</v>
      </c>
      <c r="C30" s="257">
        <v>1043</v>
      </c>
      <c r="D30" s="257">
        <f t="shared" si="1"/>
        <v>388</v>
      </c>
      <c r="E30" s="29"/>
      <c r="F30" s="29"/>
      <c r="G30" s="29"/>
      <c r="H30" s="29"/>
      <c r="I30" s="29"/>
      <c r="J30" s="57"/>
    </row>
    <row r="31" spans="1:10">
      <c r="A31" s="26">
        <v>35580</v>
      </c>
      <c r="B31" s="255">
        <v>1584</v>
      </c>
      <c r="C31" s="255">
        <v>901</v>
      </c>
      <c r="D31" s="255">
        <f t="shared" si="1"/>
        <v>683</v>
      </c>
      <c r="E31" s="28"/>
      <c r="F31" s="28"/>
      <c r="G31" s="28"/>
      <c r="H31" s="28"/>
      <c r="I31" s="28"/>
      <c r="J31" s="54"/>
    </row>
    <row r="32" spans="1:10">
      <c r="A32" s="26">
        <v>35583</v>
      </c>
      <c r="B32" s="255">
        <v>1530</v>
      </c>
      <c r="C32" s="255">
        <v>963</v>
      </c>
      <c r="D32" s="255">
        <f t="shared" si="1"/>
        <v>567</v>
      </c>
      <c r="E32" s="28"/>
      <c r="F32" s="28"/>
      <c r="G32" s="28"/>
      <c r="H32" s="28"/>
      <c r="I32" s="28"/>
      <c r="J32" s="54"/>
    </row>
    <row r="33" spans="1:10">
      <c r="A33" s="27">
        <v>35584</v>
      </c>
      <c r="B33" s="257">
        <v>1472</v>
      </c>
      <c r="C33" s="257">
        <v>1022</v>
      </c>
      <c r="D33" s="257">
        <f t="shared" si="1"/>
        <v>450</v>
      </c>
      <c r="E33" s="29"/>
      <c r="F33" s="29"/>
      <c r="G33" s="29"/>
      <c r="H33" s="29"/>
      <c r="I33" s="29"/>
      <c r="J33" s="57"/>
    </row>
    <row r="34" spans="1:10">
      <c r="A34" s="27">
        <v>35585</v>
      </c>
      <c r="B34" s="257">
        <v>1147</v>
      </c>
      <c r="C34" s="257">
        <v>1322</v>
      </c>
      <c r="D34" s="257">
        <f t="shared" si="1"/>
        <v>-175</v>
      </c>
      <c r="E34" s="29"/>
      <c r="F34" s="29"/>
      <c r="G34" s="29"/>
      <c r="H34" s="29"/>
      <c r="I34" s="29"/>
      <c r="J34" s="57"/>
    </row>
    <row r="35" spans="1:10">
      <c r="A35" s="26">
        <v>35586</v>
      </c>
      <c r="B35" s="255">
        <v>1489</v>
      </c>
      <c r="C35" s="255">
        <v>956</v>
      </c>
      <c r="D35" s="255">
        <f t="shared" si="1"/>
        <v>533</v>
      </c>
      <c r="E35" s="28"/>
      <c r="F35" s="28"/>
      <c r="G35" s="28"/>
      <c r="H35" s="28"/>
      <c r="I35" s="28"/>
      <c r="J35" s="54"/>
    </row>
    <row r="36" spans="1:10">
      <c r="A36" s="26">
        <v>35587</v>
      </c>
      <c r="B36" s="255">
        <v>1703</v>
      </c>
      <c r="C36" s="255">
        <v>734</v>
      </c>
      <c r="D36" s="255">
        <f t="shared" si="1"/>
        <v>969</v>
      </c>
      <c r="E36" s="28"/>
      <c r="F36" s="28"/>
      <c r="G36" s="28"/>
      <c r="H36" s="28"/>
      <c r="I36" s="28"/>
      <c r="J36" s="54"/>
    </row>
    <row r="37" spans="1:10">
      <c r="A37" s="27">
        <v>35590</v>
      </c>
      <c r="B37" s="257">
        <v>1415</v>
      </c>
      <c r="C37" s="257">
        <v>1084</v>
      </c>
      <c r="D37" s="257">
        <f t="shared" si="1"/>
        <v>331</v>
      </c>
      <c r="E37" s="29"/>
      <c r="F37" s="29"/>
      <c r="G37" s="29"/>
      <c r="H37" s="29"/>
      <c r="I37" s="29"/>
      <c r="J37" s="57"/>
    </row>
    <row r="38" spans="1:10">
      <c r="A38" s="27">
        <v>35591</v>
      </c>
      <c r="B38" s="257">
        <v>1403</v>
      </c>
      <c r="C38" s="257">
        <v>1130</v>
      </c>
      <c r="D38" s="257">
        <f t="shared" si="1"/>
        <v>273</v>
      </c>
      <c r="E38" s="29"/>
      <c r="F38" s="29"/>
      <c r="G38" s="29"/>
      <c r="H38" s="29"/>
      <c r="I38" s="29"/>
      <c r="J38" s="57"/>
    </row>
    <row r="39" spans="1:10">
      <c r="A39" s="26">
        <v>35592</v>
      </c>
      <c r="B39" s="255">
        <v>1511</v>
      </c>
      <c r="C39" s="255">
        <v>1027</v>
      </c>
      <c r="D39" s="255">
        <f t="shared" si="1"/>
        <v>484</v>
      </c>
      <c r="E39" s="28"/>
      <c r="F39" s="28"/>
      <c r="G39" s="28"/>
      <c r="H39" s="28"/>
      <c r="I39" s="28"/>
      <c r="J39" s="54"/>
    </row>
    <row r="40" spans="1:10">
      <c r="A40" s="70"/>
      <c r="B40" s="28"/>
      <c r="C40" s="28"/>
      <c r="D40" s="28"/>
      <c r="E40" s="28"/>
      <c r="F40" s="28"/>
      <c r="G40" s="28"/>
      <c r="H40" s="28"/>
      <c r="I40" s="28"/>
      <c r="J40" s="54"/>
    </row>
    <row r="42" spans="1:10">
      <c r="A42" s="346" t="s">
        <v>712</v>
      </c>
    </row>
  </sheetData>
  <mergeCells count="1">
    <mergeCell ref="B4:J4"/>
  </mergeCells>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4274" r:id="rId3" name="Button 2">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54275" r:id="rId4" name="Button 3">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54276" r:id="rId5" name="Button 4">
              <controlPr defaultSize="0" print="0" autoFill="0" autoPict="0" macro="[0]!Previous_Button_Click">
                <anchor moveWithCells="1" sizeWithCells="1">
                  <from>
                    <xdr:col>3</xdr:col>
                    <xdr:colOff>203200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54277" r:id="rId6" name="Button 5">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N477"/>
  <sheetViews>
    <sheetView workbookViewId="0"/>
  </sheetViews>
  <sheetFormatPr baseColWidth="10" defaultColWidth="8.83203125" defaultRowHeight="12" x14ac:dyDescent="0"/>
  <cols>
    <col min="1" max="1" width="13" customWidth="1"/>
    <col min="2" max="2" width="10.6640625" customWidth="1"/>
    <col min="3" max="3" width="10.5" customWidth="1"/>
    <col min="4" max="4" width="12.6640625" customWidth="1"/>
    <col min="5" max="8" width="1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636</v>
      </c>
      <c r="C3" s="21"/>
      <c r="D3" s="21"/>
      <c r="E3" s="21"/>
      <c r="F3" s="21"/>
      <c r="G3" s="21"/>
      <c r="H3" s="21"/>
      <c r="I3" s="21"/>
      <c r="J3" s="21"/>
    </row>
    <row r="4" spans="1:14" ht="64.5" customHeight="1">
      <c r="A4" s="118" t="s">
        <v>779</v>
      </c>
      <c r="B4" s="446" t="s">
        <v>50</v>
      </c>
      <c r="C4" s="446"/>
      <c r="D4" s="446"/>
      <c r="E4" s="446"/>
      <c r="F4" s="446"/>
      <c r="G4" s="446"/>
      <c r="H4" s="446"/>
      <c r="I4" s="446"/>
      <c r="J4" s="446"/>
    </row>
    <row r="5" spans="1:14" ht="38.25" customHeight="1">
      <c r="A5" s="21"/>
      <c r="B5" s="21"/>
      <c r="C5" s="21"/>
      <c r="D5" s="21"/>
      <c r="E5" s="21"/>
      <c r="F5" s="21"/>
      <c r="G5" s="21"/>
      <c r="H5" s="21"/>
      <c r="I5" s="21"/>
      <c r="J5" s="21"/>
    </row>
    <row r="6" spans="1:14" ht="36">
      <c r="A6" s="22" t="s">
        <v>1090</v>
      </c>
      <c r="B6" s="23" t="s">
        <v>1091</v>
      </c>
      <c r="C6" s="23" t="s">
        <v>1092</v>
      </c>
      <c r="D6" s="22" t="s">
        <v>1103</v>
      </c>
      <c r="E6" s="22" t="s">
        <v>1104</v>
      </c>
      <c r="F6" s="31" t="s">
        <v>407</v>
      </c>
      <c r="G6" s="31" t="s">
        <v>408</v>
      </c>
      <c r="H6" s="31" t="s">
        <v>409</v>
      </c>
      <c r="I6" s="22"/>
      <c r="J6" s="22"/>
    </row>
    <row r="7" spans="1:14">
      <c r="A7" s="26">
        <v>35545</v>
      </c>
      <c r="B7" s="255">
        <v>789</v>
      </c>
      <c r="C7" s="255">
        <v>1662</v>
      </c>
      <c r="D7" s="255">
        <v>1097590.375</v>
      </c>
      <c r="E7" s="255">
        <v>2685030</v>
      </c>
      <c r="F7" s="41">
        <f>B7/C7</f>
        <v>0.47472924187725629</v>
      </c>
      <c r="G7" s="41">
        <f>D7/E7</f>
        <v>0.40878141957445541</v>
      </c>
      <c r="H7" s="41">
        <f>F7/G7</f>
        <v>1.1613278371885225</v>
      </c>
      <c r="I7" s="28"/>
      <c r="J7" s="54"/>
    </row>
    <row r="8" spans="1:14">
      <c r="A8" s="26">
        <v>35548</v>
      </c>
      <c r="B8" s="255">
        <v>1348</v>
      </c>
      <c r="C8" s="255">
        <v>1085</v>
      </c>
      <c r="D8" s="255">
        <v>2247369</v>
      </c>
      <c r="E8" s="255">
        <v>1430582.25</v>
      </c>
      <c r="F8" s="41">
        <f t="shared" ref="F8:F39" si="0">B8/C8</f>
        <v>1.2423963133640552</v>
      </c>
      <c r="G8" s="41">
        <f t="shared" ref="G8:G39" si="1">D8/E8</f>
        <v>1.5709470741720724</v>
      </c>
      <c r="H8" s="41">
        <f t="shared" ref="H8:H39" si="2">F8/G8</f>
        <v>0.79085816052640001</v>
      </c>
      <c r="I8" s="28"/>
      <c r="J8" s="54"/>
    </row>
    <row r="9" spans="1:14">
      <c r="A9" s="27">
        <v>35549</v>
      </c>
      <c r="B9" s="257">
        <v>2085</v>
      </c>
      <c r="C9" s="257">
        <v>531</v>
      </c>
      <c r="D9" s="257">
        <v>4617426.5</v>
      </c>
      <c r="E9" s="257">
        <v>527996.625</v>
      </c>
      <c r="F9" s="45">
        <f t="shared" si="0"/>
        <v>3.9265536723163841</v>
      </c>
      <c r="G9" s="45">
        <f t="shared" si="1"/>
        <v>8.7451818465695688</v>
      </c>
      <c r="H9" s="45">
        <f t="shared" si="2"/>
        <v>0.44899622914721149</v>
      </c>
      <c r="I9" s="29"/>
      <c r="J9" s="57"/>
    </row>
    <row r="10" spans="1:14">
      <c r="A10" s="27">
        <v>35550</v>
      </c>
      <c r="B10" s="257">
        <v>1599</v>
      </c>
      <c r="C10" s="257">
        <v>941</v>
      </c>
      <c r="D10" s="257">
        <v>4000088.75</v>
      </c>
      <c r="E10" s="257">
        <v>1163730.5</v>
      </c>
      <c r="F10" s="45">
        <f t="shared" si="0"/>
        <v>1.6992561105207227</v>
      </c>
      <c r="G10" s="45">
        <f t="shared" si="1"/>
        <v>3.4372981974778525</v>
      </c>
      <c r="H10" s="45">
        <f t="shared" si="2"/>
        <v>0.49435807221135675</v>
      </c>
      <c r="I10" s="29"/>
      <c r="J10" s="57"/>
    </row>
    <row r="11" spans="1:14">
      <c r="A11" s="26">
        <v>35551</v>
      </c>
      <c r="B11" s="255">
        <v>1450</v>
      </c>
      <c r="C11" s="255">
        <v>1021</v>
      </c>
      <c r="D11" s="255">
        <v>2176503</v>
      </c>
      <c r="E11" s="255">
        <v>1856353.125</v>
      </c>
      <c r="F11" s="41">
        <f t="shared" si="0"/>
        <v>1.4201762977473065</v>
      </c>
      <c r="G11" s="41">
        <f t="shared" si="1"/>
        <v>1.1724617319239841</v>
      </c>
      <c r="H11" s="41">
        <f t="shared" si="2"/>
        <v>1.2112773142854123</v>
      </c>
      <c r="I11" s="28"/>
      <c r="J11" s="54"/>
    </row>
    <row r="12" spans="1:14">
      <c r="A12" s="26">
        <v>35552</v>
      </c>
      <c r="B12" s="255">
        <v>2119</v>
      </c>
      <c r="C12" s="255">
        <v>476</v>
      </c>
      <c r="D12" s="255">
        <v>3918818</v>
      </c>
      <c r="E12" s="255">
        <v>749109.125</v>
      </c>
      <c r="F12" s="41">
        <f t="shared" si="0"/>
        <v>4.4516806722689077</v>
      </c>
      <c r="G12" s="41">
        <f t="shared" si="1"/>
        <v>5.2313045846291084</v>
      </c>
      <c r="H12" s="41">
        <f t="shared" si="2"/>
        <v>0.8509695048820265</v>
      </c>
      <c r="I12" s="28"/>
      <c r="J12" s="54"/>
    </row>
    <row r="13" spans="1:14">
      <c r="A13" s="27">
        <v>35555</v>
      </c>
      <c r="B13" s="257">
        <v>1958</v>
      </c>
      <c r="C13" s="257">
        <v>677</v>
      </c>
      <c r="D13" s="257">
        <v>4554564</v>
      </c>
      <c r="E13" s="257">
        <v>665109.6875</v>
      </c>
      <c r="F13" s="45">
        <f t="shared" si="0"/>
        <v>2.8921713441654355</v>
      </c>
      <c r="G13" s="45">
        <f t="shared" si="1"/>
        <v>6.8478389137881859</v>
      </c>
      <c r="H13" s="45">
        <f t="shared" si="2"/>
        <v>0.42234804010094662</v>
      </c>
      <c r="I13" s="29"/>
      <c r="J13" s="57"/>
    </row>
    <row r="14" spans="1:14">
      <c r="A14" s="27">
        <v>35556</v>
      </c>
      <c r="B14" s="257">
        <v>1258</v>
      </c>
      <c r="C14" s="257">
        <v>1270</v>
      </c>
      <c r="D14" s="257">
        <v>2774558.75</v>
      </c>
      <c r="E14" s="257">
        <v>2762761</v>
      </c>
      <c r="F14" s="45">
        <f t="shared" si="0"/>
        <v>0.99055118110236218</v>
      </c>
      <c r="G14" s="45">
        <f t="shared" si="1"/>
        <v>1.0042702752789692</v>
      </c>
      <c r="H14" s="45">
        <f t="shared" si="2"/>
        <v>0.98633924102473702</v>
      </c>
      <c r="I14" s="29"/>
      <c r="J14" s="57"/>
    </row>
    <row r="15" spans="1:14">
      <c r="A15" s="26">
        <v>35557</v>
      </c>
      <c r="B15" s="255">
        <v>842</v>
      </c>
      <c r="C15" s="255">
        <v>1660</v>
      </c>
      <c r="D15" s="255">
        <v>1518034.25</v>
      </c>
      <c r="E15" s="255">
        <v>3128769.5</v>
      </c>
      <c r="F15" s="41">
        <f t="shared" si="0"/>
        <v>0.5072289156626506</v>
      </c>
      <c r="G15" s="41">
        <f t="shared" si="1"/>
        <v>0.48518570958966456</v>
      </c>
      <c r="H15" s="41">
        <f t="shared" si="2"/>
        <v>1.0454325130301727</v>
      </c>
      <c r="I15" s="28"/>
      <c r="J15" s="54"/>
    </row>
    <row r="16" spans="1:14">
      <c r="A16" s="26">
        <v>35558</v>
      </c>
      <c r="B16" s="255">
        <v>1398</v>
      </c>
      <c r="C16" s="255">
        <v>1097</v>
      </c>
      <c r="D16" s="255">
        <v>3072179.75</v>
      </c>
      <c r="E16" s="255">
        <v>1743590.5</v>
      </c>
      <c r="F16" s="41">
        <f t="shared" si="0"/>
        <v>1.2743846855059253</v>
      </c>
      <c r="G16" s="41">
        <f t="shared" si="1"/>
        <v>1.7619846804625283</v>
      </c>
      <c r="H16" s="41">
        <f t="shared" si="2"/>
        <v>0.7232666093165997</v>
      </c>
      <c r="I16" s="28"/>
      <c r="J16" s="54"/>
    </row>
    <row r="17" spans="1:10">
      <c r="A17" s="27">
        <v>35559</v>
      </c>
      <c r="B17" s="257">
        <v>1526</v>
      </c>
      <c r="C17" s="257">
        <v>932</v>
      </c>
      <c r="D17" s="257">
        <v>2792524.75</v>
      </c>
      <c r="E17" s="257">
        <v>1218892.75</v>
      </c>
      <c r="F17" s="45">
        <f t="shared" si="0"/>
        <v>1.6373390557939915</v>
      </c>
      <c r="G17" s="45">
        <f t="shared" si="1"/>
        <v>2.2910340142723795</v>
      </c>
      <c r="H17" s="45">
        <f t="shared" si="2"/>
        <v>0.71467252148764016</v>
      </c>
      <c r="I17" s="29"/>
      <c r="J17" s="57"/>
    </row>
    <row r="18" spans="1:10">
      <c r="A18" s="27">
        <v>35562</v>
      </c>
      <c r="B18" s="257">
        <v>1766</v>
      </c>
      <c r="C18" s="257">
        <v>761</v>
      </c>
      <c r="D18" s="257">
        <v>3387345.75</v>
      </c>
      <c r="E18" s="257">
        <v>850940.6875</v>
      </c>
      <c r="F18" s="45">
        <f t="shared" si="0"/>
        <v>2.3206307490144549</v>
      </c>
      <c r="G18" s="45">
        <f t="shared" si="1"/>
        <v>3.9807072334874105</v>
      </c>
      <c r="H18" s="45">
        <f t="shared" si="2"/>
        <v>0.5829694606758109</v>
      </c>
      <c r="I18" s="29"/>
      <c r="J18" s="57"/>
    </row>
    <row r="19" spans="1:10">
      <c r="A19" s="26">
        <v>35563</v>
      </c>
      <c r="B19" s="255">
        <v>1133</v>
      </c>
      <c r="C19" s="255">
        <v>1322</v>
      </c>
      <c r="D19" s="255">
        <v>1991714</v>
      </c>
      <c r="E19" s="255">
        <v>2512359.75</v>
      </c>
      <c r="F19" s="41">
        <f t="shared" si="0"/>
        <v>0.857034795763994</v>
      </c>
      <c r="G19" s="41">
        <f t="shared" si="1"/>
        <v>0.79276624297137388</v>
      </c>
      <c r="H19" s="41">
        <f t="shared" si="2"/>
        <v>1.0810687303633599</v>
      </c>
      <c r="I19" s="28"/>
      <c r="J19" s="54"/>
    </row>
    <row r="20" spans="1:10">
      <c r="A20" s="26">
        <v>35564</v>
      </c>
      <c r="B20" s="255">
        <v>1472</v>
      </c>
      <c r="C20" s="255">
        <v>992</v>
      </c>
      <c r="D20" s="255">
        <v>2877362.5</v>
      </c>
      <c r="E20" s="255">
        <v>1616582.875</v>
      </c>
      <c r="F20" s="41">
        <f t="shared" si="0"/>
        <v>1.4838709677419355</v>
      </c>
      <c r="G20" s="41">
        <f t="shared" si="1"/>
        <v>1.7799041079165212</v>
      </c>
      <c r="H20" s="41">
        <f t="shared" si="2"/>
        <v>0.83368028712450737</v>
      </c>
      <c r="I20" s="28"/>
      <c r="J20" s="54"/>
    </row>
    <row r="21" spans="1:10">
      <c r="A21" s="27">
        <v>35565</v>
      </c>
      <c r="B21" s="257">
        <v>1282</v>
      </c>
      <c r="C21" s="257">
        <v>1164</v>
      </c>
      <c r="D21" s="257">
        <v>2658199</v>
      </c>
      <c r="E21" s="257">
        <v>1502646.625</v>
      </c>
      <c r="F21" s="45">
        <f t="shared" si="0"/>
        <v>1.1013745704467355</v>
      </c>
      <c r="G21" s="45">
        <f t="shared" si="1"/>
        <v>1.7690113934804865</v>
      </c>
      <c r="H21" s="45">
        <f t="shared" si="2"/>
        <v>0.62259326000145654</v>
      </c>
      <c r="I21" s="29"/>
      <c r="J21" s="57"/>
    </row>
    <row r="22" spans="1:10">
      <c r="A22" s="27">
        <v>35566</v>
      </c>
      <c r="B22" s="257">
        <v>973</v>
      </c>
      <c r="C22" s="257">
        <v>1431</v>
      </c>
      <c r="D22" s="257">
        <v>1325087.5</v>
      </c>
      <c r="E22" s="257">
        <v>3133338.75</v>
      </c>
      <c r="F22" s="45">
        <f t="shared" si="0"/>
        <v>0.67994409503843467</v>
      </c>
      <c r="G22" s="45">
        <f t="shared" si="1"/>
        <v>0.4228995348811232</v>
      </c>
      <c r="H22" s="45">
        <f t="shared" si="2"/>
        <v>1.6078147147396757</v>
      </c>
      <c r="I22" s="29"/>
      <c r="J22" s="57"/>
    </row>
    <row r="23" spans="1:10">
      <c r="A23" s="26">
        <v>35569</v>
      </c>
      <c r="B23" s="255">
        <v>1390</v>
      </c>
      <c r="C23" s="255">
        <v>1056</v>
      </c>
      <c r="D23" s="255">
        <v>1825068.375</v>
      </c>
      <c r="E23" s="255">
        <v>1290328.125</v>
      </c>
      <c r="F23" s="41">
        <f t="shared" si="0"/>
        <v>1.3162878787878789</v>
      </c>
      <c r="G23" s="41">
        <f t="shared" si="1"/>
        <v>1.4144219130308424</v>
      </c>
      <c r="H23" s="41">
        <f t="shared" si="2"/>
        <v>0.93061898056098369</v>
      </c>
      <c r="I23" s="28"/>
      <c r="J23" s="54"/>
    </row>
    <row r="24" spans="1:10">
      <c r="A24" s="26">
        <v>35570</v>
      </c>
      <c r="B24" s="255">
        <v>1411</v>
      </c>
      <c r="C24" s="255">
        <v>1040</v>
      </c>
      <c r="D24" s="255">
        <v>2707087</v>
      </c>
      <c r="E24" s="255">
        <v>1284888.125</v>
      </c>
      <c r="F24" s="41">
        <f t="shared" si="0"/>
        <v>1.3567307692307693</v>
      </c>
      <c r="G24" s="41">
        <f t="shared" si="1"/>
        <v>2.1068659187740568</v>
      </c>
      <c r="H24" s="41">
        <f t="shared" si="2"/>
        <v>0.6439568636718106</v>
      </c>
      <c r="I24" s="28"/>
      <c r="J24" s="54"/>
    </row>
    <row r="25" spans="1:10">
      <c r="A25" s="27">
        <v>35571</v>
      </c>
      <c r="B25" s="257">
        <v>1421</v>
      </c>
      <c r="C25" s="257">
        <v>1107</v>
      </c>
      <c r="D25" s="257">
        <v>2377201.5</v>
      </c>
      <c r="E25" s="257">
        <v>2563639.5</v>
      </c>
      <c r="F25" s="45">
        <f t="shared" si="0"/>
        <v>1.2836495031616983</v>
      </c>
      <c r="G25" s="45">
        <f t="shared" si="1"/>
        <v>0.92727604641760275</v>
      </c>
      <c r="H25" s="45">
        <f t="shared" si="2"/>
        <v>1.3843229404241522</v>
      </c>
      <c r="I25" s="29"/>
      <c r="J25" s="57"/>
    </row>
    <row r="26" spans="1:10">
      <c r="A26" s="27">
        <v>35572</v>
      </c>
      <c r="B26" s="257">
        <v>1270</v>
      </c>
      <c r="C26" s="257">
        <v>1176</v>
      </c>
      <c r="D26" s="257">
        <v>1873511</v>
      </c>
      <c r="E26" s="257">
        <v>1901396.625</v>
      </c>
      <c r="F26" s="45">
        <f t="shared" si="0"/>
        <v>1.0799319727891157</v>
      </c>
      <c r="G26" s="45">
        <f t="shared" si="1"/>
        <v>0.98533413563832317</v>
      </c>
      <c r="H26" s="45">
        <f t="shared" si="2"/>
        <v>1.0960058458641644</v>
      </c>
      <c r="I26" s="29"/>
      <c r="J26" s="57"/>
    </row>
    <row r="27" spans="1:10">
      <c r="A27" s="26">
        <v>35573</v>
      </c>
      <c r="B27" s="255">
        <v>1875</v>
      </c>
      <c r="C27" s="255">
        <v>618</v>
      </c>
      <c r="D27" s="255">
        <v>3065329.5</v>
      </c>
      <c r="E27" s="255">
        <v>707489.3125</v>
      </c>
      <c r="F27" s="41">
        <f t="shared" si="0"/>
        <v>3.0339805825242721</v>
      </c>
      <c r="G27" s="41">
        <f t="shared" si="1"/>
        <v>4.3326866510085971</v>
      </c>
      <c r="H27" s="41">
        <f t="shared" si="2"/>
        <v>0.70025386715145854</v>
      </c>
      <c r="I27" s="28"/>
      <c r="J27" s="54"/>
    </row>
    <row r="28" spans="1:10">
      <c r="A28" s="26">
        <v>35577</v>
      </c>
      <c r="B28" s="255">
        <v>1221</v>
      </c>
      <c r="C28" s="255">
        <v>1299</v>
      </c>
      <c r="D28" s="255">
        <v>2378635.75</v>
      </c>
      <c r="E28" s="255">
        <v>1578490.5</v>
      </c>
      <c r="F28" s="41">
        <f t="shared" si="0"/>
        <v>0.93995381062355654</v>
      </c>
      <c r="G28" s="41">
        <f t="shared" si="1"/>
        <v>1.5069053313909713</v>
      </c>
      <c r="H28" s="41">
        <f t="shared" si="2"/>
        <v>0.6237643407604897</v>
      </c>
      <c r="I28" s="28"/>
      <c r="J28" s="54"/>
    </row>
    <row r="29" spans="1:10">
      <c r="A29" s="27">
        <v>35578</v>
      </c>
      <c r="B29" s="257">
        <v>1309</v>
      </c>
      <c r="C29" s="257">
        <v>1147</v>
      </c>
      <c r="D29" s="257">
        <v>2266589</v>
      </c>
      <c r="E29" s="257">
        <v>2203339.75</v>
      </c>
      <c r="F29" s="45">
        <f t="shared" si="0"/>
        <v>1.1412380122057542</v>
      </c>
      <c r="G29" s="45">
        <f t="shared" si="1"/>
        <v>1.0287060813022595</v>
      </c>
      <c r="H29" s="45">
        <f t="shared" si="2"/>
        <v>1.1093917232034229</v>
      </c>
      <c r="I29" s="29"/>
      <c r="J29" s="57"/>
    </row>
    <row r="30" spans="1:10">
      <c r="A30" s="27">
        <v>35579</v>
      </c>
      <c r="B30" s="257">
        <v>1431</v>
      </c>
      <c r="C30" s="257">
        <v>1043</v>
      </c>
      <c r="D30" s="257">
        <v>2046584.625</v>
      </c>
      <c r="E30" s="257">
        <v>2166829.5</v>
      </c>
      <c r="F30" s="45">
        <f t="shared" si="0"/>
        <v>1.3720038350910835</v>
      </c>
      <c r="G30" s="45">
        <f t="shared" si="1"/>
        <v>0.9445065359318765</v>
      </c>
      <c r="H30" s="45">
        <f t="shared" si="2"/>
        <v>1.452614442458491</v>
      </c>
      <c r="I30" s="29"/>
      <c r="J30" s="57"/>
    </row>
    <row r="31" spans="1:10">
      <c r="A31" s="26">
        <v>35580</v>
      </c>
      <c r="B31" s="255">
        <v>1584</v>
      </c>
      <c r="C31" s="255">
        <v>901</v>
      </c>
      <c r="D31" s="255">
        <v>3040926.25</v>
      </c>
      <c r="E31" s="255">
        <v>1666566.5</v>
      </c>
      <c r="F31" s="41">
        <f t="shared" si="0"/>
        <v>1.7580466148723641</v>
      </c>
      <c r="G31" s="41">
        <f t="shared" si="1"/>
        <v>1.8246654123912847</v>
      </c>
      <c r="H31" s="41">
        <f t="shared" si="2"/>
        <v>0.96348985569271339</v>
      </c>
      <c r="I31" s="28"/>
      <c r="J31" s="54"/>
    </row>
    <row r="32" spans="1:10">
      <c r="A32" s="26">
        <v>35583</v>
      </c>
      <c r="B32" s="255">
        <v>1530</v>
      </c>
      <c r="C32" s="255">
        <v>963</v>
      </c>
      <c r="D32" s="255">
        <v>2078862.75</v>
      </c>
      <c r="E32" s="255">
        <v>1772313</v>
      </c>
      <c r="F32" s="41">
        <f t="shared" si="0"/>
        <v>1.5887850467289719</v>
      </c>
      <c r="G32" s="41">
        <f t="shared" si="1"/>
        <v>1.172965920805185</v>
      </c>
      <c r="H32" s="41">
        <f t="shared" si="2"/>
        <v>1.3545023078235274</v>
      </c>
      <c r="I32" s="28"/>
      <c r="J32" s="54"/>
    </row>
    <row r="33" spans="1:10">
      <c r="A33" s="27">
        <v>35584</v>
      </c>
      <c r="B33" s="257">
        <v>1472</v>
      </c>
      <c r="C33" s="257">
        <v>1022</v>
      </c>
      <c r="D33" s="257">
        <v>2510515.5</v>
      </c>
      <c r="E33" s="257">
        <v>2251208</v>
      </c>
      <c r="F33" s="45">
        <f t="shared" si="0"/>
        <v>1.4403131115459882</v>
      </c>
      <c r="G33" s="45">
        <f t="shared" si="1"/>
        <v>1.1151859357287288</v>
      </c>
      <c r="H33" s="45">
        <f t="shared" si="2"/>
        <v>1.2915452620058394</v>
      </c>
      <c r="I33" s="29"/>
      <c r="J33" s="57"/>
    </row>
    <row r="34" spans="1:10">
      <c r="A34" s="27">
        <v>35585</v>
      </c>
      <c r="B34" s="257">
        <v>1147</v>
      </c>
      <c r="C34" s="257">
        <v>1322</v>
      </c>
      <c r="D34" s="257">
        <v>1774308.75</v>
      </c>
      <c r="E34" s="257">
        <v>2416056</v>
      </c>
      <c r="F34" s="45">
        <f t="shared" si="0"/>
        <v>0.86762481089258703</v>
      </c>
      <c r="G34" s="45">
        <f t="shared" si="1"/>
        <v>0.73438229494680585</v>
      </c>
      <c r="H34" s="45">
        <f t="shared" si="2"/>
        <v>1.1814348151672589</v>
      </c>
      <c r="I34" s="29"/>
      <c r="J34" s="57"/>
    </row>
    <row r="35" spans="1:10">
      <c r="A35" s="26">
        <v>35586</v>
      </c>
      <c r="B35" s="255">
        <v>1489</v>
      </c>
      <c r="C35" s="255">
        <v>956</v>
      </c>
      <c r="D35" s="255">
        <v>2702448.25</v>
      </c>
      <c r="E35" s="255">
        <v>1317814.25</v>
      </c>
      <c r="F35" s="41">
        <f t="shared" si="0"/>
        <v>1.5575313807531381</v>
      </c>
      <c r="G35" s="41">
        <f t="shared" si="1"/>
        <v>2.05070498365001</v>
      </c>
      <c r="H35" s="41">
        <f t="shared" si="2"/>
        <v>0.75951021388796658</v>
      </c>
      <c r="I35" s="28"/>
      <c r="J35" s="54"/>
    </row>
    <row r="36" spans="1:10">
      <c r="A36" s="26">
        <v>35587</v>
      </c>
      <c r="B36" s="255">
        <v>1703</v>
      </c>
      <c r="C36" s="255">
        <v>734</v>
      </c>
      <c r="D36" s="255">
        <v>3291001</v>
      </c>
      <c r="E36" s="255">
        <v>999753.8125</v>
      </c>
      <c r="F36" s="41">
        <f t="shared" si="0"/>
        <v>2.3201634877384194</v>
      </c>
      <c r="G36" s="41">
        <f t="shared" si="1"/>
        <v>3.2918114028197318</v>
      </c>
      <c r="H36" s="41">
        <f t="shared" si="2"/>
        <v>0.7048288020847705</v>
      </c>
      <c r="I36" s="28"/>
      <c r="J36" s="54"/>
    </row>
    <row r="37" spans="1:10">
      <c r="A37" s="27">
        <v>35590</v>
      </c>
      <c r="B37" s="257">
        <v>1415</v>
      </c>
      <c r="C37" s="257">
        <v>1084</v>
      </c>
      <c r="D37" s="257">
        <v>2837335.5</v>
      </c>
      <c r="E37" s="257">
        <v>1431377.875</v>
      </c>
      <c r="F37" s="45">
        <f t="shared" si="0"/>
        <v>1.305350553505535</v>
      </c>
      <c r="G37" s="45">
        <f t="shared" si="1"/>
        <v>1.9822407133406335</v>
      </c>
      <c r="H37" s="45">
        <f t="shared" si="2"/>
        <v>0.65852272366338993</v>
      </c>
      <c r="I37" s="29"/>
      <c r="J37" s="57"/>
    </row>
    <row r="38" spans="1:10">
      <c r="A38" s="27">
        <v>35591</v>
      </c>
      <c r="B38" s="257">
        <v>1403</v>
      </c>
      <c r="C38" s="257">
        <v>1130</v>
      </c>
      <c r="D38" s="257">
        <v>2831112.25</v>
      </c>
      <c r="E38" s="257">
        <v>1901268.875</v>
      </c>
      <c r="F38" s="45">
        <f t="shared" si="0"/>
        <v>1.2415929203539824</v>
      </c>
      <c r="G38" s="45">
        <f t="shared" si="1"/>
        <v>1.4890646384772905</v>
      </c>
      <c r="H38" s="45">
        <f t="shared" si="2"/>
        <v>0.83380726952432949</v>
      </c>
      <c r="I38" s="29"/>
      <c r="J38" s="57"/>
    </row>
    <row r="39" spans="1:10">
      <c r="A39" s="26">
        <v>35592</v>
      </c>
      <c r="B39" s="255">
        <v>1511</v>
      </c>
      <c r="C39" s="255">
        <v>1027</v>
      </c>
      <c r="D39" s="255">
        <v>2843019.5</v>
      </c>
      <c r="E39" s="255">
        <v>1820490.75</v>
      </c>
      <c r="F39" s="41">
        <f t="shared" si="0"/>
        <v>1.4712755598831548</v>
      </c>
      <c r="G39" s="41">
        <f t="shared" si="1"/>
        <v>1.5616775311821827</v>
      </c>
      <c r="H39" s="41">
        <f t="shared" si="2"/>
        <v>0.94211226742143495</v>
      </c>
      <c r="I39" s="28"/>
      <c r="J39" s="54"/>
    </row>
    <row r="40" spans="1:10">
      <c r="A40" s="70"/>
      <c r="B40" s="28"/>
      <c r="C40" s="28"/>
      <c r="D40" s="28"/>
      <c r="E40" s="72"/>
      <c r="F40" s="72"/>
      <c r="G40" s="72"/>
      <c r="H40" s="72"/>
      <c r="I40" s="28"/>
      <c r="J40" s="54"/>
    </row>
    <row r="41" spans="1:10">
      <c r="D41" s="2"/>
      <c r="E41" s="2"/>
      <c r="F41" s="2"/>
      <c r="G41" s="2"/>
      <c r="H41" s="2"/>
    </row>
    <row r="42" spans="1:10" ht="15">
      <c r="A42" s="241" t="s">
        <v>714</v>
      </c>
      <c r="D42" s="2"/>
      <c r="E42" s="2"/>
      <c r="F42" s="2"/>
      <c r="G42" s="2"/>
      <c r="H42" s="2"/>
    </row>
    <row r="43" spans="1:10" ht="15">
      <c r="A43" s="241" t="s">
        <v>405</v>
      </c>
      <c r="D43" s="2"/>
      <c r="E43" s="2"/>
      <c r="F43" s="2"/>
      <c r="G43" s="2"/>
      <c r="H43" s="2"/>
    </row>
    <row r="44" spans="1:10" ht="15">
      <c r="A44" s="241" t="s">
        <v>406</v>
      </c>
      <c r="D44" s="2"/>
      <c r="E44" s="2"/>
      <c r="F44" s="2"/>
      <c r="G44" s="2"/>
      <c r="H44" s="2"/>
    </row>
    <row r="45" spans="1:10">
      <c r="D45" s="2"/>
      <c r="E45" s="2"/>
      <c r="F45" s="2"/>
      <c r="G45" s="2"/>
      <c r="H45" s="2"/>
    </row>
    <row r="46" spans="1:10">
      <c r="D46" s="2"/>
      <c r="E46" s="2"/>
      <c r="F46" s="2"/>
      <c r="G46" s="2"/>
      <c r="H46" s="2"/>
    </row>
    <row r="47" spans="1:10">
      <c r="D47" s="2"/>
      <c r="E47" s="2"/>
      <c r="F47" s="2"/>
      <c r="G47" s="2"/>
      <c r="H47" s="2"/>
    </row>
    <row r="48" spans="1:10">
      <c r="D48" s="2"/>
      <c r="E48" s="2"/>
      <c r="F48" s="2"/>
      <c r="G48" s="2"/>
      <c r="H48" s="2"/>
    </row>
    <row r="49" spans="4:8">
      <c r="D49" s="2"/>
      <c r="E49" s="2"/>
      <c r="F49" s="2"/>
      <c r="G49" s="2"/>
      <c r="H49" s="2"/>
    </row>
    <row r="50" spans="4:8">
      <c r="D50" s="2"/>
      <c r="E50" s="2"/>
      <c r="F50" s="2"/>
      <c r="G50" s="2"/>
      <c r="H50" s="2"/>
    </row>
    <row r="51" spans="4:8">
      <c r="D51" s="2"/>
      <c r="E51" s="2"/>
      <c r="F51" s="2"/>
      <c r="G51" s="2"/>
      <c r="H51" s="2"/>
    </row>
    <row r="52" spans="4:8">
      <c r="D52" s="2"/>
      <c r="E52" s="2"/>
      <c r="F52" s="2"/>
      <c r="G52" s="2"/>
      <c r="H52" s="2"/>
    </row>
    <row r="53" spans="4:8">
      <c r="D53" s="2"/>
      <c r="E53" s="2"/>
      <c r="F53" s="2"/>
      <c r="G53" s="2"/>
      <c r="H53" s="2"/>
    </row>
    <row r="54" spans="4:8">
      <c r="D54" s="2"/>
      <c r="E54" s="2"/>
      <c r="F54" s="2"/>
      <c r="G54" s="2"/>
      <c r="H54" s="2"/>
    </row>
    <row r="55" spans="4:8">
      <c r="D55" s="2"/>
      <c r="E55" s="2"/>
      <c r="F55" s="2"/>
      <c r="G55" s="2"/>
      <c r="H55" s="2"/>
    </row>
    <row r="56" spans="4:8">
      <c r="D56" s="2"/>
      <c r="E56" s="2"/>
      <c r="F56" s="2"/>
      <c r="G56" s="2"/>
      <c r="H56" s="2"/>
    </row>
    <row r="57" spans="4:8">
      <c r="D57" s="2"/>
      <c r="E57" s="2"/>
      <c r="F57" s="2"/>
      <c r="G57" s="2"/>
      <c r="H57" s="2"/>
    </row>
    <row r="58" spans="4:8">
      <c r="D58" s="2"/>
      <c r="E58" s="2"/>
      <c r="F58" s="2"/>
      <c r="G58" s="2"/>
      <c r="H58" s="2"/>
    </row>
    <row r="59" spans="4:8">
      <c r="D59" s="2"/>
      <c r="E59" s="2"/>
      <c r="F59" s="2"/>
      <c r="G59" s="2"/>
      <c r="H59" s="2"/>
    </row>
    <row r="60" spans="4:8">
      <c r="D60" s="2"/>
      <c r="E60" s="2"/>
      <c r="F60" s="2"/>
      <c r="G60" s="2"/>
      <c r="H60" s="2"/>
    </row>
    <row r="61" spans="4:8">
      <c r="D61" s="2"/>
      <c r="E61" s="2"/>
      <c r="F61" s="2"/>
      <c r="G61" s="2"/>
      <c r="H61" s="2"/>
    </row>
    <row r="62" spans="4:8">
      <c r="D62" s="2"/>
      <c r="E62" s="2"/>
      <c r="F62" s="2"/>
      <c r="G62" s="2"/>
      <c r="H62" s="2"/>
    </row>
    <row r="63" spans="4:8">
      <c r="D63" s="2"/>
      <c r="E63" s="2"/>
      <c r="F63" s="2"/>
      <c r="G63" s="2"/>
      <c r="H63" s="2"/>
    </row>
    <row r="64" spans="4:8">
      <c r="D64" s="2"/>
      <c r="E64" s="2"/>
      <c r="F64" s="2"/>
      <c r="G64" s="2"/>
      <c r="H64" s="2"/>
    </row>
    <row r="65" spans="4:8">
      <c r="D65" s="2"/>
      <c r="E65" s="2"/>
      <c r="F65" s="2"/>
      <c r="G65" s="2"/>
      <c r="H65" s="2"/>
    </row>
    <row r="66" spans="4:8">
      <c r="D66" s="2"/>
      <c r="E66" s="2"/>
      <c r="F66" s="2"/>
      <c r="G66" s="2"/>
      <c r="H66" s="2"/>
    </row>
    <row r="67" spans="4:8">
      <c r="D67" s="2"/>
      <c r="E67" s="2"/>
      <c r="F67" s="2"/>
      <c r="G67" s="2"/>
      <c r="H67" s="2"/>
    </row>
    <row r="68" spans="4:8">
      <c r="D68" s="2"/>
      <c r="E68" s="2"/>
      <c r="F68" s="2"/>
      <c r="G68" s="2"/>
      <c r="H68" s="2"/>
    </row>
    <row r="69" spans="4:8">
      <c r="D69" s="2"/>
      <c r="E69" s="2"/>
      <c r="F69" s="2"/>
      <c r="G69" s="2"/>
      <c r="H69" s="2"/>
    </row>
    <row r="70" spans="4:8">
      <c r="D70" s="2"/>
      <c r="E70" s="2"/>
      <c r="F70" s="2"/>
      <c r="G70" s="2"/>
      <c r="H70" s="2"/>
    </row>
    <row r="71" spans="4:8">
      <c r="D71" s="2"/>
      <c r="E71" s="2"/>
      <c r="F71" s="2"/>
      <c r="G71" s="2"/>
      <c r="H71" s="2"/>
    </row>
    <row r="72" spans="4:8">
      <c r="D72" s="2"/>
      <c r="E72" s="2"/>
      <c r="F72" s="2"/>
      <c r="G72" s="2"/>
      <c r="H72" s="2"/>
    </row>
    <row r="73" spans="4:8">
      <c r="D73" s="2"/>
      <c r="E73" s="2"/>
      <c r="F73" s="2"/>
      <c r="G73" s="2"/>
      <c r="H73" s="2"/>
    </row>
    <row r="74" spans="4:8">
      <c r="D74" s="2"/>
      <c r="E74" s="2"/>
      <c r="F74" s="2"/>
      <c r="G74" s="2"/>
      <c r="H74" s="2"/>
    </row>
    <row r="75" spans="4:8">
      <c r="D75" s="2"/>
      <c r="E75" s="2"/>
      <c r="F75" s="2"/>
      <c r="G75" s="2"/>
      <c r="H75" s="2"/>
    </row>
    <row r="76" spans="4:8">
      <c r="D76" s="2"/>
      <c r="E76" s="2"/>
      <c r="F76" s="2"/>
      <c r="G76" s="2"/>
      <c r="H76" s="2"/>
    </row>
    <row r="77" spans="4:8">
      <c r="D77" s="2"/>
      <c r="E77" s="2"/>
      <c r="F77" s="2"/>
      <c r="G77" s="2"/>
      <c r="H77" s="2"/>
    </row>
    <row r="78" spans="4:8">
      <c r="D78" s="2"/>
      <c r="E78" s="2"/>
      <c r="F78" s="2"/>
      <c r="G78" s="2"/>
      <c r="H78" s="2"/>
    </row>
    <row r="79" spans="4:8">
      <c r="D79" s="2"/>
      <c r="E79" s="2"/>
      <c r="F79" s="2"/>
      <c r="G79" s="2"/>
      <c r="H79" s="2"/>
    </row>
    <row r="80" spans="4:8">
      <c r="D80" s="2"/>
      <c r="E80" s="2"/>
      <c r="F80" s="2"/>
      <c r="G80" s="2"/>
      <c r="H80" s="2"/>
    </row>
    <row r="81" spans="4:8">
      <c r="D81" s="2"/>
      <c r="E81" s="2"/>
      <c r="F81" s="2"/>
      <c r="G81" s="2"/>
      <c r="H81" s="2"/>
    </row>
    <row r="82" spans="4:8">
      <c r="D82" s="2"/>
      <c r="E82" s="2"/>
      <c r="F82" s="2"/>
      <c r="G82" s="2"/>
      <c r="H82" s="2"/>
    </row>
    <row r="83" spans="4:8">
      <c r="D83" s="2"/>
      <c r="E83" s="2"/>
      <c r="F83" s="2"/>
      <c r="G83" s="2"/>
      <c r="H83" s="2"/>
    </row>
    <row r="84" spans="4:8">
      <c r="D84" s="2"/>
      <c r="E84" s="2"/>
      <c r="F84" s="2"/>
      <c r="G84" s="2"/>
      <c r="H84" s="2"/>
    </row>
    <row r="85" spans="4:8">
      <c r="D85" s="2"/>
      <c r="E85" s="2"/>
      <c r="F85" s="2"/>
      <c r="G85" s="2"/>
      <c r="H85" s="2"/>
    </row>
    <row r="86" spans="4:8">
      <c r="D86" s="2"/>
      <c r="E86" s="2"/>
      <c r="F86" s="2"/>
      <c r="G86" s="2"/>
      <c r="H86" s="2"/>
    </row>
    <row r="87" spans="4:8">
      <c r="D87" s="2"/>
      <c r="E87" s="2"/>
      <c r="F87" s="2"/>
      <c r="G87" s="2"/>
      <c r="H87" s="2"/>
    </row>
    <row r="88" spans="4:8">
      <c r="D88" s="2"/>
      <c r="E88" s="2"/>
      <c r="F88" s="2"/>
      <c r="G88" s="2"/>
      <c r="H88" s="2"/>
    </row>
    <row r="89" spans="4:8">
      <c r="D89" s="2"/>
      <c r="E89" s="2"/>
      <c r="F89" s="2"/>
      <c r="G89" s="2"/>
      <c r="H89" s="2"/>
    </row>
    <row r="90" spans="4:8">
      <c r="D90" s="2"/>
      <c r="E90" s="2"/>
      <c r="F90" s="2"/>
      <c r="G90" s="2"/>
      <c r="H90" s="2"/>
    </row>
    <row r="91" spans="4:8">
      <c r="D91" s="2"/>
      <c r="E91" s="2"/>
      <c r="F91" s="2"/>
      <c r="G91" s="2"/>
      <c r="H91" s="2"/>
    </row>
    <row r="92" spans="4:8">
      <c r="D92" s="2"/>
      <c r="E92" s="2"/>
      <c r="F92" s="2"/>
      <c r="G92" s="2"/>
      <c r="H92" s="2"/>
    </row>
    <row r="93" spans="4:8">
      <c r="D93" s="2"/>
      <c r="E93" s="2"/>
      <c r="F93" s="2"/>
      <c r="G93" s="2"/>
      <c r="H93" s="2"/>
    </row>
    <row r="94" spans="4:8">
      <c r="D94" s="2"/>
      <c r="E94" s="2"/>
      <c r="F94" s="2"/>
      <c r="G94" s="2"/>
      <c r="H94" s="2"/>
    </row>
    <row r="95" spans="4:8">
      <c r="D95" s="2"/>
      <c r="E95" s="2"/>
      <c r="F95" s="2"/>
      <c r="G95" s="2"/>
      <c r="H95" s="2"/>
    </row>
    <row r="96" spans="4:8">
      <c r="D96" s="2"/>
      <c r="E96" s="2"/>
      <c r="F96" s="2"/>
      <c r="G96" s="2"/>
      <c r="H96" s="2"/>
    </row>
    <row r="97" spans="4:8">
      <c r="D97" s="2"/>
      <c r="E97" s="2"/>
      <c r="F97" s="2"/>
      <c r="G97" s="2"/>
      <c r="H97" s="2"/>
    </row>
    <row r="98" spans="4:8">
      <c r="D98" s="2"/>
      <c r="E98" s="2"/>
      <c r="F98" s="2"/>
      <c r="G98" s="2"/>
      <c r="H98" s="2"/>
    </row>
    <row r="99" spans="4:8">
      <c r="D99" s="2"/>
      <c r="E99" s="2"/>
      <c r="F99" s="2"/>
      <c r="G99" s="2"/>
      <c r="H99" s="2"/>
    </row>
    <row r="100" spans="4:8">
      <c r="D100" s="2"/>
      <c r="E100" s="2"/>
      <c r="F100" s="2"/>
      <c r="G100" s="2"/>
      <c r="H100" s="2"/>
    </row>
    <row r="101" spans="4:8">
      <c r="D101" s="2"/>
      <c r="E101" s="2"/>
      <c r="F101" s="2"/>
      <c r="G101" s="2"/>
      <c r="H101" s="2"/>
    </row>
    <row r="102" spans="4:8">
      <c r="D102" s="2"/>
      <c r="E102" s="2"/>
      <c r="F102" s="2"/>
      <c r="G102" s="2"/>
      <c r="H102" s="2"/>
    </row>
    <row r="103" spans="4:8">
      <c r="D103" s="2"/>
      <c r="E103" s="2"/>
      <c r="F103" s="2"/>
      <c r="G103" s="2"/>
      <c r="H103" s="2"/>
    </row>
    <row r="104" spans="4:8">
      <c r="D104" s="2"/>
      <c r="E104" s="2"/>
      <c r="F104" s="2"/>
      <c r="G104" s="2"/>
      <c r="H104" s="2"/>
    </row>
    <row r="105" spans="4:8">
      <c r="D105" s="2"/>
      <c r="E105" s="2"/>
      <c r="F105" s="2"/>
      <c r="G105" s="2"/>
      <c r="H105" s="2"/>
    </row>
    <row r="106" spans="4:8">
      <c r="D106" s="2"/>
      <c r="E106" s="2"/>
      <c r="F106" s="2"/>
      <c r="G106" s="2"/>
      <c r="H106" s="2"/>
    </row>
    <row r="107" spans="4:8">
      <c r="D107" s="2"/>
      <c r="E107" s="2"/>
      <c r="F107" s="2"/>
      <c r="G107" s="2"/>
      <c r="H107" s="2"/>
    </row>
    <row r="108" spans="4:8">
      <c r="D108" s="2"/>
      <c r="E108" s="2"/>
      <c r="F108" s="2"/>
      <c r="G108" s="2"/>
      <c r="H108" s="2"/>
    </row>
    <row r="109" spans="4:8">
      <c r="D109" s="2"/>
      <c r="E109" s="2"/>
      <c r="F109" s="2"/>
      <c r="G109" s="2"/>
      <c r="H109" s="2"/>
    </row>
    <row r="110" spans="4:8">
      <c r="D110" s="2"/>
      <c r="E110" s="2"/>
      <c r="F110" s="2"/>
      <c r="G110" s="2"/>
      <c r="H110" s="2"/>
    </row>
    <row r="111" spans="4:8">
      <c r="D111" s="2"/>
      <c r="E111" s="2"/>
      <c r="F111" s="2"/>
      <c r="G111" s="2"/>
      <c r="H111" s="2"/>
    </row>
    <row r="112" spans="4:8">
      <c r="D112" s="2"/>
      <c r="E112" s="2"/>
      <c r="F112" s="2"/>
      <c r="G112" s="2"/>
      <c r="H112" s="2"/>
    </row>
    <row r="113" spans="4:8">
      <c r="D113" s="2"/>
      <c r="E113" s="2"/>
      <c r="F113" s="2"/>
      <c r="G113" s="2"/>
      <c r="H113" s="2"/>
    </row>
    <row r="114" spans="4:8">
      <c r="D114" s="2"/>
      <c r="E114" s="2"/>
      <c r="F114" s="2"/>
      <c r="G114" s="2"/>
      <c r="H114" s="2"/>
    </row>
    <row r="115" spans="4:8">
      <c r="D115" s="2"/>
      <c r="E115" s="2"/>
      <c r="F115" s="2"/>
      <c r="G115" s="2"/>
      <c r="H115" s="2"/>
    </row>
    <row r="116" spans="4:8">
      <c r="D116" s="2"/>
      <c r="E116" s="2"/>
      <c r="F116" s="2"/>
      <c r="G116" s="2"/>
      <c r="H116" s="2"/>
    </row>
    <row r="117" spans="4:8">
      <c r="D117" s="2"/>
      <c r="E117" s="2"/>
      <c r="F117" s="2"/>
      <c r="G117" s="2"/>
      <c r="H117" s="2"/>
    </row>
    <row r="118" spans="4:8">
      <c r="D118" s="2"/>
      <c r="E118" s="2"/>
      <c r="F118" s="2"/>
      <c r="G118" s="2"/>
      <c r="H118" s="2"/>
    </row>
    <row r="119" spans="4:8">
      <c r="D119" s="2"/>
      <c r="E119" s="2"/>
      <c r="F119" s="2"/>
      <c r="G119" s="2"/>
      <c r="H119" s="2"/>
    </row>
    <row r="120" spans="4:8">
      <c r="D120" s="2"/>
      <c r="E120" s="2"/>
      <c r="F120" s="2"/>
      <c r="G120" s="2"/>
      <c r="H120" s="2"/>
    </row>
    <row r="121" spans="4:8">
      <c r="D121" s="2"/>
      <c r="E121" s="2"/>
      <c r="F121" s="2"/>
      <c r="G121" s="2"/>
      <c r="H121" s="2"/>
    </row>
    <row r="122" spans="4:8">
      <c r="D122" s="2"/>
      <c r="E122" s="2"/>
      <c r="F122" s="2"/>
      <c r="G122" s="2"/>
      <c r="H122" s="2"/>
    </row>
    <row r="123" spans="4:8">
      <c r="D123" s="2"/>
      <c r="E123" s="2"/>
      <c r="F123" s="2"/>
      <c r="G123" s="2"/>
      <c r="H123" s="2"/>
    </row>
    <row r="124" spans="4:8">
      <c r="D124" s="2"/>
      <c r="E124" s="2"/>
      <c r="F124" s="2"/>
      <c r="G124" s="2"/>
      <c r="H124" s="2"/>
    </row>
    <row r="125" spans="4:8">
      <c r="D125" s="2"/>
      <c r="E125" s="2"/>
      <c r="F125" s="2"/>
      <c r="G125" s="2"/>
      <c r="H125" s="2"/>
    </row>
    <row r="126" spans="4:8">
      <c r="D126" s="2"/>
      <c r="E126" s="2"/>
      <c r="F126" s="2"/>
      <c r="G126" s="2"/>
      <c r="H126" s="2"/>
    </row>
    <row r="127" spans="4:8">
      <c r="D127" s="2"/>
      <c r="E127" s="2"/>
      <c r="F127" s="2"/>
      <c r="G127" s="2"/>
      <c r="H127" s="2"/>
    </row>
    <row r="128" spans="4:8">
      <c r="D128" s="2"/>
      <c r="E128" s="2"/>
      <c r="F128" s="2"/>
      <c r="G128" s="2"/>
      <c r="H128" s="2"/>
    </row>
    <row r="129" spans="4:8">
      <c r="D129" s="2"/>
      <c r="E129" s="2"/>
      <c r="F129" s="2"/>
      <c r="G129" s="2"/>
      <c r="H129" s="2"/>
    </row>
    <row r="130" spans="4:8">
      <c r="D130" s="2"/>
      <c r="E130" s="2"/>
      <c r="F130" s="2"/>
      <c r="G130" s="2"/>
      <c r="H130" s="2"/>
    </row>
    <row r="131" spans="4:8">
      <c r="D131" s="2"/>
      <c r="E131" s="2"/>
      <c r="F131" s="2"/>
      <c r="G131" s="2"/>
      <c r="H131" s="2"/>
    </row>
    <row r="132" spans="4:8">
      <c r="D132" s="2"/>
      <c r="E132" s="2"/>
      <c r="F132" s="2"/>
      <c r="G132" s="2"/>
      <c r="H132" s="2"/>
    </row>
    <row r="133" spans="4:8">
      <c r="D133" s="2"/>
      <c r="E133" s="2"/>
      <c r="F133" s="2"/>
      <c r="G133" s="2"/>
      <c r="H133" s="2"/>
    </row>
    <row r="134" spans="4:8">
      <c r="D134" s="2"/>
      <c r="E134" s="2"/>
      <c r="F134" s="2"/>
      <c r="G134" s="2"/>
      <c r="H134" s="2"/>
    </row>
    <row r="135" spans="4:8">
      <c r="D135" s="2"/>
      <c r="E135" s="2"/>
      <c r="F135" s="2"/>
      <c r="G135" s="2"/>
      <c r="H135" s="2"/>
    </row>
    <row r="136" spans="4:8">
      <c r="D136" s="2"/>
      <c r="E136" s="2"/>
      <c r="F136" s="2"/>
      <c r="G136" s="2"/>
      <c r="H136" s="2"/>
    </row>
    <row r="137" spans="4:8">
      <c r="D137" s="2"/>
      <c r="E137" s="2"/>
      <c r="F137" s="2"/>
      <c r="G137" s="2"/>
      <c r="H137" s="2"/>
    </row>
    <row r="138" spans="4:8">
      <c r="D138" s="2"/>
      <c r="E138" s="2"/>
      <c r="F138" s="2"/>
      <c r="G138" s="2"/>
      <c r="H138" s="2"/>
    </row>
    <row r="139" spans="4:8">
      <c r="D139" s="2"/>
      <c r="E139" s="2"/>
      <c r="F139" s="2"/>
      <c r="G139" s="2"/>
      <c r="H139" s="2"/>
    </row>
    <row r="140" spans="4:8">
      <c r="D140" s="2"/>
      <c r="E140" s="2"/>
      <c r="F140" s="2"/>
      <c r="G140" s="2"/>
      <c r="H140" s="2"/>
    </row>
    <row r="141" spans="4:8">
      <c r="D141" s="2"/>
      <c r="E141" s="2"/>
      <c r="F141" s="2"/>
      <c r="G141" s="2"/>
      <c r="H141" s="2"/>
    </row>
    <row r="142" spans="4:8">
      <c r="D142" s="2"/>
      <c r="E142" s="2"/>
      <c r="F142" s="2"/>
      <c r="G142" s="2"/>
      <c r="H142" s="2"/>
    </row>
    <row r="143" spans="4:8">
      <c r="D143" s="2"/>
      <c r="E143" s="2"/>
      <c r="F143" s="2"/>
      <c r="G143" s="2"/>
      <c r="H143" s="2"/>
    </row>
    <row r="144" spans="4:8">
      <c r="D144" s="2"/>
      <c r="E144" s="2"/>
      <c r="F144" s="2"/>
      <c r="G144" s="2"/>
      <c r="H144" s="2"/>
    </row>
    <row r="145" spans="4:8">
      <c r="D145" s="2"/>
      <c r="E145" s="2"/>
      <c r="F145" s="2"/>
      <c r="G145" s="2"/>
      <c r="H145" s="2"/>
    </row>
    <row r="146" spans="4:8">
      <c r="D146" s="2"/>
      <c r="E146" s="2"/>
      <c r="F146" s="2"/>
      <c r="G146" s="2"/>
      <c r="H146" s="2"/>
    </row>
    <row r="147" spans="4:8">
      <c r="D147" s="2"/>
      <c r="E147" s="2"/>
      <c r="F147" s="2"/>
      <c r="G147" s="2"/>
      <c r="H147" s="2"/>
    </row>
    <row r="148" spans="4:8">
      <c r="D148" s="2"/>
      <c r="E148" s="2"/>
      <c r="F148" s="2"/>
      <c r="G148" s="2"/>
      <c r="H148" s="2"/>
    </row>
    <row r="149" spans="4:8">
      <c r="D149" s="2"/>
      <c r="E149" s="2"/>
      <c r="F149" s="2"/>
      <c r="G149" s="2"/>
      <c r="H149" s="2"/>
    </row>
    <row r="150" spans="4:8">
      <c r="D150" s="2"/>
      <c r="E150" s="2"/>
      <c r="F150" s="2"/>
      <c r="G150" s="2"/>
      <c r="H150" s="2"/>
    </row>
    <row r="151" spans="4:8">
      <c r="D151" s="2"/>
      <c r="E151" s="2"/>
      <c r="F151" s="2"/>
      <c r="G151" s="2"/>
      <c r="H151" s="2"/>
    </row>
    <row r="152" spans="4:8">
      <c r="D152" s="2"/>
      <c r="E152" s="2"/>
      <c r="F152" s="2"/>
      <c r="G152" s="2"/>
      <c r="H152" s="2"/>
    </row>
    <row r="153" spans="4:8">
      <c r="D153" s="2"/>
      <c r="E153" s="2"/>
      <c r="F153" s="2"/>
      <c r="G153" s="2"/>
      <c r="H153" s="2"/>
    </row>
    <row r="154" spans="4:8">
      <c r="D154" s="2"/>
      <c r="E154" s="2"/>
      <c r="F154" s="2"/>
      <c r="G154" s="2"/>
      <c r="H154" s="2"/>
    </row>
    <row r="155" spans="4:8">
      <c r="D155" s="2"/>
      <c r="E155" s="2"/>
      <c r="F155" s="2"/>
      <c r="G155" s="2"/>
      <c r="H155" s="2"/>
    </row>
    <row r="156" spans="4:8">
      <c r="D156" s="2"/>
      <c r="E156" s="2"/>
      <c r="F156" s="2"/>
      <c r="G156" s="2"/>
      <c r="H156" s="2"/>
    </row>
    <row r="157" spans="4:8">
      <c r="D157" s="2"/>
      <c r="E157" s="2"/>
      <c r="F157" s="2"/>
      <c r="G157" s="2"/>
      <c r="H157" s="2"/>
    </row>
    <row r="158" spans="4:8">
      <c r="D158" s="2"/>
      <c r="E158" s="2"/>
      <c r="F158" s="2"/>
      <c r="G158" s="2"/>
      <c r="H158" s="2"/>
    </row>
    <row r="159" spans="4:8">
      <c r="D159" s="2"/>
      <c r="E159" s="2"/>
      <c r="F159" s="2"/>
      <c r="G159" s="2"/>
      <c r="H159" s="2"/>
    </row>
    <row r="160" spans="4:8">
      <c r="D160" s="2"/>
      <c r="E160" s="2"/>
      <c r="F160" s="2"/>
      <c r="G160" s="2"/>
      <c r="H160" s="2"/>
    </row>
    <row r="161" spans="4:8">
      <c r="D161" s="2"/>
      <c r="E161" s="2"/>
      <c r="F161" s="2"/>
      <c r="G161" s="2"/>
      <c r="H161" s="2"/>
    </row>
    <row r="162" spans="4:8">
      <c r="D162" s="2"/>
      <c r="E162" s="2"/>
      <c r="F162" s="2"/>
      <c r="G162" s="2"/>
      <c r="H162" s="2"/>
    </row>
    <row r="163" spans="4:8">
      <c r="D163" s="2"/>
      <c r="E163" s="2"/>
      <c r="F163" s="2"/>
      <c r="G163" s="2"/>
      <c r="H163" s="2"/>
    </row>
    <row r="164" spans="4:8">
      <c r="D164" s="2"/>
      <c r="E164" s="2"/>
      <c r="F164" s="2"/>
      <c r="G164" s="2"/>
      <c r="H164" s="2"/>
    </row>
    <row r="165" spans="4:8">
      <c r="D165" s="2"/>
      <c r="E165" s="2"/>
      <c r="F165" s="2"/>
      <c r="G165" s="2"/>
      <c r="H165" s="2"/>
    </row>
    <row r="166" spans="4:8">
      <c r="D166" s="2"/>
      <c r="E166" s="2"/>
      <c r="F166" s="2"/>
      <c r="G166" s="2"/>
      <c r="H166" s="2"/>
    </row>
    <row r="167" spans="4:8">
      <c r="D167" s="2"/>
      <c r="E167" s="2"/>
      <c r="F167" s="2"/>
      <c r="G167" s="2"/>
      <c r="H167" s="2"/>
    </row>
    <row r="168" spans="4:8">
      <c r="D168" s="2"/>
      <c r="E168" s="2"/>
      <c r="F168" s="2"/>
      <c r="G168" s="2"/>
      <c r="H168" s="2"/>
    </row>
    <row r="169" spans="4:8">
      <c r="D169" s="2"/>
      <c r="E169" s="2"/>
      <c r="F169" s="2"/>
      <c r="G169" s="2"/>
      <c r="H169" s="2"/>
    </row>
    <row r="170" spans="4:8">
      <c r="D170" s="2"/>
      <c r="E170" s="2"/>
      <c r="F170" s="2"/>
      <c r="G170" s="2"/>
      <c r="H170" s="2"/>
    </row>
    <row r="171" spans="4:8">
      <c r="D171" s="2"/>
      <c r="E171" s="2"/>
      <c r="F171" s="2"/>
      <c r="G171" s="2"/>
      <c r="H171" s="2"/>
    </row>
    <row r="172" spans="4:8">
      <c r="D172" s="2"/>
      <c r="E172" s="2"/>
      <c r="F172" s="2"/>
      <c r="G172" s="2"/>
      <c r="H172" s="2"/>
    </row>
    <row r="173" spans="4:8">
      <c r="D173" s="2"/>
      <c r="E173" s="2"/>
      <c r="F173" s="2"/>
      <c r="G173" s="2"/>
      <c r="H173" s="2"/>
    </row>
    <row r="174" spans="4:8">
      <c r="D174" s="2"/>
      <c r="E174" s="2"/>
      <c r="F174" s="2"/>
      <c r="G174" s="2"/>
      <c r="H174" s="2"/>
    </row>
    <row r="175" spans="4:8">
      <c r="D175" s="2"/>
      <c r="E175" s="2"/>
      <c r="F175" s="2"/>
      <c r="G175" s="2"/>
      <c r="H175" s="2"/>
    </row>
    <row r="176" spans="4:8">
      <c r="D176" s="2"/>
      <c r="E176" s="2"/>
      <c r="F176" s="2"/>
      <c r="G176" s="2"/>
      <c r="H176" s="2"/>
    </row>
    <row r="177" spans="4:8">
      <c r="D177" s="2"/>
      <c r="E177" s="2"/>
      <c r="F177" s="2"/>
      <c r="G177" s="2"/>
      <c r="H177" s="2"/>
    </row>
    <row r="178" spans="4:8">
      <c r="D178" s="2"/>
      <c r="E178" s="2"/>
      <c r="F178" s="2"/>
      <c r="G178" s="2"/>
      <c r="H178" s="2"/>
    </row>
    <row r="179" spans="4:8">
      <c r="D179" s="2"/>
      <c r="E179" s="2"/>
      <c r="F179" s="2"/>
      <c r="G179" s="2"/>
      <c r="H179" s="2"/>
    </row>
    <row r="180" spans="4:8">
      <c r="D180" s="2"/>
      <c r="E180" s="2"/>
      <c r="F180" s="2"/>
      <c r="G180" s="2"/>
      <c r="H180" s="2"/>
    </row>
    <row r="181" spans="4:8">
      <c r="D181" s="2"/>
      <c r="E181" s="2"/>
      <c r="F181" s="2"/>
      <c r="G181" s="2"/>
      <c r="H181" s="2"/>
    </row>
    <row r="182" spans="4:8">
      <c r="D182" s="2"/>
      <c r="E182" s="2"/>
      <c r="F182" s="2"/>
      <c r="G182" s="2"/>
      <c r="H182" s="2"/>
    </row>
    <row r="183" spans="4:8">
      <c r="D183" s="2"/>
      <c r="E183" s="2"/>
      <c r="F183" s="2"/>
      <c r="G183" s="2"/>
      <c r="H183" s="2"/>
    </row>
    <row r="184" spans="4:8">
      <c r="D184" s="2"/>
      <c r="E184" s="2"/>
      <c r="F184" s="2"/>
      <c r="G184" s="2"/>
      <c r="H184" s="2"/>
    </row>
    <row r="185" spans="4:8">
      <c r="D185" s="2"/>
      <c r="E185" s="2"/>
      <c r="F185" s="2"/>
      <c r="G185" s="2"/>
      <c r="H185" s="2"/>
    </row>
    <row r="186" spans="4:8">
      <c r="D186" s="2"/>
      <c r="E186" s="2"/>
      <c r="F186" s="2"/>
      <c r="G186" s="2"/>
      <c r="H186" s="2"/>
    </row>
    <row r="187" spans="4:8">
      <c r="D187" s="2"/>
      <c r="E187" s="2"/>
      <c r="F187" s="2"/>
      <c r="G187" s="2"/>
      <c r="H187" s="2"/>
    </row>
    <row r="188" spans="4:8">
      <c r="D188" s="2"/>
      <c r="E188" s="2"/>
      <c r="F188" s="2"/>
      <c r="G188" s="2"/>
      <c r="H188" s="2"/>
    </row>
    <row r="189" spans="4:8">
      <c r="D189" s="2"/>
      <c r="E189" s="2"/>
      <c r="F189" s="2"/>
      <c r="G189" s="2"/>
      <c r="H189" s="2"/>
    </row>
    <row r="190" spans="4:8">
      <c r="D190" s="2"/>
      <c r="E190" s="2"/>
      <c r="F190" s="2"/>
      <c r="G190" s="2"/>
      <c r="H190" s="2"/>
    </row>
    <row r="191" spans="4:8">
      <c r="D191" s="2"/>
      <c r="E191" s="2"/>
      <c r="F191" s="2"/>
      <c r="G191" s="2"/>
      <c r="H191" s="2"/>
    </row>
    <row r="192" spans="4:8">
      <c r="D192" s="2"/>
      <c r="E192" s="2"/>
      <c r="F192" s="2"/>
      <c r="G192" s="2"/>
      <c r="H192" s="2"/>
    </row>
    <row r="193" spans="4:8">
      <c r="D193" s="2"/>
      <c r="E193" s="2"/>
      <c r="F193" s="2"/>
      <c r="G193" s="2"/>
      <c r="H193" s="2"/>
    </row>
    <row r="194" spans="4:8">
      <c r="D194" s="2"/>
      <c r="E194" s="2"/>
      <c r="F194" s="2"/>
      <c r="G194" s="2"/>
      <c r="H194" s="2"/>
    </row>
    <row r="195" spans="4:8">
      <c r="D195" s="2"/>
      <c r="E195" s="2"/>
      <c r="F195" s="2"/>
      <c r="G195" s="2"/>
      <c r="H195" s="2"/>
    </row>
    <row r="196" spans="4:8">
      <c r="D196" s="2"/>
      <c r="E196" s="2"/>
      <c r="F196" s="2"/>
      <c r="G196" s="2"/>
      <c r="H196" s="2"/>
    </row>
    <row r="197" spans="4:8">
      <c r="D197" s="2"/>
      <c r="E197" s="2"/>
      <c r="F197" s="2"/>
      <c r="G197" s="2"/>
      <c r="H197" s="2"/>
    </row>
    <row r="198" spans="4:8">
      <c r="D198" s="2"/>
      <c r="E198" s="2"/>
      <c r="F198" s="2"/>
      <c r="G198" s="2"/>
      <c r="H198" s="2"/>
    </row>
    <row r="199" spans="4:8">
      <c r="D199" s="2"/>
      <c r="E199" s="2"/>
      <c r="F199" s="2"/>
      <c r="G199" s="2"/>
      <c r="H199" s="2"/>
    </row>
    <row r="200" spans="4:8">
      <c r="D200" s="2"/>
      <c r="E200" s="2"/>
      <c r="F200" s="2"/>
      <c r="G200" s="2"/>
      <c r="H200" s="2"/>
    </row>
    <row r="201" spans="4:8">
      <c r="D201" s="2"/>
      <c r="E201" s="2"/>
      <c r="F201" s="2"/>
      <c r="G201" s="2"/>
      <c r="H201" s="2"/>
    </row>
    <row r="202" spans="4:8">
      <c r="D202" s="2"/>
      <c r="E202" s="2"/>
      <c r="F202" s="2"/>
      <c r="G202" s="2"/>
      <c r="H202" s="2"/>
    </row>
    <row r="203" spans="4:8">
      <c r="D203" s="2"/>
      <c r="E203" s="2"/>
      <c r="F203" s="2"/>
      <c r="G203" s="2"/>
      <c r="H203" s="2"/>
    </row>
    <row r="204" spans="4:8">
      <c r="D204" s="2"/>
      <c r="E204" s="2"/>
      <c r="F204" s="2"/>
      <c r="G204" s="2"/>
      <c r="H204" s="2"/>
    </row>
    <row r="205" spans="4:8">
      <c r="D205" s="2"/>
      <c r="E205" s="2"/>
      <c r="F205" s="2"/>
      <c r="G205" s="2"/>
      <c r="H205" s="2"/>
    </row>
    <row r="206" spans="4:8">
      <c r="D206" s="2"/>
      <c r="E206" s="2"/>
      <c r="F206" s="2"/>
      <c r="G206" s="2"/>
      <c r="H206" s="2"/>
    </row>
    <row r="207" spans="4:8">
      <c r="D207" s="2"/>
      <c r="E207" s="2"/>
      <c r="F207" s="2"/>
      <c r="G207" s="2"/>
      <c r="H207" s="2"/>
    </row>
    <row r="208" spans="4:8">
      <c r="D208" s="2"/>
      <c r="E208" s="2"/>
      <c r="F208" s="2"/>
      <c r="G208" s="2"/>
      <c r="H208" s="2"/>
    </row>
    <row r="209" spans="4:8">
      <c r="D209" s="2"/>
      <c r="E209" s="2"/>
      <c r="F209" s="2"/>
      <c r="G209" s="2"/>
      <c r="H209" s="2"/>
    </row>
    <row r="210" spans="4:8">
      <c r="D210" s="2"/>
      <c r="E210" s="2"/>
      <c r="F210" s="2"/>
      <c r="G210" s="2"/>
      <c r="H210" s="2"/>
    </row>
    <row r="211" spans="4:8">
      <c r="D211" s="2"/>
      <c r="E211" s="2"/>
      <c r="F211" s="2"/>
      <c r="G211" s="2"/>
      <c r="H211" s="2"/>
    </row>
    <row r="212" spans="4:8">
      <c r="D212" s="2"/>
      <c r="E212" s="2"/>
      <c r="F212" s="2"/>
      <c r="G212" s="2"/>
      <c r="H212" s="2"/>
    </row>
    <row r="213" spans="4:8">
      <c r="D213" s="2"/>
      <c r="E213" s="2"/>
      <c r="F213" s="2"/>
      <c r="G213" s="2"/>
      <c r="H213" s="2"/>
    </row>
    <row r="214" spans="4:8">
      <c r="D214" s="2"/>
      <c r="E214" s="2"/>
      <c r="F214" s="2"/>
      <c r="G214" s="2"/>
      <c r="H214" s="2"/>
    </row>
    <row r="215" spans="4:8">
      <c r="D215" s="2"/>
      <c r="E215" s="2"/>
      <c r="F215" s="2"/>
      <c r="G215" s="2"/>
      <c r="H215" s="2"/>
    </row>
    <row r="216" spans="4:8">
      <c r="D216" s="2"/>
      <c r="E216" s="2"/>
      <c r="F216" s="2"/>
      <c r="G216" s="2"/>
      <c r="H216" s="2"/>
    </row>
    <row r="217" spans="4:8">
      <c r="D217" s="2"/>
      <c r="E217" s="2"/>
      <c r="F217" s="2"/>
      <c r="G217" s="2"/>
      <c r="H217" s="2"/>
    </row>
    <row r="218" spans="4:8">
      <c r="D218" s="2"/>
      <c r="E218" s="2"/>
      <c r="F218" s="2"/>
      <c r="G218" s="2"/>
      <c r="H218" s="2"/>
    </row>
    <row r="219" spans="4:8">
      <c r="D219" s="2"/>
      <c r="E219" s="2"/>
      <c r="F219" s="2"/>
      <c r="G219" s="2"/>
      <c r="H219" s="2"/>
    </row>
    <row r="220" spans="4:8">
      <c r="D220" s="2"/>
      <c r="E220" s="2"/>
      <c r="F220" s="2"/>
      <c r="G220" s="2"/>
      <c r="H220" s="2"/>
    </row>
    <row r="221" spans="4:8">
      <c r="D221" s="2"/>
      <c r="E221" s="2"/>
      <c r="F221" s="2"/>
      <c r="G221" s="2"/>
      <c r="H221" s="2"/>
    </row>
    <row r="222" spans="4:8">
      <c r="D222" s="2"/>
      <c r="E222" s="2"/>
      <c r="F222" s="2"/>
      <c r="G222" s="2"/>
      <c r="H222" s="2"/>
    </row>
    <row r="223" spans="4:8">
      <c r="D223" s="2"/>
      <c r="E223" s="2"/>
      <c r="F223" s="2"/>
      <c r="G223" s="2"/>
      <c r="H223" s="2"/>
    </row>
    <row r="224" spans="4:8">
      <c r="D224" s="2"/>
      <c r="E224" s="2"/>
      <c r="F224" s="2"/>
      <c r="G224" s="2"/>
      <c r="H224" s="2"/>
    </row>
    <row r="225" spans="4:8">
      <c r="D225" s="2"/>
      <c r="E225" s="2"/>
      <c r="F225" s="2"/>
      <c r="G225" s="2"/>
      <c r="H225" s="2"/>
    </row>
    <row r="226" spans="4:8">
      <c r="D226" s="2"/>
      <c r="E226" s="2"/>
      <c r="F226" s="2"/>
      <c r="G226" s="2"/>
      <c r="H226" s="2"/>
    </row>
    <row r="227" spans="4:8">
      <c r="D227" s="2"/>
      <c r="E227" s="2"/>
      <c r="F227" s="2"/>
      <c r="G227" s="2"/>
      <c r="H227" s="2"/>
    </row>
    <row r="228" spans="4:8">
      <c r="D228" s="2"/>
      <c r="E228" s="2"/>
      <c r="F228" s="2"/>
      <c r="G228" s="2"/>
      <c r="H228" s="2"/>
    </row>
    <row r="229" spans="4:8">
      <c r="D229" s="2"/>
      <c r="E229" s="2"/>
      <c r="F229" s="2"/>
      <c r="G229" s="2"/>
      <c r="H229" s="2"/>
    </row>
    <row r="230" spans="4:8">
      <c r="D230" s="2"/>
      <c r="E230" s="2"/>
      <c r="F230" s="2"/>
      <c r="G230" s="2"/>
      <c r="H230" s="2"/>
    </row>
    <row r="231" spans="4:8">
      <c r="D231" s="2"/>
      <c r="E231" s="2"/>
      <c r="F231" s="2"/>
      <c r="G231" s="2"/>
      <c r="H231" s="2"/>
    </row>
    <row r="232" spans="4:8">
      <c r="D232" s="2"/>
      <c r="E232" s="2"/>
      <c r="F232" s="2"/>
      <c r="G232" s="2"/>
      <c r="H232" s="2"/>
    </row>
    <row r="233" spans="4:8">
      <c r="D233" s="2"/>
      <c r="E233" s="2"/>
      <c r="F233" s="2"/>
      <c r="G233" s="2"/>
      <c r="H233" s="2"/>
    </row>
    <row r="234" spans="4:8">
      <c r="D234" s="2"/>
      <c r="E234" s="2"/>
      <c r="F234" s="2"/>
      <c r="G234" s="2"/>
      <c r="H234" s="2"/>
    </row>
    <row r="235" spans="4:8">
      <c r="D235" s="2"/>
      <c r="E235" s="2"/>
      <c r="F235" s="2"/>
      <c r="G235" s="2"/>
      <c r="H235" s="2"/>
    </row>
    <row r="236" spans="4:8">
      <c r="D236" s="2"/>
      <c r="E236" s="2"/>
      <c r="F236" s="2"/>
      <c r="G236" s="2"/>
      <c r="H236" s="2"/>
    </row>
    <row r="237" spans="4:8">
      <c r="D237" s="2"/>
      <c r="E237" s="2"/>
      <c r="F237" s="2"/>
      <c r="G237" s="2"/>
      <c r="H237" s="2"/>
    </row>
    <row r="238" spans="4:8">
      <c r="D238" s="2"/>
      <c r="E238" s="2"/>
      <c r="F238" s="2"/>
      <c r="G238" s="2"/>
      <c r="H238" s="2"/>
    </row>
    <row r="239" spans="4:8">
      <c r="D239" s="2"/>
      <c r="E239" s="2"/>
      <c r="F239" s="2"/>
      <c r="G239" s="2"/>
      <c r="H239" s="2"/>
    </row>
    <row r="240" spans="4:8">
      <c r="D240" s="2"/>
      <c r="E240" s="2"/>
      <c r="F240" s="2"/>
      <c r="G240" s="2"/>
      <c r="H240" s="2"/>
    </row>
    <row r="241" spans="4:8">
      <c r="D241" s="2"/>
      <c r="E241" s="2"/>
      <c r="F241" s="2"/>
      <c r="G241" s="2"/>
      <c r="H241" s="2"/>
    </row>
    <row r="242" spans="4:8">
      <c r="D242" s="2"/>
      <c r="E242" s="2"/>
      <c r="F242" s="2"/>
      <c r="G242" s="2"/>
      <c r="H242" s="2"/>
    </row>
    <row r="243" spans="4:8">
      <c r="D243" s="2"/>
      <c r="E243" s="2"/>
      <c r="F243" s="2"/>
      <c r="G243" s="2"/>
      <c r="H243" s="2"/>
    </row>
    <row r="244" spans="4:8">
      <c r="D244" s="2"/>
      <c r="E244" s="2"/>
      <c r="F244" s="2"/>
      <c r="G244" s="2"/>
      <c r="H244" s="2"/>
    </row>
    <row r="245" spans="4:8">
      <c r="D245" s="2"/>
      <c r="E245" s="2"/>
      <c r="F245" s="2"/>
      <c r="G245" s="2"/>
      <c r="H245" s="2"/>
    </row>
    <row r="246" spans="4:8">
      <c r="D246" s="2"/>
      <c r="E246" s="2"/>
      <c r="F246" s="2"/>
      <c r="G246" s="2"/>
      <c r="H246" s="2"/>
    </row>
    <row r="247" spans="4:8">
      <c r="D247" s="2"/>
      <c r="E247" s="2"/>
      <c r="F247" s="2"/>
      <c r="G247" s="2"/>
      <c r="H247" s="2"/>
    </row>
    <row r="248" spans="4:8">
      <c r="D248" s="2"/>
      <c r="E248" s="2"/>
      <c r="F248" s="2"/>
      <c r="G248" s="2"/>
      <c r="H248" s="2"/>
    </row>
    <row r="249" spans="4:8">
      <c r="D249" s="2"/>
      <c r="E249" s="2"/>
      <c r="F249" s="2"/>
      <c r="G249" s="2"/>
      <c r="H249" s="2"/>
    </row>
    <row r="250" spans="4:8">
      <c r="D250" s="2"/>
      <c r="E250" s="2"/>
      <c r="F250" s="2"/>
      <c r="G250" s="2"/>
      <c r="H250" s="2"/>
    </row>
    <row r="251" spans="4:8">
      <c r="D251" s="2"/>
      <c r="E251" s="2"/>
      <c r="F251" s="2"/>
      <c r="G251" s="2"/>
      <c r="H251" s="2"/>
    </row>
    <row r="252" spans="4:8">
      <c r="D252" s="2"/>
      <c r="E252" s="2"/>
      <c r="F252" s="2"/>
      <c r="G252" s="2"/>
      <c r="H252" s="2"/>
    </row>
    <row r="253" spans="4:8">
      <c r="D253" s="2"/>
      <c r="E253" s="2"/>
      <c r="F253" s="2"/>
      <c r="G253" s="2"/>
      <c r="H253" s="2"/>
    </row>
    <row r="254" spans="4:8">
      <c r="D254" s="2"/>
      <c r="E254" s="2"/>
      <c r="F254" s="2"/>
      <c r="G254" s="2"/>
      <c r="H254" s="2"/>
    </row>
    <row r="255" spans="4:8">
      <c r="D255" s="2"/>
      <c r="E255" s="2"/>
      <c r="F255" s="2"/>
      <c r="G255" s="2"/>
      <c r="H255" s="2"/>
    </row>
    <row r="256" spans="4:8">
      <c r="D256" s="2"/>
      <c r="E256" s="2"/>
      <c r="F256" s="2"/>
      <c r="G256" s="2"/>
      <c r="H256" s="2"/>
    </row>
    <row r="257" spans="4:8">
      <c r="D257" s="2"/>
      <c r="E257" s="2"/>
      <c r="F257" s="2"/>
      <c r="G257" s="2"/>
      <c r="H257" s="2"/>
    </row>
    <row r="258" spans="4:8">
      <c r="D258" s="2"/>
      <c r="E258" s="2"/>
      <c r="F258" s="2"/>
      <c r="G258" s="2"/>
      <c r="H258" s="2"/>
    </row>
    <row r="259" spans="4:8">
      <c r="D259" s="2"/>
      <c r="E259" s="2"/>
      <c r="F259" s="2"/>
      <c r="G259" s="2"/>
      <c r="H259" s="2"/>
    </row>
    <row r="260" spans="4:8">
      <c r="D260" s="2"/>
      <c r="E260" s="2"/>
      <c r="F260" s="2"/>
      <c r="G260" s="2"/>
      <c r="H260" s="2"/>
    </row>
    <row r="261" spans="4:8">
      <c r="D261" s="2"/>
      <c r="E261" s="2"/>
      <c r="F261" s="2"/>
      <c r="G261" s="2"/>
      <c r="H261" s="2"/>
    </row>
    <row r="262" spans="4:8">
      <c r="D262" s="2"/>
      <c r="E262" s="2"/>
      <c r="F262" s="2"/>
      <c r="G262" s="2"/>
      <c r="H262" s="2"/>
    </row>
    <row r="263" spans="4:8">
      <c r="D263" s="2"/>
      <c r="E263" s="2"/>
      <c r="F263" s="2"/>
      <c r="G263" s="2"/>
      <c r="H263" s="2"/>
    </row>
    <row r="264" spans="4:8">
      <c r="D264" s="2"/>
      <c r="E264" s="2"/>
      <c r="F264" s="2"/>
      <c r="G264" s="2"/>
      <c r="H264" s="2"/>
    </row>
    <row r="265" spans="4:8">
      <c r="D265" s="2"/>
      <c r="E265" s="2"/>
      <c r="F265" s="2"/>
      <c r="G265" s="2"/>
      <c r="H265" s="2"/>
    </row>
    <row r="266" spans="4:8">
      <c r="D266" s="2"/>
      <c r="E266" s="2"/>
      <c r="F266" s="2"/>
      <c r="G266" s="2"/>
      <c r="H266" s="2"/>
    </row>
    <row r="267" spans="4:8">
      <c r="D267" s="2"/>
      <c r="E267" s="2"/>
      <c r="F267" s="2"/>
      <c r="G267" s="2"/>
      <c r="H267" s="2"/>
    </row>
    <row r="268" spans="4:8">
      <c r="D268" s="2"/>
      <c r="E268" s="2"/>
      <c r="F268" s="2"/>
      <c r="G268" s="2"/>
      <c r="H268" s="2"/>
    </row>
    <row r="269" spans="4:8">
      <c r="D269" s="2"/>
      <c r="E269" s="2"/>
      <c r="F269" s="2"/>
      <c r="G269" s="2"/>
      <c r="H269" s="2"/>
    </row>
    <row r="270" spans="4:8">
      <c r="D270" s="2"/>
      <c r="E270" s="2"/>
      <c r="F270" s="2"/>
      <c r="G270" s="2"/>
      <c r="H270" s="2"/>
    </row>
    <row r="271" spans="4:8">
      <c r="D271" s="2"/>
      <c r="E271" s="2"/>
      <c r="F271" s="2"/>
      <c r="G271" s="2"/>
      <c r="H271" s="2"/>
    </row>
    <row r="272" spans="4:8">
      <c r="D272" s="2"/>
      <c r="E272" s="2"/>
      <c r="F272" s="2"/>
      <c r="G272" s="2"/>
      <c r="H272" s="2"/>
    </row>
    <row r="273" spans="4:8">
      <c r="D273" s="2"/>
      <c r="E273" s="2"/>
      <c r="F273" s="2"/>
      <c r="G273" s="2"/>
      <c r="H273" s="2"/>
    </row>
    <row r="274" spans="4:8">
      <c r="D274" s="2"/>
      <c r="E274" s="2"/>
      <c r="F274" s="2"/>
      <c r="G274" s="2"/>
      <c r="H274" s="2"/>
    </row>
    <row r="275" spans="4:8">
      <c r="D275" s="2"/>
      <c r="E275" s="2"/>
      <c r="F275" s="2"/>
      <c r="G275" s="2"/>
      <c r="H275" s="2"/>
    </row>
    <row r="276" spans="4:8">
      <c r="D276" s="2"/>
      <c r="E276" s="2"/>
      <c r="F276" s="2"/>
      <c r="G276" s="2"/>
      <c r="H276" s="2"/>
    </row>
    <row r="277" spans="4:8">
      <c r="D277" s="2"/>
      <c r="E277" s="2"/>
      <c r="F277" s="2"/>
      <c r="G277" s="2"/>
      <c r="H277" s="2"/>
    </row>
    <row r="278" spans="4:8">
      <c r="D278" s="2"/>
      <c r="E278" s="2"/>
      <c r="F278" s="2"/>
      <c r="G278" s="2"/>
      <c r="H278" s="2"/>
    </row>
    <row r="279" spans="4:8">
      <c r="D279" s="2"/>
      <c r="E279" s="2"/>
      <c r="F279" s="2"/>
      <c r="G279" s="2"/>
      <c r="H279" s="2"/>
    </row>
    <row r="280" spans="4:8">
      <c r="D280" s="2"/>
      <c r="E280" s="2"/>
      <c r="F280" s="2"/>
      <c r="G280" s="2"/>
      <c r="H280" s="2"/>
    </row>
    <row r="281" spans="4:8">
      <c r="D281" s="2"/>
      <c r="E281" s="2"/>
      <c r="F281" s="2"/>
      <c r="G281" s="2"/>
      <c r="H281" s="2"/>
    </row>
    <row r="282" spans="4:8">
      <c r="D282" s="2"/>
      <c r="E282" s="2"/>
      <c r="F282" s="2"/>
      <c r="G282" s="2"/>
      <c r="H282" s="2"/>
    </row>
    <row r="283" spans="4:8">
      <c r="D283" s="2"/>
      <c r="E283" s="2"/>
      <c r="F283" s="2"/>
      <c r="G283" s="2"/>
      <c r="H283" s="2"/>
    </row>
    <row r="284" spans="4:8">
      <c r="D284" s="2"/>
      <c r="E284" s="2"/>
      <c r="F284" s="2"/>
      <c r="G284" s="2"/>
      <c r="H284" s="2"/>
    </row>
    <row r="285" spans="4:8">
      <c r="D285" s="2"/>
      <c r="E285" s="2"/>
      <c r="F285" s="2"/>
      <c r="G285" s="2"/>
      <c r="H285" s="2"/>
    </row>
    <row r="286" spans="4:8">
      <c r="D286" s="2"/>
      <c r="E286" s="2"/>
      <c r="F286" s="2"/>
      <c r="G286" s="2"/>
      <c r="H286" s="2"/>
    </row>
    <row r="287" spans="4:8">
      <c r="D287" s="2"/>
      <c r="E287" s="2"/>
      <c r="F287" s="2"/>
      <c r="G287" s="2"/>
      <c r="H287" s="2"/>
    </row>
    <row r="288" spans="4:8">
      <c r="D288" s="2"/>
      <c r="E288" s="2"/>
      <c r="F288" s="2"/>
      <c r="G288" s="2"/>
      <c r="H288" s="2"/>
    </row>
    <row r="289" spans="4:8">
      <c r="D289" s="2"/>
      <c r="E289" s="2"/>
      <c r="F289" s="2"/>
      <c r="G289" s="2"/>
      <c r="H289" s="2"/>
    </row>
    <row r="290" spans="4:8">
      <c r="D290" s="2"/>
      <c r="E290" s="2"/>
      <c r="F290" s="2"/>
      <c r="G290" s="2"/>
      <c r="H290" s="2"/>
    </row>
    <row r="291" spans="4:8">
      <c r="D291" s="2"/>
      <c r="E291" s="2"/>
      <c r="F291" s="2"/>
      <c r="G291" s="2"/>
      <c r="H291" s="2"/>
    </row>
    <row r="292" spans="4:8">
      <c r="D292" s="2"/>
      <c r="E292" s="2"/>
      <c r="F292" s="2"/>
      <c r="G292" s="2"/>
      <c r="H292" s="2"/>
    </row>
    <row r="293" spans="4:8">
      <c r="D293" s="2"/>
      <c r="E293" s="2"/>
      <c r="F293" s="2"/>
      <c r="G293" s="2"/>
      <c r="H293" s="2"/>
    </row>
    <row r="294" spans="4:8">
      <c r="D294" s="2"/>
      <c r="E294" s="2"/>
      <c r="F294" s="2"/>
      <c r="G294" s="2"/>
      <c r="H294" s="2"/>
    </row>
    <row r="295" spans="4:8">
      <c r="D295" s="2"/>
      <c r="E295" s="2"/>
      <c r="F295" s="2"/>
      <c r="G295" s="2"/>
      <c r="H295" s="2"/>
    </row>
    <row r="296" spans="4:8">
      <c r="D296" s="2"/>
      <c r="E296" s="2"/>
      <c r="F296" s="2"/>
      <c r="G296" s="2"/>
      <c r="H296" s="2"/>
    </row>
    <row r="297" spans="4:8">
      <c r="D297" s="2"/>
      <c r="E297" s="2"/>
      <c r="F297" s="2"/>
      <c r="G297" s="2"/>
      <c r="H297" s="2"/>
    </row>
    <row r="298" spans="4:8">
      <c r="D298" s="2"/>
      <c r="E298" s="2"/>
      <c r="F298" s="2"/>
      <c r="G298" s="2"/>
      <c r="H298" s="2"/>
    </row>
    <row r="299" spans="4:8">
      <c r="D299" s="2"/>
      <c r="E299" s="2"/>
      <c r="F299" s="2"/>
      <c r="G299" s="2"/>
      <c r="H299" s="2"/>
    </row>
    <row r="300" spans="4:8">
      <c r="D300" s="2"/>
      <c r="E300" s="2"/>
      <c r="F300" s="2"/>
      <c r="G300" s="2"/>
      <c r="H300" s="2"/>
    </row>
    <row r="301" spans="4:8">
      <c r="D301" s="2"/>
      <c r="E301" s="2"/>
      <c r="F301" s="2"/>
      <c r="G301" s="2"/>
      <c r="H301" s="2"/>
    </row>
    <row r="302" spans="4:8">
      <c r="D302" s="2"/>
      <c r="E302" s="2"/>
      <c r="F302" s="2"/>
      <c r="G302" s="2"/>
      <c r="H302" s="2"/>
    </row>
    <row r="303" spans="4:8">
      <c r="D303" s="2"/>
      <c r="E303" s="2"/>
      <c r="F303" s="2"/>
      <c r="G303" s="2"/>
      <c r="H303" s="2"/>
    </row>
    <row r="304" spans="4:8">
      <c r="D304" s="2"/>
      <c r="E304" s="2"/>
      <c r="F304" s="2"/>
      <c r="G304" s="2"/>
      <c r="H304" s="2"/>
    </row>
    <row r="305" spans="4:8">
      <c r="D305" s="2"/>
      <c r="E305" s="2"/>
      <c r="F305" s="2"/>
      <c r="G305" s="2"/>
      <c r="H305" s="2"/>
    </row>
    <row r="306" spans="4:8">
      <c r="D306" s="2"/>
      <c r="E306" s="2"/>
      <c r="F306" s="2"/>
      <c r="G306" s="2"/>
      <c r="H306" s="2"/>
    </row>
    <row r="307" spans="4:8">
      <c r="D307" s="2"/>
      <c r="E307" s="2"/>
      <c r="F307" s="2"/>
      <c r="G307" s="2"/>
      <c r="H307" s="2"/>
    </row>
    <row r="308" spans="4:8">
      <c r="D308" s="2"/>
      <c r="E308" s="2"/>
      <c r="F308" s="2"/>
      <c r="G308" s="2"/>
      <c r="H308" s="2"/>
    </row>
    <row r="309" spans="4:8">
      <c r="D309" s="2"/>
      <c r="E309" s="2"/>
      <c r="F309" s="2"/>
      <c r="G309" s="2"/>
      <c r="H309" s="2"/>
    </row>
    <row r="310" spans="4:8">
      <c r="D310" s="2"/>
      <c r="E310" s="2"/>
      <c r="F310" s="2"/>
      <c r="G310" s="2"/>
      <c r="H310" s="2"/>
    </row>
    <row r="311" spans="4:8">
      <c r="D311" s="2"/>
      <c r="E311" s="2"/>
      <c r="F311" s="2"/>
      <c r="G311" s="2"/>
      <c r="H311" s="2"/>
    </row>
    <row r="312" spans="4:8">
      <c r="D312" s="2"/>
      <c r="E312" s="2"/>
      <c r="F312" s="2"/>
      <c r="G312" s="2"/>
      <c r="H312" s="2"/>
    </row>
    <row r="313" spans="4:8">
      <c r="D313" s="2"/>
      <c r="E313" s="2"/>
      <c r="F313" s="2"/>
      <c r="G313" s="2"/>
      <c r="H313" s="2"/>
    </row>
    <row r="314" spans="4:8">
      <c r="D314" s="2"/>
      <c r="E314" s="2"/>
      <c r="F314" s="2"/>
      <c r="G314" s="2"/>
      <c r="H314" s="2"/>
    </row>
    <row r="315" spans="4:8">
      <c r="D315" s="2"/>
      <c r="E315" s="2"/>
      <c r="F315" s="2"/>
      <c r="G315" s="2"/>
      <c r="H315" s="2"/>
    </row>
    <row r="316" spans="4:8">
      <c r="D316" s="2"/>
      <c r="E316" s="2"/>
      <c r="F316" s="2"/>
      <c r="G316" s="2"/>
      <c r="H316" s="2"/>
    </row>
    <row r="317" spans="4:8">
      <c r="D317" s="2"/>
      <c r="E317" s="2"/>
      <c r="F317" s="2"/>
      <c r="G317" s="2"/>
      <c r="H317" s="2"/>
    </row>
    <row r="318" spans="4:8">
      <c r="D318" s="2"/>
      <c r="E318" s="2"/>
      <c r="F318" s="2"/>
      <c r="G318" s="2"/>
      <c r="H318" s="2"/>
    </row>
    <row r="319" spans="4:8">
      <c r="D319" s="2"/>
      <c r="E319" s="2"/>
      <c r="F319" s="2"/>
      <c r="G319" s="2"/>
      <c r="H319" s="2"/>
    </row>
    <row r="320" spans="4:8">
      <c r="D320" s="2"/>
      <c r="E320" s="2"/>
      <c r="F320" s="2"/>
      <c r="G320" s="2"/>
      <c r="H320" s="2"/>
    </row>
    <row r="321" spans="4:8">
      <c r="D321" s="2"/>
      <c r="E321" s="2"/>
      <c r="F321" s="2"/>
      <c r="G321" s="2"/>
      <c r="H321" s="2"/>
    </row>
    <row r="322" spans="4:8">
      <c r="D322" s="2"/>
      <c r="E322" s="2"/>
      <c r="F322" s="2"/>
      <c r="G322" s="2"/>
      <c r="H322" s="2"/>
    </row>
    <row r="323" spans="4:8">
      <c r="D323" s="2"/>
      <c r="E323" s="2"/>
      <c r="F323" s="2"/>
      <c r="G323" s="2"/>
      <c r="H323" s="2"/>
    </row>
    <row r="324" spans="4:8">
      <c r="D324" s="2"/>
      <c r="E324" s="2"/>
      <c r="F324" s="2"/>
      <c r="G324" s="2"/>
      <c r="H324" s="2"/>
    </row>
    <row r="325" spans="4:8">
      <c r="D325" s="2"/>
      <c r="E325" s="2"/>
      <c r="F325" s="2"/>
      <c r="G325" s="2"/>
      <c r="H325" s="2"/>
    </row>
    <row r="326" spans="4:8">
      <c r="D326" s="2"/>
      <c r="E326" s="2"/>
      <c r="F326" s="2"/>
      <c r="G326" s="2"/>
      <c r="H326" s="2"/>
    </row>
    <row r="327" spans="4:8">
      <c r="D327" s="2"/>
      <c r="E327" s="2"/>
      <c r="F327" s="2"/>
      <c r="G327" s="2"/>
      <c r="H327" s="2"/>
    </row>
    <row r="328" spans="4:8">
      <c r="D328" s="2"/>
      <c r="E328" s="2"/>
      <c r="F328" s="2"/>
      <c r="G328" s="2"/>
      <c r="H328" s="2"/>
    </row>
    <row r="329" spans="4:8">
      <c r="D329" s="2"/>
      <c r="E329" s="2"/>
      <c r="F329" s="2"/>
      <c r="G329" s="2"/>
      <c r="H329" s="2"/>
    </row>
    <row r="330" spans="4:8">
      <c r="D330" s="2"/>
      <c r="E330" s="2"/>
      <c r="F330" s="2"/>
      <c r="G330" s="2"/>
      <c r="H330" s="2"/>
    </row>
    <row r="331" spans="4:8">
      <c r="D331" s="2"/>
      <c r="E331" s="2"/>
      <c r="F331" s="2"/>
      <c r="G331" s="2"/>
      <c r="H331" s="2"/>
    </row>
    <row r="332" spans="4:8">
      <c r="D332" s="2"/>
      <c r="E332" s="2"/>
      <c r="F332" s="2"/>
      <c r="G332" s="2"/>
      <c r="H332" s="2"/>
    </row>
    <row r="333" spans="4:8">
      <c r="D333" s="2"/>
      <c r="E333" s="2"/>
      <c r="F333" s="2"/>
      <c r="G333" s="2"/>
      <c r="H333" s="2"/>
    </row>
    <row r="334" spans="4:8">
      <c r="D334" s="2"/>
      <c r="E334" s="2"/>
      <c r="F334" s="2"/>
      <c r="G334" s="2"/>
      <c r="H334" s="2"/>
    </row>
    <row r="335" spans="4:8">
      <c r="D335" s="2"/>
      <c r="E335" s="2"/>
      <c r="F335" s="2"/>
      <c r="G335" s="2"/>
      <c r="H335" s="2"/>
    </row>
    <row r="336" spans="4:8">
      <c r="D336" s="2"/>
      <c r="E336" s="2"/>
      <c r="F336" s="2"/>
      <c r="G336" s="2"/>
      <c r="H336" s="2"/>
    </row>
    <row r="337" spans="4:8">
      <c r="D337" s="2"/>
      <c r="E337" s="2"/>
      <c r="F337" s="2"/>
      <c r="G337" s="2"/>
      <c r="H337" s="2"/>
    </row>
    <row r="338" spans="4:8">
      <c r="D338" s="2"/>
      <c r="E338" s="2"/>
      <c r="F338" s="2"/>
      <c r="G338" s="2"/>
      <c r="H338" s="2"/>
    </row>
    <row r="339" spans="4:8">
      <c r="D339" s="2"/>
      <c r="E339" s="2"/>
      <c r="F339" s="2"/>
      <c r="G339" s="2"/>
      <c r="H339" s="2"/>
    </row>
    <row r="340" spans="4:8">
      <c r="D340" s="2"/>
      <c r="E340" s="2"/>
      <c r="F340" s="2"/>
      <c r="G340" s="2"/>
      <c r="H340" s="2"/>
    </row>
    <row r="341" spans="4:8">
      <c r="D341" s="2"/>
      <c r="E341" s="2"/>
      <c r="F341" s="2"/>
      <c r="G341" s="2"/>
      <c r="H341" s="2"/>
    </row>
    <row r="342" spans="4:8">
      <c r="D342" s="2"/>
      <c r="E342" s="2"/>
      <c r="F342" s="2"/>
      <c r="G342" s="2"/>
      <c r="H342" s="2"/>
    </row>
    <row r="343" spans="4:8">
      <c r="D343" s="2"/>
      <c r="E343" s="2"/>
      <c r="F343" s="2"/>
      <c r="G343" s="2"/>
      <c r="H343" s="2"/>
    </row>
    <row r="344" spans="4:8">
      <c r="D344" s="2"/>
      <c r="E344" s="2"/>
      <c r="F344" s="2"/>
      <c r="G344" s="2"/>
      <c r="H344" s="2"/>
    </row>
    <row r="345" spans="4:8">
      <c r="D345" s="2"/>
      <c r="E345" s="2"/>
      <c r="F345" s="2"/>
      <c r="G345" s="2"/>
      <c r="H345" s="2"/>
    </row>
    <row r="346" spans="4:8">
      <c r="D346" s="2"/>
      <c r="E346" s="2"/>
      <c r="F346" s="2"/>
      <c r="G346" s="2"/>
      <c r="H346" s="2"/>
    </row>
    <row r="347" spans="4:8">
      <c r="D347" s="2"/>
      <c r="E347" s="2"/>
      <c r="F347" s="2"/>
      <c r="G347" s="2"/>
      <c r="H347" s="2"/>
    </row>
    <row r="348" spans="4:8">
      <c r="D348" s="2"/>
      <c r="E348" s="2"/>
      <c r="F348" s="2"/>
      <c r="G348" s="2"/>
      <c r="H348" s="2"/>
    </row>
    <row r="349" spans="4:8">
      <c r="D349" s="2"/>
      <c r="E349" s="2"/>
      <c r="F349" s="2"/>
      <c r="G349" s="2"/>
      <c r="H349" s="2"/>
    </row>
    <row r="350" spans="4:8">
      <c r="D350" s="2"/>
      <c r="E350" s="2"/>
      <c r="F350" s="2"/>
      <c r="G350" s="2"/>
      <c r="H350" s="2"/>
    </row>
    <row r="351" spans="4:8">
      <c r="D351" s="2"/>
      <c r="E351" s="2"/>
      <c r="F351" s="2"/>
      <c r="G351" s="2"/>
      <c r="H351" s="2"/>
    </row>
    <row r="352" spans="4:8">
      <c r="D352" s="2"/>
      <c r="E352" s="2"/>
      <c r="F352" s="2"/>
      <c r="G352" s="2"/>
      <c r="H352" s="2"/>
    </row>
    <row r="353" spans="4:8">
      <c r="D353" s="2"/>
      <c r="E353" s="2"/>
      <c r="F353" s="2"/>
      <c r="G353" s="2"/>
      <c r="H353" s="2"/>
    </row>
    <row r="354" spans="4:8">
      <c r="D354" s="2"/>
      <c r="E354" s="2"/>
      <c r="F354" s="2"/>
      <c r="G354" s="2"/>
      <c r="H354" s="2"/>
    </row>
    <row r="355" spans="4:8">
      <c r="D355" s="2"/>
      <c r="E355" s="2"/>
      <c r="F355" s="2"/>
      <c r="G355" s="2"/>
      <c r="H355" s="2"/>
    </row>
    <row r="356" spans="4:8">
      <c r="D356" s="2"/>
      <c r="E356" s="2"/>
      <c r="F356" s="2"/>
      <c r="G356" s="2"/>
      <c r="H356" s="2"/>
    </row>
    <row r="357" spans="4:8">
      <c r="D357" s="2"/>
      <c r="E357" s="2"/>
      <c r="F357" s="2"/>
      <c r="G357" s="2"/>
      <c r="H357" s="2"/>
    </row>
    <row r="358" spans="4:8">
      <c r="D358" s="2"/>
      <c r="E358" s="2"/>
      <c r="F358" s="2"/>
      <c r="G358" s="2"/>
      <c r="H358" s="2"/>
    </row>
    <row r="359" spans="4:8">
      <c r="D359" s="2"/>
      <c r="E359" s="2"/>
      <c r="F359" s="2"/>
      <c r="G359" s="2"/>
      <c r="H359" s="2"/>
    </row>
    <row r="360" spans="4:8">
      <c r="D360" s="2"/>
      <c r="E360" s="2"/>
      <c r="F360" s="2"/>
      <c r="G360" s="2"/>
      <c r="H360" s="2"/>
    </row>
    <row r="361" spans="4:8">
      <c r="D361" s="2"/>
      <c r="E361" s="2"/>
      <c r="F361" s="2"/>
      <c r="G361" s="2"/>
      <c r="H361" s="2"/>
    </row>
    <row r="362" spans="4:8">
      <c r="D362" s="2"/>
      <c r="E362" s="2"/>
      <c r="F362" s="2"/>
      <c r="G362" s="2"/>
      <c r="H362" s="2"/>
    </row>
    <row r="363" spans="4:8">
      <c r="D363" s="2"/>
      <c r="E363" s="2"/>
      <c r="F363" s="2"/>
      <c r="G363" s="2"/>
      <c r="H363" s="2"/>
    </row>
    <row r="364" spans="4:8">
      <c r="D364" s="2"/>
      <c r="E364" s="2"/>
      <c r="F364" s="2"/>
      <c r="G364" s="2"/>
      <c r="H364" s="2"/>
    </row>
    <row r="365" spans="4:8">
      <c r="D365" s="2"/>
      <c r="E365" s="2"/>
      <c r="F365" s="2"/>
      <c r="G365" s="2"/>
      <c r="H365" s="2"/>
    </row>
    <row r="366" spans="4:8">
      <c r="D366" s="2"/>
      <c r="E366" s="2"/>
      <c r="F366" s="2"/>
      <c r="G366" s="2"/>
      <c r="H366" s="2"/>
    </row>
    <row r="367" spans="4:8">
      <c r="D367" s="2"/>
      <c r="E367" s="2"/>
      <c r="F367" s="2"/>
      <c r="G367" s="2"/>
      <c r="H367" s="2"/>
    </row>
    <row r="368" spans="4:8">
      <c r="D368" s="2"/>
      <c r="E368" s="2"/>
      <c r="F368" s="2"/>
      <c r="G368" s="2"/>
      <c r="H368" s="2"/>
    </row>
    <row r="369" spans="4:8">
      <c r="D369" s="2"/>
      <c r="E369" s="2"/>
      <c r="F369" s="2"/>
      <c r="G369" s="2"/>
      <c r="H369" s="2"/>
    </row>
    <row r="370" spans="4:8">
      <c r="D370" s="2"/>
      <c r="E370" s="2"/>
      <c r="F370" s="2"/>
      <c r="G370" s="2"/>
      <c r="H370" s="2"/>
    </row>
    <row r="371" spans="4:8">
      <c r="D371" s="2"/>
      <c r="E371" s="2"/>
      <c r="F371" s="2"/>
      <c r="G371" s="2"/>
      <c r="H371" s="2"/>
    </row>
    <row r="372" spans="4:8">
      <c r="D372" s="2"/>
      <c r="E372" s="2"/>
      <c r="F372" s="2"/>
      <c r="G372" s="2"/>
      <c r="H372" s="2"/>
    </row>
    <row r="373" spans="4:8">
      <c r="D373" s="2"/>
      <c r="E373" s="2"/>
      <c r="F373" s="2"/>
      <c r="G373" s="2"/>
      <c r="H373" s="2"/>
    </row>
    <row r="374" spans="4:8">
      <c r="D374" s="2"/>
      <c r="E374" s="2"/>
      <c r="F374" s="2"/>
      <c r="G374" s="2"/>
      <c r="H374" s="2"/>
    </row>
    <row r="375" spans="4:8">
      <c r="D375" s="2"/>
      <c r="E375" s="2"/>
      <c r="F375" s="2"/>
      <c r="G375" s="2"/>
      <c r="H375" s="2"/>
    </row>
    <row r="376" spans="4:8">
      <c r="D376" s="2"/>
      <c r="E376" s="2"/>
      <c r="F376" s="2"/>
      <c r="G376" s="2"/>
      <c r="H376" s="2"/>
    </row>
    <row r="377" spans="4:8">
      <c r="D377" s="2"/>
      <c r="E377" s="2"/>
      <c r="F377" s="2"/>
      <c r="G377" s="2"/>
      <c r="H377" s="2"/>
    </row>
    <row r="378" spans="4:8">
      <c r="D378" s="2"/>
      <c r="E378" s="2"/>
      <c r="F378" s="2"/>
      <c r="G378" s="2"/>
      <c r="H378" s="2"/>
    </row>
    <row r="379" spans="4:8">
      <c r="D379" s="2"/>
      <c r="E379" s="2"/>
      <c r="F379" s="2"/>
      <c r="G379" s="2"/>
      <c r="H379" s="2"/>
    </row>
    <row r="380" spans="4:8">
      <c r="D380" s="2"/>
      <c r="E380" s="2"/>
      <c r="F380" s="2"/>
      <c r="G380" s="2"/>
      <c r="H380" s="2"/>
    </row>
    <row r="381" spans="4:8">
      <c r="D381" s="2"/>
      <c r="E381" s="2"/>
      <c r="F381" s="2"/>
      <c r="G381" s="2"/>
      <c r="H381" s="2"/>
    </row>
    <row r="382" spans="4:8">
      <c r="D382" s="2"/>
      <c r="E382" s="2"/>
      <c r="F382" s="2"/>
      <c r="G382" s="2"/>
      <c r="H382" s="2"/>
    </row>
    <row r="383" spans="4:8">
      <c r="D383" s="2"/>
      <c r="E383" s="2"/>
      <c r="F383" s="2"/>
      <c r="G383" s="2"/>
      <c r="H383" s="2"/>
    </row>
    <row r="384" spans="4:8">
      <c r="D384" s="2"/>
      <c r="E384" s="2"/>
      <c r="F384" s="2"/>
      <c r="G384" s="2"/>
      <c r="H384" s="2"/>
    </row>
    <row r="385" spans="4:8">
      <c r="D385" s="2"/>
      <c r="E385" s="2"/>
      <c r="F385" s="2"/>
      <c r="G385" s="2"/>
      <c r="H385" s="2"/>
    </row>
    <row r="386" spans="4:8">
      <c r="D386" s="2"/>
      <c r="E386" s="2"/>
      <c r="F386" s="2"/>
      <c r="G386" s="2"/>
      <c r="H386" s="2"/>
    </row>
    <row r="387" spans="4:8">
      <c r="D387" s="2"/>
      <c r="E387" s="2"/>
      <c r="F387" s="2"/>
      <c r="G387" s="2"/>
      <c r="H387" s="2"/>
    </row>
    <row r="388" spans="4:8">
      <c r="D388" s="2"/>
      <c r="E388" s="2"/>
      <c r="F388" s="2"/>
      <c r="G388" s="2"/>
      <c r="H388" s="2"/>
    </row>
    <row r="389" spans="4:8">
      <c r="D389" s="2"/>
      <c r="E389" s="2"/>
      <c r="F389" s="2"/>
      <c r="G389" s="2"/>
      <c r="H389" s="2"/>
    </row>
    <row r="390" spans="4:8">
      <c r="D390" s="2"/>
      <c r="E390" s="2"/>
      <c r="F390" s="2"/>
      <c r="G390" s="2"/>
      <c r="H390" s="2"/>
    </row>
    <row r="391" spans="4:8">
      <c r="D391" s="2"/>
      <c r="E391" s="2"/>
      <c r="F391" s="2"/>
      <c r="G391" s="2"/>
      <c r="H391" s="2"/>
    </row>
    <row r="392" spans="4:8">
      <c r="D392" s="2"/>
      <c r="E392" s="2"/>
      <c r="F392" s="2"/>
      <c r="G392" s="2"/>
      <c r="H392" s="2"/>
    </row>
    <row r="393" spans="4:8">
      <c r="D393" s="2"/>
      <c r="E393" s="2"/>
      <c r="F393" s="2"/>
      <c r="G393" s="2"/>
      <c r="H393" s="2"/>
    </row>
    <row r="394" spans="4:8">
      <c r="D394" s="2"/>
      <c r="E394" s="2"/>
      <c r="F394" s="2"/>
      <c r="G394" s="2"/>
      <c r="H394" s="2"/>
    </row>
    <row r="395" spans="4:8">
      <c r="D395" s="2"/>
      <c r="E395" s="2"/>
      <c r="F395" s="2"/>
      <c r="G395" s="2"/>
      <c r="H395" s="2"/>
    </row>
    <row r="396" spans="4:8">
      <c r="D396" s="2"/>
      <c r="E396" s="2"/>
      <c r="F396" s="2"/>
      <c r="G396" s="2"/>
      <c r="H396" s="2"/>
    </row>
    <row r="397" spans="4:8">
      <c r="D397" s="2"/>
      <c r="E397" s="2"/>
      <c r="F397" s="2"/>
      <c r="G397" s="2"/>
      <c r="H397" s="2"/>
    </row>
    <row r="398" spans="4:8">
      <c r="D398" s="2"/>
      <c r="E398" s="2"/>
      <c r="F398" s="2"/>
      <c r="G398" s="2"/>
      <c r="H398" s="2"/>
    </row>
    <row r="399" spans="4:8">
      <c r="D399" s="2"/>
      <c r="E399" s="2"/>
      <c r="F399" s="2"/>
      <c r="G399" s="2"/>
      <c r="H399" s="2"/>
    </row>
    <row r="400" spans="4:8">
      <c r="D400" s="2"/>
      <c r="E400" s="2"/>
      <c r="F400" s="2"/>
      <c r="G400" s="2"/>
      <c r="H400" s="2"/>
    </row>
    <row r="401" spans="4:8">
      <c r="D401" s="2"/>
      <c r="E401" s="2"/>
      <c r="F401" s="2"/>
      <c r="G401" s="2"/>
      <c r="H401" s="2"/>
    </row>
    <row r="402" spans="4:8">
      <c r="D402" s="2"/>
      <c r="E402" s="2"/>
      <c r="F402" s="2"/>
      <c r="G402" s="2"/>
      <c r="H402" s="2"/>
    </row>
    <row r="403" spans="4:8">
      <c r="D403" s="2"/>
      <c r="E403" s="2"/>
      <c r="F403" s="2"/>
      <c r="G403" s="2"/>
      <c r="H403" s="2"/>
    </row>
    <row r="404" spans="4:8">
      <c r="D404" s="2"/>
      <c r="E404" s="2"/>
      <c r="F404" s="2"/>
      <c r="G404" s="2"/>
      <c r="H404" s="2"/>
    </row>
    <row r="405" spans="4:8">
      <c r="D405" s="2"/>
      <c r="E405" s="2"/>
      <c r="F405" s="2"/>
      <c r="G405" s="2"/>
      <c r="H405" s="2"/>
    </row>
    <row r="406" spans="4:8">
      <c r="D406" s="2"/>
      <c r="E406" s="2"/>
      <c r="F406" s="2"/>
      <c r="G406" s="2"/>
      <c r="H406" s="2"/>
    </row>
    <row r="407" spans="4:8">
      <c r="D407" s="2"/>
      <c r="E407" s="2"/>
      <c r="F407" s="2"/>
      <c r="G407" s="2"/>
      <c r="H407" s="2"/>
    </row>
    <row r="408" spans="4:8">
      <c r="D408" s="2"/>
      <c r="E408" s="2"/>
      <c r="F408" s="2"/>
      <c r="G408" s="2"/>
      <c r="H408" s="2"/>
    </row>
    <row r="409" spans="4:8">
      <c r="D409" s="2"/>
      <c r="E409" s="2"/>
      <c r="F409" s="2"/>
      <c r="G409" s="2"/>
      <c r="H409" s="2"/>
    </row>
    <row r="410" spans="4:8">
      <c r="D410" s="2"/>
      <c r="E410" s="2"/>
      <c r="F410" s="2"/>
      <c r="G410" s="2"/>
      <c r="H410" s="2"/>
    </row>
    <row r="411" spans="4:8">
      <c r="D411" s="2"/>
      <c r="E411" s="2"/>
      <c r="F411" s="2"/>
      <c r="G411" s="2"/>
      <c r="H411" s="2"/>
    </row>
    <row r="412" spans="4:8">
      <c r="D412" s="2"/>
      <c r="E412" s="2"/>
      <c r="F412" s="2"/>
      <c r="G412" s="2"/>
      <c r="H412" s="2"/>
    </row>
    <row r="413" spans="4:8">
      <c r="D413" s="2"/>
      <c r="E413" s="2"/>
      <c r="F413" s="2"/>
      <c r="G413" s="2"/>
      <c r="H413" s="2"/>
    </row>
    <row r="414" spans="4:8">
      <c r="D414" s="2"/>
      <c r="E414" s="2"/>
      <c r="F414" s="2"/>
      <c r="G414" s="2"/>
      <c r="H414" s="2"/>
    </row>
    <row r="415" spans="4:8">
      <c r="D415" s="2"/>
      <c r="E415" s="2"/>
      <c r="F415" s="2"/>
      <c r="G415" s="2"/>
      <c r="H415" s="2"/>
    </row>
    <row r="416" spans="4:8">
      <c r="D416" s="2"/>
      <c r="E416" s="2"/>
      <c r="F416" s="2"/>
      <c r="G416" s="2"/>
      <c r="H416" s="2"/>
    </row>
    <row r="417" spans="4:8">
      <c r="D417" s="2"/>
      <c r="E417" s="2"/>
      <c r="F417" s="2"/>
      <c r="G417" s="2"/>
      <c r="H417" s="2"/>
    </row>
    <row r="418" spans="4:8">
      <c r="D418" s="2"/>
      <c r="E418" s="2"/>
      <c r="F418" s="2"/>
      <c r="G418" s="2"/>
      <c r="H418" s="2"/>
    </row>
    <row r="419" spans="4:8">
      <c r="D419" s="2"/>
      <c r="E419" s="2"/>
      <c r="F419" s="2"/>
      <c r="G419" s="2"/>
      <c r="H419" s="2"/>
    </row>
    <row r="420" spans="4:8">
      <c r="D420" s="2"/>
      <c r="E420" s="2"/>
      <c r="F420" s="2"/>
      <c r="G420" s="2"/>
      <c r="H420" s="2"/>
    </row>
    <row r="421" spans="4:8">
      <c r="D421" s="2"/>
      <c r="E421" s="2"/>
      <c r="F421" s="2"/>
      <c r="G421" s="2"/>
      <c r="H421" s="2"/>
    </row>
    <row r="422" spans="4:8">
      <c r="D422" s="2"/>
      <c r="E422" s="2"/>
      <c r="F422" s="2"/>
      <c r="G422" s="2"/>
      <c r="H422" s="2"/>
    </row>
    <row r="423" spans="4:8">
      <c r="D423" s="2"/>
      <c r="E423" s="2"/>
      <c r="F423" s="2"/>
      <c r="G423" s="2"/>
      <c r="H423" s="2"/>
    </row>
    <row r="424" spans="4:8">
      <c r="D424" s="2"/>
      <c r="E424" s="2"/>
      <c r="F424" s="2"/>
      <c r="G424" s="2"/>
      <c r="H424" s="2"/>
    </row>
    <row r="425" spans="4:8">
      <c r="D425" s="2"/>
      <c r="E425" s="2"/>
      <c r="F425" s="2"/>
      <c r="G425" s="2"/>
      <c r="H425" s="2"/>
    </row>
    <row r="426" spans="4:8">
      <c r="D426" s="2"/>
      <c r="E426" s="2"/>
      <c r="F426" s="2"/>
      <c r="G426" s="2"/>
      <c r="H426" s="2"/>
    </row>
    <row r="427" spans="4:8">
      <c r="D427" s="2"/>
      <c r="E427" s="2"/>
      <c r="F427" s="2"/>
      <c r="G427" s="2"/>
      <c r="H427" s="2"/>
    </row>
    <row r="428" spans="4:8">
      <c r="D428" s="2"/>
      <c r="E428" s="2"/>
      <c r="F428" s="2"/>
      <c r="G428" s="2"/>
      <c r="H428" s="2"/>
    </row>
    <row r="429" spans="4:8">
      <c r="D429" s="2"/>
      <c r="E429" s="2"/>
      <c r="F429" s="2"/>
      <c r="G429" s="2"/>
      <c r="H429" s="2"/>
    </row>
    <row r="430" spans="4:8">
      <c r="D430" s="2"/>
      <c r="E430" s="2"/>
      <c r="F430" s="2"/>
      <c r="G430" s="2"/>
      <c r="H430" s="2"/>
    </row>
    <row r="431" spans="4:8">
      <c r="D431" s="2"/>
      <c r="E431" s="2"/>
      <c r="F431" s="2"/>
      <c r="G431" s="2"/>
      <c r="H431" s="2"/>
    </row>
    <row r="432" spans="4:8">
      <c r="D432" s="2"/>
      <c r="E432" s="2"/>
      <c r="F432" s="2"/>
      <c r="G432" s="2"/>
      <c r="H432" s="2"/>
    </row>
    <row r="433" spans="4:8">
      <c r="D433" s="2"/>
      <c r="E433" s="2"/>
      <c r="F433" s="2"/>
      <c r="G433" s="2"/>
      <c r="H433" s="2"/>
    </row>
    <row r="434" spans="4:8">
      <c r="D434" s="2"/>
      <c r="E434" s="2"/>
      <c r="F434" s="2"/>
      <c r="G434" s="2"/>
      <c r="H434" s="2"/>
    </row>
    <row r="435" spans="4:8">
      <c r="D435" s="2"/>
      <c r="E435" s="2"/>
      <c r="F435" s="2"/>
      <c r="G435" s="2"/>
      <c r="H435" s="2"/>
    </row>
    <row r="436" spans="4:8">
      <c r="D436" s="2"/>
      <c r="E436" s="2"/>
      <c r="F436" s="2"/>
      <c r="G436" s="2"/>
      <c r="H436" s="2"/>
    </row>
    <row r="437" spans="4:8">
      <c r="D437" s="2"/>
      <c r="E437" s="2"/>
      <c r="F437" s="2"/>
      <c r="G437" s="2"/>
      <c r="H437" s="2"/>
    </row>
    <row r="438" spans="4:8">
      <c r="D438" s="2"/>
      <c r="E438" s="2"/>
      <c r="F438" s="2"/>
      <c r="G438" s="2"/>
      <c r="H438" s="2"/>
    </row>
    <row r="439" spans="4:8">
      <c r="D439" s="2"/>
      <c r="E439" s="2"/>
      <c r="F439" s="2"/>
      <c r="G439" s="2"/>
      <c r="H439" s="2"/>
    </row>
    <row r="440" spans="4:8">
      <c r="D440" s="2"/>
      <c r="E440" s="2"/>
      <c r="F440" s="2"/>
      <c r="G440" s="2"/>
      <c r="H440" s="2"/>
    </row>
    <row r="441" spans="4:8">
      <c r="D441" s="2"/>
      <c r="E441" s="2"/>
      <c r="F441" s="2"/>
      <c r="G441" s="2"/>
      <c r="H441" s="2"/>
    </row>
    <row r="442" spans="4:8">
      <c r="D442" s="2"/>
      <c r="E442" s="2"/>
      <c r="F442" s="2"/>
      <c r="G442" s="2"/>
      <c r="H442" s="2"/>
    </row>
    <row r="443" spans="4:8">
      <c r="D443" s="2"/>
      <c r="E443" s="2"/>
      <c r="F443" s="2"/>
      <c r="G443" s="2"/>
      <c r="H443" s="2"/>
    </row>
    <row r="444" spans="4:8">
      <c r="D444" s="2"/>
      <c r="E444" s="2"/>
      <c r="F444" s="2"/>
      <c r="G444" s="2"/>
      <c r="H444" s="2"/>
    </row>
    <row r="445" spans="4:8">
      <c r="D445" s="2"/>
      <c r="E445" s="2"/>
      <c r="F445" s="2"/>
      <c r="G445" s="2"/>
      <c r="H445" s="2"/>
    </row>
    <row r="446" spans="4:8">
      <c r="D446" s="2"/>
      <c r="E446" s="2"/>
      <c r="F446" s="2"/>
      <c r="G446" s="2"/>
      <c r="H446" s="2"/>
    </row>
    <row r="447" spans="4:8">
      <c r="D447" s="2"/>
      <c r="E447" s="2"/>
      <c r="F447" s="2"/>
      <c r="G447" s="2"/>
      <c r="H447" s="2"/>
    </row>
    <row r="448" spans="4:8">
      <c r="D448" s="2"/>
      <c r="E448" s="2"/>
      <c r="F448" s="2"/>
      <c r="G448" s="2"/>
      <c r="H448" s="2"/>
    </row>
    <row r="449" spans="4:8">
      <c r="D449" s="2"/>
      <c r="E449" s="2"/>
      <c r="F449" s="2"/>
      <c r="G449" s="2"/>
      <c r="H449" s="2"/>
    </row>
    <row r="450" spans="4:8">
      <c r="D450" s="2"/>
      <c r="E450" s="2"/>
      <c r="F450" s="2"/>
      <c r="G450" s="2"/>
      <c r="H450" s="2"/>
    </row>
    <row r="451" spans="4:8">
      <c r="D451" s="2"/>
      <c r="E451" s="2"/>
      <c r="F451" s="2"/>
      <c r="G451" s="2"/>
      <c r="H451" s="2"/>
    </row>
    <row r="452" spans="4:8">
      <c r="D452" s="2"/>
      <c r="E452" s="2"/>
      <c r="F452" s="2"/>
      <c r="G452" s="2"/>
      <c r="H452" s="2"/>
    </row>
    <row r="453" spans="4:8">
      <c r="D453" s="2"/>
      <c r="E453" s="2"/>
      <c r="F453" s="2"/>
      <c r="G453" s="2"/>
      <c r="H453" s="2"/>
    </row>
    <row r="454" spans="4:8">
      <c r="D454" s="2"/>
      <c r="E454" s="2"/>
      <c r="F454" s="2"/>
      <c r="G454" s="2"/>
      <c r="H454" s="2"/>
    </row>
    <row r="455" spans="4:8">
      <c r="D455" s="2"/>
      <c r="E455" s="2"/>
      <c r="F455" s="2"/>
      <c r="G455" s="2"/>
      <c r="H455" s="2"/>
    </row>
    <row r="456" spans="4:8">
      <c r="D456" s="2"/>
      <c r="E456" s="2"/>
      <c r="F456" s="2"/>
      <c r="G456" s="2"/>
      <c r="H456" s="2"/>
    </row>
    <row r="457" spans="4:8">
      <c r="D457" s="2"/>
      <c r="E457" s="2"/>
      <c r="F457" s="2"/>
      <c r="G457" s="2"/>
      <c r="H457" s="2"/>
    </row>
    <row r="458" spans="4:8">
      <c r="D458" s="2"/>
      <c r="E458" s="2"/>
      <c r="F458" s="2"/>
      <c r="G458" s="2"/>
      <c r="H458" s="2"/>
    </row>
    <row r="459" spans="4:8">
      <c r="D459" s="2"/>
      <c r="E459" s="2"/>
      <c r="F459" s="2"/>
      <c r="G459" s="2"/>
      <c r="H459" s="2"/>
    </row>
    <row r="460" spans="4:8">
      <c r="D460" s="2"/>
      <c r="E460" s="2"/>
      <c r="F460" s="2"/>
      <c r="G460" s="2"/>
      <c r="H460" s="2"/>
    </row>
    <row r="461" spans="4:8">
      <c r="D461" s="2"/>
      <c r="E461" s="2"/>
      <c r="F461" s="2"/>
      <c r="G461" s="2"/>
      <c r="H461" s="2"/>
    </row>
    <row r="462" spans="4:8">
      <c r="D462" s="2"/>
      <c r="E462" s="2"/>
      <c r="F462" s="2"/>
      <c r="G462" s="2"/>
      <c r="H462" s="2"/>
    </row>
    <row r="463" spans="4:8">
      <c r="D463" s="2"/>
      <c r="E463" s="2"/>
      <c r="F463" s="2"/>
      <c r="G463" s="2"/>
      <c r="H463" s="2"/>
    </row>
    <row r="464" spans="4:8">
      <c r="D464" s="2"/>
      <c r="E464" s="2"/>
      <c r="F464" s="2"/>
      <c r="G464" s="2"/>
      <c r="H464" s="2"/>
    </row>
    <row r="465" spans="4:8">
      <c r="D465" s="2"/>
      <c r="E465" s="2"/>
      <c r="F465" s="2"/>
      <c r="G465" s="2"/>
      <c r="H465" s="2"/>
    </row>
    <row r="466" spans="4:8">
      <c r="D466" s="2"/>
      <c r="E466" s="2"/>
      <c r="F466" s="2"/>
      <c r="G466" s="2"/>
      <c r="H466" s="2"/>
    </row>
    <row r="467" spans="4:8">
      <c r="D467" s="2"/>
      <c r="E467" s="2"/>
      <c r="F467" s="2"/>
      <c r="G467" s="2"/>
      <c r="H467" s="2"/>
    </row>
    <row r="468" spans="4:8">
      <c r="D468" s="2"/>
      <c r="E468" s="2"/>
      <c r="F468" s="2"/>
      <c r="G468" s="2"/>
      <c r="H468" s="2"/>
    </row>
    <row r="469" spans="4:8">
      <c r="D469" s="2"/>
      <c r="E469" s="2"/>
      <c r="F469" s="2"/>
      <c r="G469" s="2"/>
      <c r="H469" s="2"/>
    </row>
    <row r="470" spans="4:8">
      <c r="D470" s="2"/>
      <c r="E470" s="2"/>
      <c r="F470" s="2"/>
      <c r="G470" s="2"/>
      <c r="H470" s="2"/>
    </row>
    <row r="471" spans="4:8">
      <c r="D471" s="2"/>
      <c r="E471" s="2"/>
      <c r="F471" s="2"/>
      <c r="G471" s="2"/>
      <c r="H471" s="2"/>
    </row>
    <row r="472" spans="4:8">
      <c r="D472" s="2"/>
      <c r="E472" s="2"/>
      <c r="F472" s="2"/>
      <c r="G472" s="2"/>
      <c r="H472" s="2"/>
    </row>
    <row r="473" spans="4:8">
      <c r="D473" s="2"/>
      <c r="E473" s="2"/>
      <c r="F473" s="2"/>
      <c r="G473" s="2"/>
      <c r="H473" s="2"/>
    </row>
    <row r="474" spans="4:8">
      <c r="D474" s="2"/>
      <c r="E474" s="2"/>
      <c r="F474" s="2"/>
      <c r="G474" s="2"/>
      <c r="H474" s="2"/>
    </row>
    <row r="475" spans="4:8">
      <c r="D475" s="2"/>
      <c r="E475" s="2"/>
      <c r="F475" s="2"/>
      <c r="G475" s="2"/>
      <c r="H475" s="2"/>
    </row>
    <row r="476" spans="4:8">
      <c r="D476" s="2"/>
      <c r="E476" s="2"/>
      <c r="F476" s="2"/>
      <c r="G476" s="2"/>
      <c r="H476" s="2"/>
    </row>
    <row r="477" spans="4:8">
      <c r="D477" s="2"/>
      <c r="E477" s="2"/>
      <c r="F477" s="2"/>
      <c r="G477" s="2"/>
      <c r="H477" s="2"/>
    </row>
  </sheetData>
  <mergeCells count="1">
    <mergeCell ref="B4:J4"/>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2052"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2053"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054"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N40"/>
  <sheetViews>
    <sheetView workbookViewId="0"/>
  </sheetViews>
  <sheetFormatPr baseColWidth="10" defaultColWidth="8.83203125" defaultRowHeight="12" x14ac:dyDescent="0"/>
  <cols>
    <col min="1" max="1" width="13.6640625" customWidth="1"/>
    <col min="4" max="4" width="12" customWidth="1"/>
    <col min="5" max="5" width="15.1640625" customWidth="1"/>
    <col min="6" max="7" width="10.83203125" customWidth="1"/>
    <col min="8" max="9" width="14.1640625" customWidth="1"/>
  </cols>
  <sheetData>
    <row r="1" spans="1:14">
      <c r="A1" s="21"/>
      <c r="B1" s="21"/>
      <c r="C1" s="21" t="s">
        <v>846</v>
      </c>
      <c r="D1" s="21"/>
      <c r="E1" s="21"/>
      <c r="F1" s="21"/>
      <c r="G1" s="21"/>
      <c r="H1" s="21"/>
      <c r="I1" s="21"/>
    </row>
    <row r="2" spans="1:14" ht="21" customHeight="1">
      <c r="A2" s="21"/>
      <c r="B2" s="21"/>
      <c r="C2" s="21"/>
      <c r="D2" s="374"/>
      <c r="E2" s="374"/>
      <c r="F2" s="374"/>
      <c r="G2" s="374"/>
      <c r="H2" s="374"/>
      <c r="I2" s="374"/>
      <c r="J2" s="372"/>
      <c r="K2" s="372"/>
      <c r="L2" s="372"/>
      <c r="M2" s="372"/>
      <c r="N2" s="372"/>
    </row>
    <row r="3" spans="1:14">
      <c r="A3" s="24" t="s">
        <v>1045</v>
      </c>
      <c r="B3" s="33" t="s">
        <v>780</v>
      </c>
      <c r="C3" s="24"/>
      <c r="D3" s="24"/>
      <c r="E3" s="24"/>
      <c r="F3" s="24"/>
      <c r="G3" s="24"/>
      <c r="H3" s="24"/>
      <c r="I3" s="24"/>
    </row>
    <row r="4" spans="1:14">
      <c r="A4" s="24" t="s">
        <v>774</v>
      </c>
      <c r="B4" s="33" t="s">
        <v>633</v>
      </c>
      <c r="C4" s="24"/>
      <c r="D4" s="24"/>
      <c r="E4" s="24"/>
      <c r="F4" s="24"/>
      <c r="G4" s="24"/>
      <c r="H4" s="24"/>
      <c r="I4" s="24"/>
    </row>
    <row r="5" spans="1:14" ht="28.5" customHeight="1">
      <c r="A5" s="48" t="s">
        <v>779</v>
      </c>
      <c r="B5" s="446" t="s">
        <v>51</v>
      </c>
      <c r="C5" s="446"/>
      <c r="D5" s="446"/>
      <c r="E5" s="446"/>
      <c r="F5" s="446"/>
      <c r="G5" s="446"/>
      <c r="H5" s="446"/>
      <c r="I5" s="446"/>
    </row>
    <row r="6" spans="1:14" ht="32.25" customHeight="1">
      <c r="A6" s="24"/>
      <c r="B6" s="446" t="s">
        <v>52</v>
      </c>
      <c r="C6" s="446"/>
      <c r="D6" s="446"/>
      <c r="E6" s="446"/>
      <c r="F6" s="446"/>
      <c r="G6" s="446"/>
      <c r="H6" s="446"/>
      <c r="I6" s="446"/>
    </row>
    <row r="7" spans="1:14">
      <c r="A7" s="21"/>
      <c r="B7" s="33" t="s">
        <v>1105</v>
      </c>
      <c r="C7" s="24"/>
      <c r="D7" s="24"/>
      <c r="E7" s="24"/>
      <c r="F7" s="24"/>
      <c r="G7" s="24"/>
      <c r="H7" s="24"/>
      <c r="I7" s="24"/>
    </row>
    <row r="8" spans="1:14" ht="24" customHeight="1">
      <c r="A8" s="24"/>
      <c r="B8" s="33"/>
      <c r="C8" s="24"/>
      <c r="D8" s="24"/>
      <c r="E8" s="24"/>
      <c r="F8" s="24"/>
      <c r="G8" s="24"/>
      <c r="H8" s="24"/>
      <c r="I8" s="24"/>
    </row>
    <row r="9" spans="1:14" ht="39" customHeight="1">
      <c r="A9" s="21"/>
      <c r="B9" s="347" t="s">
        <v>1106</v>
      </c>
      <c r="C9" s="24"/>
      <c r="D9" s="24"/>
      <c r="E9" s="24"/>
      <c r="F9" s="24"/>
      <c r="G9" s="24"/>
      <c r="H9" s="39"/>
      <c r="I9" s="39"/>
    </row>
    <row r="10" spans="1:14" s="1" customFormat="1" ht="54" customHeight="1">
      <c r="A10" s="31" t="s">
        <v>1090</v>
      </c>
      <c r="B10" s="22" t="s">
        <v>1096</v>
      </c>
      <c r="C10" s="22" t="s">
        <v>1097</v>
      </c>
      <c r="D10" s="31" t="s">
        <v>255</v>
      </c>
      <c r="E10" s="31" t="s">
        <v>256</v>
      </c>
      <c r="F10" s="31" t="s">
        <v>259</v>
      </c>
      <c r="G10" s="31" t="s">
        <v>257</v>
      </c>
      <c r="H10" s="31" t="s">
        <v>258</v>
      </c>
      <c r="I10" s="31" t="s">
        <v>260</v>
      </c>
    </row>
    <row r="11" spans="1:14">
      <c r="A11" s="40">
        <v>36069</v>
      </c>
      <c r="B11" s="52">
        <v>27.5</v>
      </c>
      <c r="C11" s="143">
        <v>26.218800000000002</v>
      </c>
      <c r="D11" s="259"/>
      <c r="E11" s="42"/>
      <c r="F11" s="42"/>
      <c r="G11" s="42"/>
      <c r="H11" s="42"/>
      <c r="I11" s="180"/>
    </row>
    <row r="12" spans="1:14">
      <c r="A12" s="40">
        <v>36070</v>
      </c>
      <c r="B12" s="52">
        <v>28.125</v>
      </c>
      <c r="C12" s="52">
        <v>26.3125</v>
      </c>
      <c r="D12" s="52"/>
      <c r="E12" s="42"/>
      <c r="F12" s="42"/>
      <c r="G12" s="42"/>
      <c r="H12" s="42"/>
      <c r="I12" s="180"/>
    </row>
    <row r="13" spans="1:14">
      <c r="A13" s="44">
        <v>36073</v>
      </c>
      <c r="B13" s="55">
        <v>29</v>
      </c>
      <c r="C13" s="55">
        <v>26.906199999999998</v>
      </c>
      <c r="D13" s="55"/>
      <c r="E13" s="46"/>
      <c r="F13" s="46"/>
      <c r="G13" s="46"/>
      <c r="H13" s="46"/>
      <c r="I13" s="181"/>
    </row>
    <row r="14" spans="1:14">
      <c r="A14" s="44">
        <v>36074</v>
      </c>
      <c r="B14" s="55">
        <v>30.3125</v>
      </c>
      <c r="C14" s="55">
        <v>29.1875</v>
      </c>
      <c r="D14" s="55"/>
      <c r="E14" s="46"/>
      <c r="F14" s="46"/>
      <c r="G14" s="46"/>
      <c r="H14" s="46"/>
      <c r="I14" s="181"/>
    </row>
    <row r="15" spans="1:14">
      <c r="A15" s="40">
        <v>36075</v>
      </c>
      <c r="B15" s="52">
        <v>29.75</v>
      </c>
      <c r="C15" s="52">
        <v>29.1875</v>
      </c>
      <c r="D15" s="52"/>
      <c r="E15" s="42"/>
      <c r="F15" s="42"/>
      <c r="G15" s="42"/>
      <c r="H15" s="42"/>
      <c r="I15" s="180"/>
    </row>
    <row r="16" spans="1:14">
      <c r="A16" s="40">
        <v>36076</v>
      </c>
      <c r="B16" s="52">
        <v>28.5625</v>
      </c>
      <c r="C16" s="52">
        <v>26.593800000000002</v>
      </c>
      <c r="D16" s="52">
        <f>MAX(B11:B16)</f>
        <v>30.3125</v>
      </c>
      <c r="E16" s="42">
        <v>2</v>
      </c>
      <c r="F16" s="122">
        <f>(5-E16)/5 * 100</f>
        <v>60</v>
      </c>
      <c r="G16" s="122">
        <f>MIN(C11:C16)</f>
        <v>26.218800000000002</v>
      </c>
      <c r="H16" s="42">
        <v>5</v>
      </c>
      <c r="I16" s="182">
        <f>(5-H16)/5 * 100</f>
        <v>0</v>
      </c>
    </row>
    <row r="17" spans="1:9">
      <c r="A17" s="44">
        <v>36077</v>
      </c>
      <c r="B17" s="55">
        <v>29.8125</v>
      </c>
      <c r="C17" s="55">
        <v>27.875</v>
      </c>
      <c r="D17" s="55">
        <f t="shared" ref="D17:D32" si="0">MAX(B12:B17)</f>
        <v>30.3125</v>
      </c>
      <c r="E17" s="46">
        <v>3</v>
      </c>
      <c r="F17" s="123">
        <f t="shared" ref="F17:F32" si="1">(5-E17)/5 * 100</f>
        <v>40</v>
      </c>
      <c r="G17" s="123">
        <f t="shared" ref="G17:G32" si="2">MIN(C12:C17)</f>
        <v>26.3125</v>
      </c>
      <c r="H17" s="46">
        <v>5</v>
      </c>
      <c r="I17" s="183">
        <f t="shared" ref="I17:I32" si="3">(5-H17)/5 * 100</f>
        <v>0</v>
      </c>
    </row>
    <row r="18" spans="1:9">
      <c r="A18" s="44">
        <v>36080</v>
      </c>
      <c r="B18" s="55">
        <v>30.968800000000002</v>
      </c>
      <c r="C18" s="55">
        <v>30.25</v>
      </c>
      <c r="D18" s="55">
        <f t="shared" si="0"/>
        <v>30.968800000000002</v>
      </c>
      <c r="E18" s="46">
        <v>0</v>
      </c>
      <c r="F18" s="123">
        <f t="shared" si="1"/>
        <v>100</v>
      </c>
      <c r="G18" s="123">
        <f t="shared" si="2"/>
        <v>26.593800000000002</v>
      </c>
      <c r="H18" s="46">
        <v>2</v>
      </c>
      <c r="I18" s="183">
        <f t="shared" si="3"/>
        <v>60</v>
      </c>
    </row>
    <row r="19" spans="1:9">
      <c r="A19" s="40">
        <v>36081</v>
      </c>
      <c r="B19" s="52">
        <v>30.593800000000002</v>
      </c>
      <c r="C19" s="52">
        <v>29.75</v>
      </c>
      <c r="D19" s="52">
        <f t="shared" si="0"/>
        <v>30.968800000000002</v>
      </c>
      <c r="E19" s="42">
        <v>1</v>
      </c>
      <c r="F19" s="122">
        <f t="shared" si="1"/>
        <v>80</v>
      </c>
      <c r="G19" s="122">
        <f t="shared" si="2"/>
        <v>26.593800000000002</v>
      </c>
      <c r="H19" s="42">
        <v>3</v>
      </c>
      <c r="I19" s="182">
        <f t="shared" si="3"/>
        <v>40</v>
      </c>
    </row>
    <row r="20" spans="1:9">
      <c r="A20" s="40">
        <v>36082</v>
      </c>
      <c r="B20" s="52">
        <v>31.125</v>
      </c>
      <c r="C20" s="52">
        <v>29.8125</v>
      </c>
      <c r="D20" s="52">
        <f t="shared" si="0"/>
        <v>31.125</v>
      </c>
      <c r="E20" s="42">
        <v>0</v>
      </c>
      <c r="F20" s="122">
        <f t="shared" si="1"/>
        <v>100</v>
      </c>
      <c r="G20" s="122">
        <f t="shared" si="2"/>
        <v>26.593800000000002</v>
      </c>
      <c r="H20" s="42">
        <v>4</v>
      </c>
      <c r="I20" s="182">
        <f t="shared" si="3"/>
        <v>20</v>
      </c>
    </row>
    <row r="21" spans="1:9">
      <c r="A21" s="44">
        <v>36083</v>
      </c>
      <c r="B21" s="144">
        <v>32.5</v>
      </c>
      <c r="C21" s="55">
        <v>30.406199999999998</v>
      </c>
      <c r="D21" s="55">
        <f t="shared" si="0"/>
        <v>32.5</v>
      </c>
      <c r="E21" s="46">
        <v>0</v>
      </c>
      <c r="F21" s="123">
        <f t="shared" si="1"/>
        <v>100</v>
      </c>
      <c r="G21" s="123">
        <f t="shared" si="2"/>
        <v>26.593800000000002</v>
      </c>
      <c r="H21" s="46">
        <v>5</v>
      </c>
      <c r="I21" s="183">
        <f t="shared" si="3"/>
        <v>0</v>
      </c>
    </row>
    <row r="22" spans="1:9">
      <c r="A22" s="44">
        <v>36084</v>
      </c>
      <c r="B22" s="144">
        <v>33.843800000000002</v>
      </c>
      <c r="C22" s="55">
        <v>32.843800000000002</v>
      </c>
      <c r="D22" s="55">
        <f t="shared" si="0"/>
        <v>33.843800000000002</v>
      </c>
      <c r="E22" s="46">
        <v>0</v>
      </c>
      <c r="F22" s="123">
        <f t="shared" si="1"/>
        <v>100</v>
      </c>
      <c r="G22" s="123">
        <f t="shared" si="2"/>
        <v>27.875</v>
      </c>
      <c r="H22" s="46">
        <v>5</v>
      </c>
      <c r="I22" s="183">
        <f t="shared" si="3"/>
        <v>0</v>
      </c>
    </row>
    <row r="23" spans="1:9">
      <c r="A23" s="40">
        <v>36087</v>
      </c>
      <c r="B23" s="143">
        <v>34.468800000000002</v>
      </c>
      <c r="C23" s="52">
        <v>33.8125</v>
      </c>
      <c r="D23" s="52">
        <f t="shared" si="0"/>
        <v>34.468800000000002</v>
      </c>
      <c r="E23" s="42">
        <v>0</v>
      </c>
      <c r="F23" s="122">
        <f t="shared" si="1"/>
        <v>100</v>
      </c>
      <c r="G23" s="122">
        <f t="shared" si="2"/>
        <v>29.75</v>
      </c>
      <c r="H23" s="42">
        <v>4</v>
      </c>
      <c r="I23" s="182">
        <f t="shared" si="3"/>
        <v>20</v>
      </c>
    </row>
    <row r="24" spans="1:9">
      <c r="A24" s="40">
        <v>36088</v>
      </c>
      <c r="B24" s="143">
        <v>34.718800000000002</v>
      </c>
      <c r="C24" s="52">
        <v>32.6875</v>
      </c>
      <c r="D24" s="52">
        <f t="shared" si="0"/>
        <v>34.718800000000002</v>
      </c>
      <c r="E24" s="42">
        <v>0</v>
      </c>
      <c r="F24" s="122">
        <f t="shared" si="1"/>
        <v>100</v>
      </c>
      <c r="G24" s="122">
        <f t="shared" si="2"/>
        <v>29.75</v>
      </c>
      <c r="H24" s="42">
        <v>5</v>
      </c>
      <c r="I24" s="182">
        <f t="shared" si="3"/>
        <v>0</v>
      </c>
    </row>
    <row r="25" spans="1:9">
      <c r="A25" s="44">
        <v>36089</v>
      </c>
      <c r="B25" s="144">
        <v>33.031199999999998</v>
      </c>
      <c r="C25" s="55">
        <v>32.281199999999998</v>
      </c>
      <c r="D25" s="55">
        <f t="shared" si="0"/>
        <v>34.718800000000002</v>
      </c>
      <c r="E25" s="46">
        <v>1</v>
      </c>
      <c r="F25" s="123">
        <f t="shared" si="1"/>
        <v>80</v>
      </c>
      <c r="G25" s="123">
        <f t="shared" si="2"/>
        <v>29.8125</v>
      </c>
      <c r="H25" s="46">
        <v>5</v>
      </c>
      <c r="I25" s="183">
        <f t="shared" si="3"/>
        <v>0</v>
      </c>
    </row>
    <row r="26" spans="1:9">
      <c r="A26" s="44">
        <v>36090</v>
      </c>
      <c r="B26" s="144">
        <v>33.625</v>
      </c>
      <c r="C26" s="55">
        <v>32.281199999999998</v>
      </c>
      <c r="D26" s="55">
        <f t="shared" si="0"/>
        <v>34.718800000000002</v>
      </c>
      <c r="E26" s="46">
        <v>2</v>
      </c>
      <c r="F26" s="123">
        <f t="shared" si="1"/>
        <v>60</v>
      </c>
      <c r="G26" s="123">
        <f t="shared" si="2"/>
        <v>30.406199999999998</v>
      </c>
      <c r="H26" s="46">
        <v>5</v>
      </c>
      <c r="I26" s="183">
        <f t="shared" si="3"/>
        <v>0</v>
      </c>
    </row>
    <row r="27" spans="1:9">
      <c r="A27" s="40">
        <v>36091</v>
      </c>
      <c r="B27" s="143">
        <v>34</v>
      </c>
      <c r="C27" s="52">
        <v>32.9375</v>
      </c>
      <c r="D27" s="52">
        <f t="shared" si="0"/>
        <v>34.718800000000002</v>
      </c>
      <c r="E27" s="42">
        <v>3</v>
      </c>
      <c r="F27" s="122">
        <f t="shared" si="1"/>
        <v>40</v>
      </c>
      <c r="G27" s="122">
        <f t="shared" si="2"/>
        <v>32.281199999999998</v>
      </c>
      <c r="H27" s="42">
        <v>1</v>
      </c>
      <c r="I27" s="182">
        <f t="shared" si="3"/>
        <v>80</v>
      </c>
    </row>
    <row r="28" spans="1:9">
      <c r="A28" s="40">
        <v>36094</v>
      </c>
      <c r="B28" s="143">
        <v>33.8125</v>
      </c>
      <c r="C28" s="52">
        <v>32.6875</v>
      </c>
      <c r="D28" s="52">
        <f t="shared" si="0"/>
        <v>34.718800000000002</v>
      </c>
      <c r="E28" s="42">
        <v>4</v>
      </c>
      <c r="F28" s="122">
        <f t="shared" si="1"/>
        <v>20</v>
      </c>
      <c r="G28" s="122">
        <f t="shared" si="2"/>
        <v>32.281199999999998</v>
      </c>
      <c r="H28" s="42">
        <v>2</v>
      </c>
      <c r="I28" s="182">
        <f t="shared" si="3"/>
        <v>60</v>
      </c>
    </row>
    <row r="29" spans="1:9">
      <c r="A29" s="44">
        <v>36095</v>
      </c>
      <c r="B29" s="144">
        <v>33.156199999999998</v>
      </c>
      <c r="C29" s="55">
        <v>31.5</v>
      </c>
      <c r="D29" s="55">
        <f t="shared" si="0"/>
        <v>34.718800000000002</v>
      </c>
      <c r="E29" s="46">
        <v>5</v>
      </c>
      <c r="F29" s="123">
        <f t="shared" si="1"/>
        <v>0</v>
      </c>
      <c r="G29" s="123">
        <f t="shared" si="2"/>
        <v>31.5</v>
      </c>
      <c r="H29" s="46">
        <v>0</v>
      </c>
      <c r="I29" s="183">
        <f t="shared" si="3"/>
        <v>100</v>
      </c>
    </row>
    <row r="30" spans="1:9">
      <c r="A30" s="44">
        <v>36096</v>
      </c>
      <c r="B30" s="144">
        <v>32.968800000000002</v>
      </c>
      <c r="C30" s="55">
        <v>31.375</v>
      </c>
      <c r="D30" s="55">
        <f t="shared" si="0"/>
        <v>34</v>
      </c>
      <c r="E30" s="46">
        <v>3</v>
      </c>
      <c r="F30" s="123">
        <f t="shared" si="1"/>
        <v>40</v>
      </c>
      <c r="G30" s="123">
        <f t="shared" si="2"/>
        <v>31.375</v>
      </c>
      <c r="H30" s="46">
        <v>0</v>
      </c>
      <c r="I30" s="183">
        <f t="shared" si="3"/>
        <v>100</v>
      </c>
    </row>
    <row r="31" spans="1:9">
      <c r="A31" s="40">
        <v>36097</v>
      </c>
      <c r="B31" s="143">
        <v>33.8125</v>
      </c>
      <c r="C31" s="52">
        <v>32.656199999999998</v>
      </c>
      <c r="D31" s="52">
        <f t="shared" si="0"/>
        <v>34</v>
      </c>
      <c r="E31" s="42">
        <v>4</v>
      </c>
      <c r="F31" s="122">
        <f t="shared" si="1"/>
        <v>20</v>
      </c>
      <c r="G31" s="122">
        <f t="shared" si="2"/>
        <v>31.375</v>
      </c>
      <c r="H31" s="42">
        <v>1</v>
      </c>
      <c r="I31" s="182">
        <f t="shared" si="3"/>
        <v>80</v>
      </c>
    </row>
    <row r="32" spans="1:9">
      <c r="A32" s="40">
        <v>36098</v>
      </c>
      <c r="B32" s="143">
        <v>34.718800000000002</v>
      </c>
      <c r="C32" s="52">
        <v>33.718800000000002</v>
      </c>
      <c r="D32" s="52">
        <f t="shared" si="0"/>
        <v>34.718800000000002</v>
      </c>
      <c r="E32" s="42">
        <v>0</v>
      </c>
      <c r="F32" s="122">
        <f t="shared" si="1"/>
        <v>100</v>
      </c>
      <c r="G32" s="122">
        <f t="shared" si="2"/>
        <v>31.375</v>
      </c>
      <c r="H32" s="42">
        <v>2</v>
      </c>
      <c r="I32" s="182">
        <f t="shared" si="3"/>
        <v>60</v>
      </c>
    </row>
    <row r="35" spans="1:9" ht="32.25" customHeight="1">
      <c r="A35" s="447" t="s">
        <v>261</v>
      </c>
      <c r="B35" s="447"/>
      <c r="C35" s="447"/>
      <c r="D35" s="447"/>
      <c r="E35" s="447"/>
      <c r="F35" s="447"/>
      <c r="G35" s="447"/>
      <c r="H35" s="447"/>
      <c r="I35" s="447"/>
    </row>
    <row r="36" spans="1:9" ht="32.25" customHeight="1">
      <c r="A36" s="447" t="s">
        <v>262</v>
      </c>
      <c r="B36" s="447"/>
      <c r="C36" s="447"/>
      <c r="D36" s="447"/>
      <c r="E36" s="447"/>
      <c r="F36" s="447"/>
      <c r="G36" s="447"/>
      <c r="H36" s="447"/>
      <c r="I36" s="447"/>
    </row>
    <row r="37" spans="1:9" ht="30.75" customHeight="1">
      <c r="A37" s="448" t="s">
        <v>53</v>
      </c>
      <c r="B37" s="448"/>
      <c r="C37" s="448"/>
      <c r="D37" s="448"/>
      <c r="E37" s="448"/>
      <c r="F37" s="448"/>
      <c r="G37" s="448"/>
      <c r="H37" s="448"/>
      <c r="I37" s="448"/>
    </row>
    <row r="38" spans="1:9" ht="36" customHeight="1">
      <c r="A38" s="447" t="s">
        <v>263</v>
      </c>
      <c r="B38" s="447"/>
      <c r="C38" s="447"/>
      <c r="D38" s="447"/>
      <c r="E38" s="447"/>
      <c r="F38" s="447"/>
      <c r="G38" s="447"/>
      <c r="H38" s="447"/>
      <c r="I38" s="447"/>
    </row>
    <row r="39" spans="1:9" ht="15">
      <c r="A39" s="241"/>
    </row>
    <row r="40" spans="1:9" ht="21">
      <c r="A40" s="348"/>
    </row>
  </sheetData>
  <mergeCells count="6">
    <mergeCell ref="A38:I38"/>
    <mergeCell ref="A37:I37"/>
    <mergeCell ref="B5:I5"/>
    <mergeCell ref="B6:I6"/>
    <mergeCell ref="A35:I35"/>
    <mergeCell ref="A36:I36"/>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7655" r:id="rId3" name="Button 7">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27656" r:id="rId4" name="Button 8">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27657" r:id="rId5" name="Button 9">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7658" r:id="rId6" name="Button 10">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N174"/>
  <sheetViews>
    <sheetView workbookViewId="0"/>
  </sheetViews>
  <sheetFormatPr baseColWidth="10" defaultColWidth="8.83203125" defaultRowHeight="12" x14ac:dyDescent="0"/>
  <cols>
    <col min="1" max="1" width="15.6640625" customWidth="1"/>
    <col min="4" max="4" width="12.33203125" customWidth="1"/>
    <col min="8" max="8" width="10.5" customWidth="1"/>
    <col min="9" max="11" width="13.5" customWidth="1"/>
    <col min="12" max="12" width="31.8320312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638</v>
      </c>
      <c r="C3" s="21"/>
      <c r="D3" s="21"/>
      <c r="E3" s="21"/>
      <c r="F3" s="21"/>
      <c r="G3" s="21"/>
      <c r="H3" s="21"/>
      <c r="I3" s="21"/>
      <c r="J3" s="21"/>
      <c r="K3" s="21"/>
    </row>
    <row r="4" spans="1:14">
      <c r="A4" s="19" t="s">
        <v>774</v>
      </c>
      <c r="B4" s="20" t="s">
        <v>1107</v>
      </c>
      <c r="C4" s="21"/>
      <c r="D4" s="21"/>
      <c r="E4" s="21"/>
      <c r="F4" s="21"/>
      <c r="G4" s="21"/>
      <c r="H4" s="21"/>
      <c r="I4" s="21"/>
      <c r="J4" s="21"/>
      <c r="K4" s="21"/>
    </row>
    <row r="5" spans="1:14" ht="15.75" customHeight="1">
      <c r="A5" s="19" t="s">
        <v>779</v>
      </c>
      <c r="B5" s="449" t="s">
        <v>641</v>
      </c>
      <c r="C5" s="450"/>
      <c r="D5" s="450"/>
      <c r="E5" s="450"/>
      <c r="F5" s="450"/>
      <c r="G5" s="450"/>
      <c r="H5" s="450"/>
      <c r="I5" s="450"/>
      <c r="J5" s="450"/>
      <c r="K5" s="450"/>
    </row>
    <row r="6" spans="1:14" ht="13.5" customHeight="1">
      <c r="A6" s="19"/>
      <c r="B6" s="449" t="s">
        <v>644</v>
      </c>
      <c r="C6" s="450"/>
      <c r="D6" s="450"/>
      <c r="E6" s="450"/>
      <c r="F6" s="450"/>
      <c r="G6" s="450"/>
      <c r="H6" s="450"/>
      <c r="I6" s="450"/>
      <c r="J6" s="450"/>
      <c r="K6" s="450"/>
    </row>
    <row r="7" spans="1:14" ht="13.5" customHeight="1">
      <c r="A7" s="19"/>
      <c r="B7" s="449" t="s">
        <v>643</v>
      </c>
      <c r="C7" s="450"/>
      <c r="D7" s="450"/>
      <c r="E7" s="450"/>
      <c r="F7" s="450"/>
      <c r="G7" s="450"/>
      <c r="H7" s="450"/>
      <c r="I7" s="450"/>
      <c r="J7" s="450"/>
      <c r="K7" s="450"/>
    </row>
    <row r="8" spans="1:14" ht="13.5" customHeight="1">
      <c r="A8" s="19"/>
      <c r="B8" s="449" t="s">
        <v>108</v>
      </c>
      <c r="C8" s="450"/>
      <c r="D8" s="450"/>
      <c r="E8" s="450"/>
      <c r="F8" s="450"/>
      <c r="G8" s="450"/>
      <c r="H8" s="450"/>
      <c r="I8" s="450"/>
      <c r="J8" s="450"/>
      <c r="K8" s="450"/>
    </row>
    <row r="9" spans="1:14" ht="13.5" customHeight="1">
      <c r="A9" s="19"/>
      <c r="B9" s="449" t="s">
        <v>642</v>
      </c>
      <c r="C9" s="450"/>
      <c r="D9" s="450"/>
      <c r="E9" s="450"/>
      <c r="F9" s="450"/>
      <c r="G9" s="450"/>
      <c r="H9" s="450"/>
      <c r="I9" s="450"/>
      <c r="J9" s="450"/>
      <c r="K9" s="450"/>
    </row>
    <row r="10" spans="1:14">
      <c r="A10" s="19" t="s">
        <v>635</v>
      </c>
      <c r="B10" s="21" t="s">
        <v>640</v>
      </c>
      <c r="C10" s="21"/>
      <c r="D10" s="21"/>
      <c r="E10" s="21"/>
      <c r="F10" s="21"/>
      <c r="G10" s="21"/>
      <c r="H10" s="21"/>
      <c r="I10" s="21"/>
      <c r="J10" s="21"/>
      <c r="K10" s="21"/>
    </row>
    <row r="11" spans="1:14" ht="69.75" customHeight="1">
      <c r="A11" s="22" t="s">
        <v>1090</v>
      </c>
      <c r="B11" s="22" t="s">
        <v>1096</v>
      </c>
      <c r="C11" s="22" t="s">
        <v>1097</v>
      </c>
      <c r="D11" s="22" t="s">
        <v>1098</v>
      </c>
      <c r="E11" s="31" t="s">
        <v>522</v>
      </c>
      <c r="F11" s="31" t="s">
        <v>523</v>
      </c>
      <c r="G11" s="31" t="s">
        <v>524</v>
      </c>
      <c r="H11" s="31" t="s">
        <v>882</v>
      </c>
      <c r="I11" s="31" t="s">
        <v>883</v>
      </c>
      <c r="J11" s="31" t="s">
        <v>884</v>
      </c>
      <c r="K11" s="31" t="s">
        <v>638</v>
      </c>
      <c r="L11" s="116"/>
    </row>
    <row r="12" spans="1:14" ht="14">
      <c r="A12" s="26">
        <v>33973</v>
      </c>
      <c r="B12" s="112">
        <v>12.3125</v>
      </c>
      <c r="C12" s="112">
        <v>12.1875</v>
      </c>
      <c r="D12" s="112">
        <v>12.25</v>
      </c>
      <c r="E12" s="112">
        <f>B12-C12</f>
        <v>0.125</v>
      </c>
      <c r="F12" s="100"/>
      <c r="G12" s="100"/>
      <c r="H12" s="100">
        <f>E12</f>
        <v>0.125</v>
      </c>
      <c r="I12" s="100"/>
      <c r="J12" s="100"/>
      <c r="K12" s="100"/>
      <c r="L12" s="117"/>
    </row>
    <row r="13" spans="1:14" ht="14">
      <c r="A13" s="26">
        <v>33974</v>
      </c>
      <c r="B13" s="112">
        <v>12.25</v>
      </c>
      <c r="C13" s="112">
        <v>12.1562</v>
      </c>
      <c r="D13" s="112">
        <v>12.1875</v>
      </c>
      <c r="E13" s="112">
        <f t="shared" ref="E13:E42" si="0">B13-C13</f>
        <v>9.3799999999999883E-2</v>
      </c>
      <c r="F13" s="100">
        <f>B13-D12</f>
        <v>0</v>
      </c>
      <c r="G13" s="100">
        <f>D12-C13</f>
        <v>9.3799999999999883E-2</v>
      </c>
      <c r="H13" s="100">
        <f>MAX(E13:G13)</f>
        <v>9.3799999999999883E-2</v>
      </c>
      <c r="I13" s="100"/>
      <c r="J13" s="100"/>
      <c r="K13" s="100"/>
      <c r="L13" s="117"/>
    </row>
    <row r="14" spans="1:14" ht="14">
      <c r="A14" s="27">
        <v>33975</v>
      </c>
      <c r="B14" s="111">
        <v>12.3125</v>
      </c>
      <c r="C14" s="111">
        <v>12.1875</v>
      </c>
      <c r="D14" s="111">
        <v>12.25</v>
      </c>
      <c r="E14" s="111">
        <f t="shared" si="0"/>
        <v>0.125</v>
      </c>
      <c r="F14" s="99">
        <f t="shared" ref="F14:F42" si="1">B14-D13</f>
        <v>0.125</v>
      </c>
      <c r="G14" s="99">
        <f t="shared" ref="G14:G42" si="2">D13-C14</f>
        <v>0</v>
      </c>
      <c r="H14" s="99">
        <f t="shared" ref="H14:H42" si="3">MAX(E14:G14)</f>
        <v>0.125</v>
      </c>
      <c r="I14" s="99"/>
      <c r="J14" s="99"/>
      <c r="K14" s="99"/>
      <c r="L14" s="117"/>
    </row>
    <row r="15" spans="1:14" ht="15">
      <c r="A15" s="27">
        <v>33976</v>
      </c>
      <c r="B15" s="111">
        <v>12.2812</v>
      </c>
      <c r="C15" s="111">
        <v>12.125</v>
      </c>
      <c r="D15" s="111">
        <v>12.1875</v>
      </c>
      <c r="E15" s="111">
        <f t="shared" si="0"/>
        <v>0.15620000000000012</v>
      </c>
      <c r="F15" s="99">
        <f t="shared" si="1"/>
        <v>3.1200000000000117E-2</v>
      </c>
      <c r="G15" s="99">
        <f t="shared" si="2"/>
        <v>0.125</v>
      </c>
      <c r="H15" s="99">
        <f t="shared" si="3"/>
        <v>0.15620000000000012</v>
      </c>
      <c r="I15" s="99"/>
      <c r="J15" s="99"/>
      <c r="K15" s="99"/>
      <c r="L15" s="116"/>
    </row>
    <row r="16" spans="1:14">
      <c r="A16" s="26">
        <v>33977</v>
      </c>
      <c r="B16" s="112">
        <v>12.375</v>
      </c>
      <c r="C16" s="112">
        <v>12.125</v>
      </c>
      <c r="D16" s="112">
        <v>12.375</v>
      </c>
      <c r="E16" s="112">
        <f t="shared" si="0"/>
        <v>0.25</v>
      </c>
      <c r="F16" s="100">
        <f t="shared" si="1"/>
        <v>0.1875</v>
      </c>
      <c r="G16" s="100">
        <f t="shared" si="2"/>
        <v>6.25E-2</v>
      </c>
      <c r="H16" s="100">
        <f t="shared" si="3"/>
        <v>0.25</v>
      </c>
      <c r="I16" s="100"/>
      <c r="J16" s="100"/>
      <c r="K16" s="100"/>
    </row>
    <row r="17" spans="1:11">
      <c r="A17" s="26">
        <v>33980</v>
      </c>
      <c r="B17" s="112">
        <v>12.375</v>
      </c>
      <c r="C17" s="112">
        <v>12.2812</v>
      </c>
      <c r="D17" s="112">
        <v>12.3125</v>
      </c>
      <c r="E17" s="112">
        <f t="shared" si="0"/>
        <v>9.3799999999999883E-2</v>
      </c>
      <c r="F17" s="100">
        <f t="shared" si="1"/>
        <v>0</v>
      </c>
      <c r="G17" s="100">
        <f t="shared" si="2"/>
        <v>9.3799999999999883E-2</v>
      </c>
      <c r="H17" s="100">
        <f t="shared" si="3"/>
        <v>9.3799999999999883E-2</v>
      </c>
      <c r="I17" s="100"/>
      <c r="J17" s="100"/>
      <c r="K17" s="100"/>
    </row>
    <row r="18" spans="1:11">
      <c r="A18" s="27">
        <v>33981</v>
      </c>
      <c r="B18" s="111">
        <v>12.3125</v>
      </c>
      <c r="C18" s="111">
        <v>12.1875</v>
      </c>
      <c r="D18" s="111">
        <v>12.2188</v>
      </c>
      <c r="E18" s="111">
        <f t="shared" si="0"/>
        <v>0.125</v>
      </c>
      <c r="F18" s="99">
        <f t="shared" si="1"/>
        <v>0</v>
      </c>
      <c r="G18" s="99">
        <f t="shared" si="2"/>
        <v>0.125</v>
      </c>
      <c r="H18" s="99">
        <f t="shared" si="3"/>
        <v>0.125</v>
      </c>
      <c r="I18" s="99"/>
      <c r="J18" s="99"/>
      <c r="K18" s="99"/>
    </row>
    <row r="19" spans="1:11">
      <c r="A19" s="27">
        <v>33982</v>
      </c>
      <c r="B19" s="111">
        <v>12.375</v>
      </c>
      <c r="C19" s="111">
        <v>12.1875</v>
      </c>
      <c r="D19" s="111">
        <v>12.3438</v>
      </c>
      <c r="E19" s="111">
        <f t="shared" si="0"/>
        <v>0.1875</v>
      </c>
      <c r="F19" s="99">
        <f t="shared" si="1"/>
        <v>0.15620000000000012</v>
      </c>
      <c r="G19" s="99">
        <f t="shared" si="2"/>
        <v>3.1299999999999883E-2</v>
      </c>
      <c r="H19" s="99">
        <f t="shared" si="3"/>
        <v>0.1875</v>
      </c>
      <c r="I19" s="99"/>
      <c r="J19" s="99"/>
      <c r="K19" s="99"/>
    </row>
    <row r="20" spans="1:11">
      <c r="A20" s="26">
        <v>33983</v>
      </c>
      <c r="B20" s="112">
        <v>12.5</v>
      </c>
      <c r="C20" s="112">
        <v>12.2812</v>
      </c>
      <c r="D20" s="112">
        <v>12.5</v>
      </c>
      <c r="E20" s="112">
        <f t="shared" si="0"/>
        <v>0.21879999999999988</v>
      </c>
      <c r="F20" s="100">
        <f t="shared" si="1"/>
        <v>0.15620000000000012</v>
      </c>
      <c r="G20" s="100">
        <f t="shared" si="2"/>
        <v>6.2599999999999767E-2</v>
      </c>
      <c r="H20" s="100">
        <f t="shared" si="3"/>
        <v>0.21879999999999988</v>
      </c>
      <c r="I20" s="100"/>
      <c r="J20" s="100"/>
      <c r="K20" s="100"/>
    </row>
    <row r="21" spans="1:11">
      <c r="A21" s="26">
        <v>33984</v>
      </c>
      <c r="B21" s="112">
        <v>12.5938</v>
      </c>
      <c r="C21" s="112">
        <v>12.3125</v>
      </c>
      <c r="D21" s="112">
        <v>12.375</v>
      </c>
      <c r="E21" s="112">
        <f t="shared" si="0"/>
        <v>0.28129999999999988</v>
      </c>
      <c r="F21" s="100">
        <f t="shared" si="1"/>
        <v>9.3799999999999883E-2</v>
      </c>
      <c r="G21" s="100">
        <f t="shared" si="2"/>
        <v>0.1875</v>
      </c>
      <c r="H21" s="100">
        <f t="shared" si="3"/>
        <v>0.28129999999999988</v>
      </c>
      <c r="I21" s="100"/>
      <c r="J21" s="100"/>
      <c r="K21" s="100"/>
    </row>
    <row r="22" spans="1:11">
      <c r="A22" s="27">
        <v>33987</v>
      </c>
      <c r="B22" s="111">
        <v>12.3438</v>
      </c>
      <c r="C22" s="111">
        <v>12.2812</v>
      </c>
      <c r="D22" s="111">
        <v>12.3438</v>
      </c>
      <c r="E22" s="111">
        <f t="shared" si="0"/>
        <v>6.2599999999999767E-2</v>
      </c>
      <c r="F22" s="99">
        <f t="shared" si="1"/>
        <v>-3.1200000000000117E-2</v>
      </c>
      <c r="G22" s="99">
        <f t="shared" si="2"/>
        <v>9.3799999999999883E-2</v>
      </c>
      <c r="H22" s="99">
        <f t="shared" si="3"/>
        <v>9.3799999999999883E-2</v>
      </c>
      <c r="I22" s="99"/>
      <c r="J22" s="99"/>
      <c r="K22" s="99"/>
    </row>
    <row r="23" spans="1:11">
      <c r="A23" s="27">
        <v>33988</v>
      </c>
      <c r="B23" s="111">
        <v>12.4062</v>
      </c>
      <c r="C23" s="111">
        <v>12.2812</v>
      </c>
      <c r="D23" s="111">
        <v>12.3438</v>
      </c>
      <c r="E23" s="111">
        <f t="shared" si="0"/>
        <v>0.125</v>
      </c>
      <c r="F23" s="99">
        <f t="shared" si="1"/>
        <v>6.2400000000000233E-2</v>
      </c>
      <c r="G23" s="99">
        <f t="shared" si="2"/>
        <v>6.2599999999999767E-2</v>
      </c>
      <c r="H23" s="99">
        <f t="shared" si="3"/>
        <v>0.125</v>
      </c>
      <c r="I23" s="99"/>
      <c r="J23" s="99"/>
      <c r="K23" s="99"/>
    </row>
    <row r="24" spans="1:11">
      <c r="A24" s="26">
        <v>33989</v>
      </c>
      <c r="B24" s="112">
        <v>12.375</v>
      </c>
      <c r="C24" s="112">
        <v>12.2812</v>
      </c>
      <c r="D24" s="112">
        <v>12.2812</v>
      </c>
      <c r="E24" s="112">
        <f t="shared" si="0"/>
        <v>9.3799999999999883E-2</v>
      </c>
      <c r="F24" s="100">
        <f t="shared" si="1"/>
        <v>3.1200000000000117E-2</v>
      </c>
      <c r="G24" s="100">
        <f t="shared" si="2"/>
        <v>6.2599999999999767E-2</v>
      </c>
      <c r="H24" s="100">
        <f t="shared" si="3"/>
        <v>9.3799999999999883E-2</v>
      </c>
      <c r="I24" s="100"/>
      <c r="J24" s="100"/>
      <c r="K24" s="100"/>
    </row>
    <row r="25" spans="1:11">
      <c r="A25" s="26">
        <v>33990</v>
      </c>
      <c r="B25" s="112">
        <v>12.4062</v>
      </c>
      <c r="C25" s="112">
        <v>12.2812</v>
      </c>
      <c r="D25" s="112">
        <v>12.375</v>
      </c>
      <c r="E25" s="112">
        <f t="shared" si="0"/>
        <v>0.125</v>
      </c>
      <c r="F25" s="100">
        <f t="shared" si="1"/>
        <v>0.125</v>
      </c>
      <c r="G25" s="100">
        <f t="shared" si="2"/>
        <v>0</v>
      </c>
      <c r="H25" s="100">
        <f t="shared" si="3"/>
        <v>0.125</v>
      </c>
      <c r="I25" s="100"/>
      <c r="J25" s="100"/>
      <c r="K25" s="100">
        <f>SUM(H12:H25)/14</f>
        <v>0.14957142857142852</v>
      </c>
    </row>
    <row r="26" spans="1:11">
      <c r="A26" s="27">
        <v>33991</v>
      </c>
      <c r="B26" s="111">
        <v>12.375</v>
      </c>
      <c r="C26" s="111">
        <v>11.9688</v>
      </c>
      <c r="D26" s="111">
        <v>12.0938</v>
      </c>
      <c r="E26" s="111">
        <f t="shared" si="0"/>
        <v>0.40620000000000012</v>
      </c>
      <c r="F26" s="99">
        <f t="shared" si="1"/>
        <v>0</v>
      </c>
      <c r="G26" s="99">
        <f t="shared" si="2"/>
        <v>0.40620000000000012</v>
      </c>
      <c r="H26" s="99">
        <f t="shared" si="3"/>
        <v>0.40620000000000012</v>
      </c>
      <c r="I26" s="99">
        <f>H26-K25</f>
        <v>0.25662857142857159</v>
      </c>
      <c r="J26" s="99">
        <f>1/14*I26</f>
        <v>1.833061224489797E-2</v>
      </c>
      <c r="K26" s="99">
        <f>K25+J26</f>
        <v>0.16790204081632648</v>
      </c>
    </row>
    <row r="27" spans="1:11">
      <c r="A27" s="27">
        <v>33994</v>
      </c>
      <c r="B27" s="111">
        <v>12.2812</v>
      </c>
      <c r="C27" s="111">
        <v>12.0938</v>
      </c>
      <c r="D27" s="111">
        <v>12.1562</v>
      </c>
      <c r="E27" s="111">
        <f t="shared" si="0"/>
        <v>0.18740000000000023</v>
      </c>
      <c r="F27" s="99">
        <f t="shared" si="1"/>
        <v>0.18740000000000023</v>
      </c>
      <c r="G27" s="99">
        <f t="shared" si="2"/>
        <v>0</v>
      </c>
      <c r="H27" s="99">
        <f t="shared" si="3"/>
        <v>0.18740000000000023</v>
      </c>
      <c r="I27" s="99">
        <f t="shared" ref="I27:I42" si="4">H27-K26</f>
        <v>1.9497959183673752E-2</v>
      </c>
      <c r="J27" s="99">
        <f t="shared" ref="J27:J42" si="5">1/14*I27</f>
        <v>1.3927113702624108E-3</v>
      </c>
      <c r="K27" s="99">
        <f t="shared" ref="K27:K42" si="6">K26+J27</f>
        <v>0.1692947521865889</v>
      </c>
    </row>
    <row r="28" spans="1:11">
      <c r="A28" s="26">
        <v>33995</v>
      </c>
      <c r="B28" s="112">
        <v>12.25</v>
      </c>
      <c r="C28" s="112">
        <v>12</v>
      </c>
      <c r="D28" s="112">
        <v>12.0625</v>
      </c>
      <c r="E28" s="112">
        <f t="shared" si="0"/>
        <v>0.25</v>
      </c>
      <c r="F28" s="100">
        <f t="shared" si="1"/>
        <v>9.3799999999999883E-2</v>
      </c>
      <c r="G28" s="100">
        <f t="shared" si="2"/>
        <v>0.15620000000000012</v>
      </c>
      <c r="H28" s="100">
        <f t="shared" si="3"/>
        <v>0.25</v>
      </c>
      <c r="I28" s="100">
        <f t="shared" si="4"/>
        <v>8.0705247813411096E-2</v>
      </c>
      <c r="J28" s="100">
        <f t="shared" si="5"/>
        <v>5.7646605581007926E-3</v>
      </c>
      <c r="K28" s="100">
        <f t="shared" si="6"/>
        <v>0.1750594127446897</v>
      </c>
    </row>
    <row r="29" spans="1:11">
      <c r="A29" s="26">
        <v>33996</v>
      </c>
      <c r="B29" s="112">
        <v>12.0625</v>
      </c>
      <c r="C29" s="112">
        <v>11.6562</v>
      </c>
      <c r="D29" s="112">
        <v>11.9688</v>
      </c>
      <c r="E29" s="112">
        <f t="shared" si="0"/>
        <v>0.40629999999999988</v>
      </c>
      <c r="F29" s="100">
        <f t="shared" si="1"/>
        <v>0</v>
      </c>
      <c r="G29" s="100">
        <f t="shared" si="2"/>
        <v>0.40629999999999988</v>
      </c>
      <c r="H29" s="100">
        <f t="shared" si="3"/>
        <v>0.40629999999999988</v>
      </c>
      <c r="I29" s="100">
        <f t="shared" si="4"/>
        <v>0.23124058725531019</v>
      </c>
      <c r="J29" s="100">
        <f t="shared" si="5"/>
        <v>1.6517184803950726E-2</v>
      </c>
      <c r="K29" s="100">
        <f t="shared" si="6"/>
        <v>0.19157659754864043</v>
      </c>
    </row>
    <row r="30" spans="1:11">
      <c r="A30" s="27">
        <v>33997</v>
      </c>
      <c r="B30" s="111">
        <v>12.3125</v>
      </c>
      <c r="C30" s="111">
        <v>12.1562</v>
      </c>
      <c r="D30" s="111">
        <v>12.1875</v>
      </c>
      <c r="E30" s="111">
        <f t="shared" si="0"/>
        <v>0.15629999999999988</v>
      </c>
      <c r="F30" s="99">
        <f t="shared" si="1"/>
        <v>0.34370000000000012</v>
      </c>
      <c r="G30" s="99">
        <f t="shared" si="2"/>
        <v>-0.18740000000000023</v>
      </c>
      <c r="H30" s="99">
        <f t="shared" si="3"/>
        <v>0.34370000000000012</v>
      </c>
      <c r="I30" s="99">
        <f t="shared" si="4"/>
        <v>0.15212340245135969</v>
      </c>
      <c r="J30" s="99">
        <f t="shared" si="5"/>
        <v>1.0865957317954263E-2</v>
      </c>
      <c r="K30" s="99">
        <f t="shared" si="6"/>
        <v>0.20244255486659468</v>
      </c>
    </row>
    <row r="31" spans="1:11">
      <c r="A31" s="27">
        <v>33998</v>
      </c>
      <c r="B31" s="111">
        <v>12.3125</v>
      </c>
      <c r="C31" s="111">
        <v>12.125</v>
      </c>
      <c r="D31" s="111">
        <v>12.1562</v>
      </c>
      <c r="E31" s="111">
        <f t="shared" si="0"/>
        <v>0.1875</v>
      </c>
      <c r="F31" s="99">
        <f t="shared" si="1"/>
        <v>0.125</v>
      </c>
      <c r="G31" s="99">
        <f t="shared" si="2"/>
        <v>6.25E-2</v>
      </c>
      <c r="H31" s="99">
        <f t="shared" si="3"/>
        <v>0.1875</v>
      </c>
      <c r="I31" s="99">
        <f t="shared" si="4"/>
        <v>-1.4942554866594682E-2</v>
      </c>
      <c r="J31" s="99">
        <f t="shared" si="5"/>
        <v>-1.0673253476139058E-3</v>
      </c>
      <c r="K31" s="99">
        <f t="shared" si="6"/>
        <v>0.20137522951898076</v>
      </c>
    </row>
    <row r="32" spans="1:11">
      <c r="A32" s="26">
        <v>34001</v>
      </c>
      <c r="B32" s="112">
        <v>12.3438</v>
      </c>
      <c r="C32" s="112">
        <v>12.1562</v>
      </c>
      <c r="D32" s="112">
        <v>12.3125</v>
      </c>
      <c r="E32" s="112">
        <f t="shared" si="0"/>
        <v>0.18759999999999977</v>
      </c>
      <c r="F32" s="100">
        <f t="shared" si="1"/>
        <v>0.18759999999999977</v>
      </c>
      <c r="G32" s="100">
        <f t="shared" si="2"/>
        <v>0</v>
      </c>
      <c r="H32" s="100">
        <f t="shared" si="3"/>
        <v>0.18759999999999977</v>
      </c>
      <c r="I32" s="100">
        <f t="shared" si="4"/>
        <v>-1.3775229518980997E-2</v>
      </c>
      <c r="J32" s="100">
        <f t="shared" si="5"/>
        <v>-9.8394496564149976E-4</v>
      </c>
      <c r="K32" s="100">
        <f t="shared" si="6"/>
        <v>0.20039128455333927</v>
      </c>
    </row>
    <row r="33" spans="1:11">
      <c r="A33" s="26">
        <v>34002</v>
      </c>
      <c r="B33" s="112">
        <v>12.6562</v>
      </c>
      <c r="C33" s="112">
        <v>12.2812</v>
      </c>
      <c r="D33" s="112">
        <v>12.5625</v>
      </c>
      <c r="E33" s="112">
        <f t="shared" si="0"/>
        <v>0.375</v>
      </c>
      <c r="F33" s="100">
        <f t="shared" si="1"/>
        <v>0.34370000000000012</v>
      </c>
      <c r="G33" s="100">
        <f t="shared" si="2"/>
        <v>3.1299999999999883E-2</v>
      </c>
      <c r="H33" s="100">
        <f t="shared" si="3"/>
        <v>0.375</v>
      </c>
      <c r="I33" s="100">
        <f t="shared" si="4"/>
        <v>0.17460871544666073</v>
      </c>
      <c r="J33" s="100">
        <f t="shared" si="5"/>
        <v>1.247205110333291E-2</v>
      </c>
      <c r="K33" s="100">
        <f t="shared" si="6"/>
        <v>0.21286333565667218</v>
      </c>
    </row>
    <row r="34" spans="1:11">
      <c r="A34" s="27">
        <v>34003</v>
      </c>
      <c r="B34" s="111">
        <v>12.625</v>
      </c>
      <c r="C34" s="111">
        <v>12.4688</v>
      </c>
      <c r="D34" s="111">
        <v>12.5312</v>
      </c>
      <c r="E34" s="111">
        <f t="shared" si="0"/>
        <v>0.15620000000000012</v>
      </c>
      <c r="F34" s="99">
        <f t="shared" si="1"/>
        <v>6.25E-2</v>
      </c>
      <c r="G34" s="99">
        <f t="shared" si="2"/>
        <v>9.3700000000000117E-2</v>
      </c>
      <c r="H34" s="99">
        <f t="shared" si="3"/>
        <v>0.15620000000000012</v>
      </c>
      <c r="I34" s="99">
        <f t="shared" si="4"/>
        <v>-5.6663335656672059E-2</v>
      </c>
      <c r="J34" s="99">
        <f t="shared" si="5"/>
        <v>-4.0473811183337179E-3</v>
      </c>
      <c r="K34" s="99">
        <f t="shared" si="6"/>
        <v>0.20881595453833846</v>
      </c>
    </row>
    <row r="35" spans="1:11">
      <c r="A35" s="27">
        <v>34004</v>
      </c>
      <c r="B35" s="111">
        <v>13</v>
      </c>
      <c r="C35" s="111">
        <v>12.5625</v>
      </c>
      <c r="D35" s="111">
        <v>12.9062</v>
      </c>
      <c r="E35" s="111">
        <f t="shared" si="0"/>
        <v>0.4375</v>
      </c>
      <c r="F35" s="99">
        <f t="shared" si="1"/>
        <v>0.46879999999999988</v>
      </c>
      <c r="G35" s="99">
        <f t="shared" si="2"/>
        <v>-3.1299999999999883E-2</v>
      </c>
      <c r="H35" s="99">
        <f t="shared" si="3"/>
        <v>0.46879999999999988</v>
      </c>
      <c r="I35" s="99">
        <f t="shared" si="4"/>
        <v>0.25998404546166143</v>
      </c>
      <c r="J35" s="99">
        <f t="shared" si="5"/>
        <v>1.8570288961547245E-2</v>
      </c>
      <c r="K35" s="99">
        <f t="shared" si="6"/>
        <v>0.2273862434998857</v>
      </c>
    </row>
    <row r="36" spans="1:11">
      <c r="A36" s="26">
        <v>34005</v>
      </c>
      <c r="B36" s="112">
        <v>12.9062</v>
      </c>
      <c r="C36" s="112">
        <v>12.6562</v>
      </c>
      <c r="D36" s="112">
        <v>12.75</v>
      </c>
      <c r="E36" s="112">
        <f t="shared" si="0"/>
        <v>0.25</v>
      </c>
      <c r="F36" s="100">
        <f t="shared" si="1"/>
        <v>0</v>
      </c>
      <c r="G36" s="100">
        <f t="shared" si="2"/>
        <v>0.25</v>
      </c>
      <c r="H36" s="100">
        <f t="shared" si="3"/>
        <v>0.25</v>
      </c>
      <c r="I36" s="100">
        <f t="shared" si="4"/>
        <v>2.2613756500114296E-2</v>
      </c>
      <c r="J36" s="100">
        <f t="shared" si="5"/>
        <v>1.6152683214367353E-3</v>
      </c>
      <c r="K36" s="100">
        <f t="shared" si="6"/>
        <v>0.22900151182132245</v>
      </c>
    </row>
    <row r="37" spans="1:11">
      <c r="A37" s="26">
        <v>34008</v>
      </c>
      <c r="B37" s="112">
        <v>12.7188</v>
      </c>
      <c r="C37" s="112">
        <v>12.625</v>
      </c>
      <c r="D37" s="112">
        <v>12.625</v>
      </c>
      <c r="E37" s="112">
        <f t="shared" si="0"/>
        <v>9.3799999999999883E-2</v>
      </c>
      <c r="F37" s="100">
        <f t="shared" si="1"/>
        <v>-3.1200000000000117E-2</v>
      </c>
      <c r="G37" s="100">
        <f t="shared" si="2"/>
        <v>0.125</v>
      </c>
      <c r="H37" s="100">
        <f t="shared" si="3"/>
        <v>0.125</v>
      </c>
      <c r="I37" s="100">
        <f t="shared" si="4"/>
        <v>-0.10400151182132245</v>
      </c>
      <c r="J37" s="100">
        <f t="shared" si="5"/>
        <v>-7.4286794158087456E-3</v>
      </c>
      <c r="K37" s="100">
        <f t="shared" si="6"/>
        <v>0.2215728324055137</v>
      </c>
    </row>
    <row r="38" spans="1:11">
      <c r="A38" s="27">
        <v>34009</v>
      </c>
      <c r="B38" s="111">
        <v>12.625</v>
      </c>
      <c r="C38" s="111">
        <v>12.4062</v>
      </c>
      <c r="D38" s="111">
        <v>12.4375</v>
      </c>
      <c r="E38" s="111">
        <f t="shared" si="0"/>
        <v>0.21879999999999988</v>
      </c>
      <c r="F38" s="99">
        <f t="shared" si="1"/>
        <v>0</v>
      </c>
      <c r="G38" s="99">
        <f t="shared" si="2"/>
        <v>0.21879999999999988</v>
      </c>
      <c r="H38" s="99">
        <f t="shared" si="3"/>
        <v>0.21879999999999988</v>
      </c>
      <c r="I38" s="99">
        <f t="shared" si="4"/>
        <v>-2.7728324055138198E-3</v>
      </c>
      <c r="J38" s="99">
        <f t="shared" si="5"/>
        <v>-1.9805945753670139E-4</v>
      </c>
      <c r="K38" s="99">
        <f t="shared" si="6"/>
        <v>0.221374772947977</v>
      </c>
    </row>
    <row r="39" spans="1:11">
      <c r="A39" s="27">
        <v>34010</v>
      </c>
      <c r="B39" s="111">
        <v>12.5938</v>
      </c>
      <c r="C39" s="111">
        <v>12.4688</v>
      </c>
      <c r="D39" s="111">
        <v>12.5625</v>
      </c>
      <c r="E39" s="111">
        <f t="shared" si="0"/>
        <v>0.125</v>
      </c>
      <c r="F39" s="99">
        <f t="shared" si="1"/>
        <v>0.15629999999999988</v>
      </c>
      <c r="G39" s="99">
        <f t="shared" si="2"/>
        <v>-3.1299999999999883E-2</v>
      </c>
      <c r="H39" s="99">
        <f t="shared" si="3"/>
        <v>0.15629999999999988</v>
      </c>
      <c r="I39" s="99">
        <f t="shared" si="4"/>
        <v>-6.5074772947977116E-2</v>
      </c>
      <c r="J39" s="99">
        <f t="shared" si="5"/>
        <v>-4.6481980677126507E-3</v>
      </c>
      <c r="K39" s="99">
        <f t="shared" si="6"/>
        <v>0.21672657488026434</v>
      </c>
    </row>
    <row r="40" spans="1:11">
      <c r="A40" s="26">
        <v>34011</v>
      </c>
      <c r="B40" s="112">
        <v>12.6875</v>
      </c>
      <c r="C40" s="112">
        <v>12.4375</v>
      </c>
      <c r="D40" s="112">
        <v>12.5</v>
      </c>
      <c r="E40" s="112">
        <f t="shared" si="0"/>
        <v>0.25</v>
      </c>
      <c r="F40" s="100">
        <f t="shared" si="1"/>
        <v>0.125</v>
      </c>
      <c r="G40" s="100">
        <f t="shared" si="2"/>
        <v>0.125</v>
      </c>
      <c r="H40" s="100">
        <f t="shared" si="3"/>
        <v>0.25</v>
      </c>
      <c r="I40" s="100">
        <f t="shared" si="4"/>
        <v>3.3273425119735661E-2</v>
      </c>
      <c r="J40" s="100">
        <f t="shared" si="5"/>
        <v>2.3766732228382615E-3</v>
      </c>
      <c r="K40" s="100">
        <f t="shared" si="6"/>
        <v>0.21910324810310261</v>
      </c>
    </row>
    <row r="41" spans="1:11">
      <c r="A41" s="26">
        <v>34012</v>
      </c>
      <c r="B41" s="112">
        <v>12.5</v>
      </c>
      <c r="C41" s="112">
        <v>12.4062</v>
      </c>
      <c r="D41" s="112">
        <v>12.4062</v>
      </c>
      <c r="E41" s="112">
        <f t="shared" si="0"/>
        <v>9.3799999999999883E-2</v>
      </c>
      <c r="F41" s="100">
        <f t="shared" si="1"/>
        <v>0</v>
      </c>
      <c r="G41" s="100">
        <f t="shared" si="2"/>
        <v>9.3799999999999883E-2</v>
      </c>
      <c r="H41" s="100">
        <f t="shared" si="3"/>
        <v>9.3799999999999883E-2</v>
      </c>
      <c r="I41" s="100">
        <f t="shared" si="4"/>
        <v>-0.12530324810310273</v>
      </c>
      <c r="J41" s="100">
        <f t="shared" si="5"/>
        <v>-8.9502320073644795E-3</v>
      </c>
      <c r="K41" s="100">
        <f t="shared" si="6"/>
        <v>0.21015301609573814</v>
      </c>
    </row>
    <row r="42" spans="1:11">
      <c r="A42" s="27">
        <v>34016</v>
      </c>
      <c r="B42" s="111">
        <v>12.5</v>
      </c>
      <c r="C42" s="111">
        <v>12.1562</v>
      </c>
      <c r="D42" s="111">
        <v>12.1875</v>
      </c>
      <c r="E42" s="111">
        <f t="shared" si="0"/>
        <v>0.34379999999999988</v>
      </c>
      <c r="F42" s="99">
        <f t="shared" si="1"/>
        <v>9.3799999999999883E-2</v>
      </c>
      <c r="G42" s="99">
        <f t="shared" si="2"/>
        <v>0.25</v>
      </c>
      <c r="H42" s="99">
        <f t="shared" si="3"/>
        <v>0.34379999999999988</v>
      </c>
      <c r="I42" s="99">
        <f t="shared" si="4"/>
        <v>0.13364698390426175</v>
      </c>
      <c r="J42" s="99">
        <f t="shared" si="5"/>
        <v>9.5462131360186959E-3</v>
      </c>
      <c r="K42" s="99">
        <f t="shared" si="6"/>
        <v>0.21969922923175683</v>
      </c>
    </row>
    <row r="43" spans="1:11">
      <c r="A43" s="27"/>
      <c r="B43" s="29"/>
      <c r="C43" s="29"/>
      <c r="D43" s="29"/>
      <c r="E43" s="29"/>
      <c r="F43" s="29"/>
      <c r="G43" s="29"/>
      <c r="H43" s="29"/>
      <c r="I43" s="29"/>
      <c r="J43" s="29"/>
      <c r="K43" s="29"/>
    </row>
    <row r="44" spans="1:11">
      <c r="A44" s="8"/>
    </row>
    <row r="45" spans="1:11" ht="15">
      <c r="A45" s="241" t="s">
        <v>1358</v>
      </c>
    </row>
    <row r="46" spans="1:11" ht="15">
      <c r="A46" s="241" t="s">
        <v>518</v>
      </c>
    </row>
    <row r="47" spans="1:11" ht="30.75" customHeight="1">
      <c r="A47" s="447" t="s">
        <v>519</v>
      </c>
      <c r="B47" s="447"/>
      <c r="C47" s="447"/>
      <c r="D47" s="447"/>
      <c r="E47" s="447"/>
      <c r="F47" s="447"/>
      <c r="G47" s="447"/>
      <c r="H47" s="447"/>
      <c r="I47" s="447"/>
      <c r="J47" s="447"/>
      <c r="K47" s="447"/>
    </row>
    <row r="48" spans="1:11" ht="32.25" customHeight="1">
      <c r="A48" s="447" t="s">
        <v>520</v>
      </c>
      <c r="B48" s="447"/>
      <c r="C48" s="447"/>
      <c r="D48" s="447"/>
      <c r="E48" s="447"/>
      <c r="F48" s="447"/>
      <c r="G48" s="447"/>
      <c r="H48" s="447"/>
      <c r="I48" s="447"/>
      <c r="J48" s="447"/>
      <c r="K48" s="447"/>
    </row>
    <row r="49" spans="1:1" ht="15">
      <c r="A49" s="241" t="s">
        <v>521</v>
      </c>
    </row>
    <row r="50" spans="1:1">
      <c r="A50" s="8"/>
    </row>
    <row r="51" spans="1:1">
      <c r="A51" s="8"/>
    </row>
    <row r="52" spans="1:1">
      <c r="A52" s="8"/>
    </row>
    <row r="53" spans="1:1">
      <c r="A53" s="8"/>
    </row>
    <row r="54" spans="1:1">
      <c r="A54" s="8"/>
    </row>
    <row r="55" spans="1:1">
      <c r="A55" s="8"/>
    </row>
    <row r="56" spans="1:1">
      <c r="A56" s="8"/>
    </row>
    <row r="57" spans="1:1">
      <c r="A57" s="8"/>
    </row>
    <row r="58" spans="1:1">
      <c r="A58" s="8"/>
    </row>
    <row r="59" spans="1:1">
      <c r="A59" s="8"/>
    </row>
    <row r="60" spans="1:1">
      <c r="A60" s="8"/>
    </row>
    <row r="61" spans="1:1">
      <c r="A61" s="8"/>
    </row>
    <row r="62" spans="1:1">
      <c r="A62" s="8"/>
    </row>
    <row r="63" spans="1:1">
      <c r="A63" s="8"/>
    </row>
    <row r="64" spans="1:1">
      <c r="A64" s="8"/>
    </row>
    <row r="65" spans="1:1">
      <c r="A65" s="8"/>
    </row>
    <row r="66" spans="1:1">
      <c r="A66" s="8"/>
    </row>
    <row r="67" spans="1:1">
      <c r="A67" s="8"/>
    </row>
    <row r="68" spans="1:1">
      <c r="A68" s="8"/>
    </row>
    <row r="69" spans="1:1">
      <c r="A69" s="8"/>
    </row>
    <row r="70" spans="1:1">
      <c r="A70" s="8"/>
    </row>
    <row r="71" spans="1:1">
      <c r="A71" s="8"/>
    </row>
    <row r="72" spans="1:1">
      <c r="A72" s="8"/>
    </row>
    <row r="73" spans="1:1">
      <c r="A73" s="8"/>
    </row>
    <row r="74" spans="1:1">
      <c r="A74" s="8"/>
    </row>
    <row r="75" spans="1:1">
      <c r="A75" s="8"/>
    </row>
    <row r="76" spans="1:1">
      <c r="A76" s="8"/>
    </row>
    <row r="77" spans="1:1">
      <c r="A77" s="8"/>
    </row>
    <row r="78" spans="1:1">
      <c r="A78" s="8"/>
    </row>
    <row r="79" spans="1:1">
      <c r="A79" s="8"/>
    </row>
    <row r="80" spans="1:1">
      <c r="A80" s="8"/>
    </row>
    <row r="81" spans="1:1">
      <c r="A81" s="8"/>
    </row>
    <row r="82" spans="1:1">
      <c r="A82" s="8"/>
    </row>
    <row r="83" spans="1:1">
      <c r="A83" s="8"/>
    </row>
    <row r="84" spans="1:1">
      <c r="A84" s="8"/>
    </row>
    <row r="85" spans="1:1">
      <c r="A85" s="8"/>
    </row>
    <row r="86" spans="1:1">
      <c r="A86" s="8"/>
    </row>
    <row r="87" spans="1:1">
      <c r="A87" s="8"/>
    </row>
    <row r="88" spans="1:1">
      <c r="A88" s="8"/>
    </row>
    <row r="89" spans="1:1">
      <c r="A89" s="8"/>
    </row>
    <row r="90" spans="1:1">
      <c r="A90" s="8"/>
    </row>
    <row r="91" spans="1:1">
      <c r="A91" s="8"/>
    </row>
    <row r="92" spans="1:1">
      <c r="A92" s="8"/>
    </row>
    <row r="93" spans="1:1">
      <c r="A93" s="8"/>
    </row>
    <row r="94" spans="1:1">
      <c r="A94" s="8"/>
    </row>
    <row r="95" spans="1:1">
      <c r="A95" s="8"/>
    </row>
    <row r="96" spans="1:1">
      <c r="A96" s="8"/>
    </row>
    <row r="97" spans="1:1">
      <c r="A97" s="8"/>
    </row>
    <row r="98" spans="1:1">
      <c r="A98" s="8"/>
    </row>
    <row r="99" spans="1:1">
      <c r="A99" s="8"/>
    </row>
    <row r="100" spans="1:1">
      <c r="A100" s="8"/>
    </row>
    <row r="101" spans="1:1">
      <c r="A101" s="8"/>
    </row>
    <row r="102" spans="1:1">
      <c r="A102" s="8"/>
    </row>
    <row r="103" spans="1:1">
      <c r="A103" s="8"/>
    </row>
    <row r="104" spans="1:1">
      <c r="A104" s="8"/>
    </row>
    <row r="105" spans="1:1">
      <c r="A105" s="8"/>
    </row>
    <row r="106" spans="1:1">
      <c r="A106" s="8"/>
    </row>
    <row r="107" spans="1:1">
      <c r="A107" s="8"/>
    </row>
    <row r="108" spans="1:1">
      <c r="A108" s="8"/>
    </row>
    <row r="109" spans="1:1">
      <c r="A109" s="8"/>
    </row>
    <row r="110" spans="1:1">
      <c r="A110" s="8"/>
    </row>
    <row r="111" spans="1:1">
      <c r="A111" s="8"/>
    </row>
    <row r="112" spans="1:1">
      <c r="A112" s="8"/>
    </row>
    <row r="113" spans="1:1">
      <c r="A113" s="8"/>
    </row>
    <row r="114" spans="1:1">
      <c r="A114" s="8"/>
    </row>
    <row r="115" spans="1:1">
      <c r="A115" s="8"/>
    </row>
    <row r="116" spans="1:1">
      <c r="A116" s="8"/>
    </row>
    <row r="117" spans="1:1">
      <c r="A117" s="8"/>
    </row>
    <row r="118" spans="1:1">
      <c r="A118" s="8"/>
    </row>
    <row r="119" spans="1:1">
      <c r="A119" s="8"/>
    </row>
    <row r="120" spans="1:1">
      <c r="A120" s="8"/>
    </row>
    <row r="121" spans="1:1">
      <c r="A121" s="8"/>
    </row>
    <row r="122" spans="1:1">
      <c r="A122" s="8"/>
    </row>
    <row r="123" spans="1:1">
      <c r="A123" s="8"/>
    </row>
    <row r="124" spans="1:1">
      <c r="A124" s="8"/>
    </row>
    <row r="125" spans="1:1">
      <c r="A125" s="8"/>
    </row>
    <row r="126" spans="1:1">
      <c r="A126" s="8"/>
    </row>
    <row r="127" spans="1:1">
      <c r="A127" s="8"/>
    </row>
    <row r="128" spans="1:1">
      <c r="A128" s="8"/>
    </row>
    <row r="129" spans="1:1">
      <c r="A129" s="8"/>
    </row>
    <row r="130" spans="1:1">
      <c r="A130" s="8"/>
    </row>
    <row r="131" spans="1:1">
      <c r="A131" s="8"/>
    </row>
    <row r="132" spans="1:1">
      <c r="A132" s="8"/>
    </row>
    <row r="133" spans="1:1">
      <c r="A133" s="8"/>
    </row>
    <row r="134" spans="1:1">
      <c r="A134" s="8"/>
    </row>
    <row r="135" spans="1:1">
      <c r="A135" s="8"/>
    </row>
    <row r="136" spans="1:1">
      <c r="A136" s="8"/>
    </row>
    <row r="137" spans="1:1">
      <c r="A137" s="8"/>
    </row>
    <row r="138" spans="1:1">
      <c r="A138" s="8"/>
    </row>
    <row r="139" spans="1:1">
      <c r="A139" s="8"/>
    </row>
    <row r="140" spans="1:1">
      <c r="A140" s="8"/>
    </row>
    <row r="141" spans="1:1">
      <c r="A141" s="8"/>
    </row>
    <row r="142" spans="1:1">
      <c r="A142" s="8"/>
    </row>
    <row r="143" spans="1:1">
      <c r="A143" s="8"/>
    </row>
    <row r="144" spans="1:1">
      <c r="A144" s="8"/>
    </row>
    <row r="145" spans="1:1">
      <c r="A145" s="8"/>
    </row>
    <row r="146" spans="1:1">
      <c r="A146" s="8"/>
    </row>
    <row r="147" spans="1:1">
      <c r="A147" s="8"/>
    </row>
    <row r="148" spans="1:1">
      <c r="A148" s="8"/>
    </row>
    <row r="149" spans="1:1">
      <c r="A149" s="8"/>
    </row>
    <row r="150" spans="1:1">
      <c r="A150" s="8"/>
    </row>
    <row r="151" spans="1:1">
      <c r="A151" s="8"/>
    </row>
    <row r="152" spans="1:1">
      <c r="A152" s="8"/>
    </row>
    <row r="153" spans="1:1">
      <c r="A153" s="8"/>
    </row>
    <row r="154" spans="1:1">
      <c r="A154" s="8"/>
    </row>
    <row r="155" spans="1:1">
      <c r="A155" s="8"/>
    </row>
    <row r="156" spans="1:1">
      <c r="A156" s="8"/>
    </row>
    <row r="157" spans="1:1">
      <c r="A157" s="8"/>
    </row>
    <row r="158" spans="1:1">
      <c r="A158" s="8"/>
    </row>
    <row r="159" spans="1:1">
      <c r="A159" s="8"/>
    </row>
    <row r="160" spans="1:1">
      <c r="A160" s="8"/>
    </row>
    <row r="161" spans="1:1">
      <c r="A161" s="8"/>
    </row>
    <row r="162" spans="1:1">
      <c r="A162" s="8"/>
    </row>
    <row r="163" spans="1:1">
      <c r="A163" s="8"/>
    </row>
    <row r="164" spans="1:1">
      <c r="A164" s="8"/>
    </row>
    <row r="165" spans="1:1">
      <c r="A165" s="8"/>
    </row>
    <row r="166" spans="1:1">
      <c r="A166" s="8"/>
    </row>
    <row r="167" spans="1:1">
      <c r="A167" s="8"/>
    </row>
    <row r="168" spans="1:1">
      <c r="A168" s="8"/>
    </row>
    <row r="169" spans="1:1">
      <c r="A169" s="8"/>
    </row>
    <row r="170" spans="1:1">
      <c r="A170" s="8"/>
    </row>
    <row r="171" spans="1:1">
      <c r="A171" s="8"/>
    </row>
    <row r="172" spans="1:1">
      <c r="A172" s="8"/>
    </row>
    <row r="173" spans="1:1">
      <c r="A173" s="8"/>
    </row>
    <row r="174" spans="1:1">
      <c r="A174" s="8"/>
    </row>
  </sheetData>
  <mergeCells count="7">
    <mergeCell ref="A47:K47"/>
    <mergeCell ref="A48:K48"/>
    <mergeCell ref="B9:K9"/>
    <mergeCell ref="B5:K5"/>
    <mergeCell ref="B6:K6"/>
    <mergeCell ref="B7:K7"/>
    <mergeCell ref="B8:K8"/>
  </mergeCells>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73730"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73731"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73732"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N83"/>
  <sheetViews>
    <sheetView workbookViewId="0"/>
  </sheetViews>
  <sheetFormatPr baseColWidth="10" defaultColWidth="8.83203125" defaultRowHeight="12" x14ac:dyDescent="0"/>
  <cols>
    <col min="1" max="2" width="10.83203125" customWidth="1"/>
    <col min="3" max="3" width="11.5" customWidth="1"/>
    <col min="4" max="4" width="10.83203125" customWidth="1"/>
    <col min="5" max="5" width="11.6640625" customWidth="1"/>
    <col min="6" max="6" width="11.33203125" customWidth="1"/>
    <col min="7" max="7" width="13.16406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467</v>
      </c>
      <c r="C3" s="21"/>
      <c r="D3" s="21"/>
      <c r="E3" s="21"/>
      <c r="F3" s="21"/>
      <c r="G3" s="21"/>
      <c r="H3" s="21"/>
      <c r="I3" s="21"/>
      <c r="J3" s="21"/>
    </row>
    <row r="4" spans="1:14">
      <c r="A4" s="19" t="s">
        <v>774</v>
      </c>
      <c r="B4" s="20" t="s">
        <v>468</v>
      </c>
      <c r="C4" s="21"/>
      <c r="D4" s="21"/>
      <c r="E4" s="21"/>
      <c r="F4" s="21"/>
      <c r="G4" s="21"/>
      <c r="H4" s="21"/>
      <c r="I4" s="21"/>
      <c r="J4" s="21"/>
    </row>
    <row r="5" spans="1:14" ht="15">
      <c r="A5" s="118" t="s">
        <v>779</v>
      </c>
      <c r="B5" s="127" t="s">
        <v>54</v>
      </c>
      <c r="C5" s="21"/>
      <c r="D5" s="21"/>
      <c r="E5" s="21"/>
      <c r="F5" s="21"/>
      <c r="G5" s="21"/>
      <c r="H5" s="21"/>
      <c r="I5" s="21"/>
      <c r="J5" s="21"/>
    </row>
    <row r="6" spans="1:14" ht="31.5" customHeight="1">
      <c r="A6" s="21"/>
      <c r="B6" s="446" t="s">
        <v>605</v>
      </c>
      <c r="C6" s="446"/>
      <c r="D6" s="446"/>
      <c r="E6" s="446"/>
      <c r="F6" s="446"/>
      <c r="G6" s="446"/>
      <c r="H6" s="446"/>
      <c r="I6" s="446"/>
      <c r="J6" s="446"/>
    </row>
    <row r="7" spans="1:14" ht="64.5" customHeight="1">
      <c r="A7" s="19"/>
      <c r="B7" s="21"/>
      <c r="C7" s="21"/>
      <c r="D7" s="21"/>
      <c r="E7" s="21"/>
      <c r="F7" s="21"/>
      <c r="G7" s="21"/>
      <c r="H7" s="21"/>
      <c r="I7" s="21"/>
      <c r="J7" s="21"/>
    </row>
    <row r="8" spans="1:14" ht="31.5" customHeight="1">
      <c r="A8" s="19"/>
      <c r="B8" s="446" t="s">
        <v>55</v>
      </c>
      <c r="C8" s="446"/>
      <c r="D8" s="446"/>
      <c r="E8" s="446"/>
      <c r="F8" s="446"/>
      <c r="G8" s="446"/>
      <c r="H8" s="446"/>
      <c r="I8" s="446"/>
      <c r="J8" s="446"/>
    </row>
    <row r="9" spans="1:14" ht="39" customHeight="1">
      <c r="A9" s="19"/>
      <c r="B9" s="354"/>
      <c r="C9" s="98"/>
      <c r="D9" s="98"/>
      <c r="E9" s="98"/>
      <c r="F9" s="98"/>
      <c r="G9" s="98"/>
      <c r="H9" s="98"/>
      <c r="I9" s="98"/>
      <c r="J9" s="98"/>
    </row>
    <row r="10" spans="1:14" ht="78" customHeight="1">
      <c r="A10" s="19"/>
      <c r="B10" s="21"/>
      <c r="C10" s="21"/>
      <c r="D10" s="21"/>
      <c r="E10" s="21"/>
      <c r="F10" s="21"/>
      <c r="G10" s="21"/>
      <c r="H10" s="21"/>
      <c r="I10" s="21"/>
      <c r="J10" s="21"/>
    </row>
    <row r="11" spans="1:14" ht="35.25" customHeight="1">
      <c r="A11" s="19"/>
      <c r="B11" s="451" t="s">
        <v>212</v>
      </c>
      <c r="C11" s="451"/>
      <c r="D11" s="451"/>
      <c r="E11" s="451"/>
      <c r="F11" s="451"/>
      <c r="G11" s="451"/>
      <c r="H11" s="451"/>
      <c r="I11" s="451"/>
      <c r="J11" s="451"/>
    </row>
    <row r="12" spans="1:14" ht="86.25" customHeight="1">
      <c r="A12" s="19"/>
      <c r="B12" s="126"/>
      <c r="C12" s="21"/>
      <c r="D12" s="21"/>
      <c r="E12" s="21"/>
      <c r="F12" s="21"/>
      <c r="G12" s="21"/>
      <c r="H12" s="21"/>
      <c r="I12" s="21"/>
      <c r="J12" s="21"/>
    </row>
    <row r="13" spans="1:14" ht="66" customHeight="1">
      <c r="A13" s="19"/>
      <c r="B13" s="452" t="s">
        <v>213</v>
      </c>
      <c r="C13" s="453"/>
      <c r="D13" s="453"/>
      <c r="E13" s="453"/>
      <c r="F13" s="453"/>
      <c r="G13" s="453"/>
      <c r="H13" s="453"/>
      <c r="I13" s="453"/>
      <c r="J13" s="453"/>
    </row>
    <row r="14" spans="1:14">
      <c r="A14" s="19" t="s">
        <v>635</v>
      </c>
      <c r="B14" s="61" t="s">
        <v>469</v>
      </c>
      <c r="C14" s="61">
        <v>2</v>
      </c>
      <c r="D14" s="177" t="s">
        <v>881</v>
      </c>
      <c r="E14" s="21"/>
      <c r="F14" s="21"/>
      <c r="G14" s="21"/>
      <c r="H14" s="21"/>
      <c r="I14" s="21"/>
      <c r="J14" s="21"/>
    </row>
    <row r="15" spans="1:14" ht="45" customHeight="1">
      <c r="A15" s="22" t="s">
        <v>1090</v>
      </c>
      <c r="B15" s="22" t="s">
        <v>1098</v>
      </c>
      <c r="C15" s="31" t="s">
        <v>56</v>
      </c>
      <c r="D15" s="31" t="s">
        <v>299</v>
      </c>
      <c r="E15" s="31" t="s">
        <v>300</v>
      </c>
      <c r="F15" s="31" t="s">
        <v>301</v>
      </c>
      <c r="G15" s="31" t="s">
        <v>302</v>
      </c>
      <c r="H15" s="22"/>
      <c r="I15" s="22"/>
      <c r="J15" s="22"/>
    </row>
    <row r="16" spans="1:14">
      <c r="A16" s="26">
        <v>34337</v>
      </c>
      <c r="B16" s="52">
        <v>31.875</v>
      </c>
      <c r="C16" s="28"/>
      <c r="D16" s="28"/>
      <c r="E16" s="28"/>
      <c r="F16" s="28"/>
      <c r="G16" s="28"/>
      <c r="H16" s="72"/>
      <c r="I16" s="28"/>
      <c r="J16" s="28"/>
    </row>
    <row r="17" spans="1:10">
      <c r="A17" s="26">
        <v>34338</v>
      </c>
      <c r="B17" s="52">
        <v>32.125</v>
      </c>
      <c r="C17" s="28"/>
      <c r="D17" s="28"/>
      <c r="E17" s="28"/>
      <c r="F17" s="28"/>
      <c r="G17" s="28"/>
      <c r="H17" s="72"/>
      <c r="I17" s="28"/>
      <c r="J17" s="28"/>
    </row>
    <row r="18" spans="1:10">
      <c r="A18" s="27">
        <v>34339</v>
      </c>
      <c r="B18" s="55">
        <v>32.3125</v>
      </c>
      <c r="C18" s="29"/>
      <c r="D18" s="29"/>
      <c r="E18" s="29"/>
      <c r="F18" s="29"/>
      <c r="G18" s="29"/>
      <c r="H18" s="73"/>
      <c r="I18" s="29"/>
      <c r="J18" s="29"/>
    </row>
    <row r="19" spans="1:10">
      <c r="A19" s="27">
        <v>34340</v>
      </c>
      <c r="B19" s="55">
        <v>32.125</v>
      </c>
      <c r="C19" s="29"/>
      <c r="D19" s="29"/>
      <c r="E19" s="29"/>
      <c r="F19" s="29"/>
      <c r="G19" s="29"/>
      <c r="H19" s="73"/>
      <c r="I19" s="29"/>
      <c r="J19" s="29"/>
    </row>
    <row r="20" spans="1:10">
      <c r="A20" s="26">
        <v>34341</v>
      </c>
      <c r="B20" s="52">
        <v>31.875</v>
      </c>
      <c r="C20" s="28">
        <f>SUM(B16:B20)/5</f>
        <v>32.0625</v>
      </c>
      <c r="D20" s="52">
        <f>STDEVP(B16:B20)</f>
        <v>0.16770509831248423</v>
      </c>
      <c r="E20" s="52">
        <f>D20*$C$14</f>
        <v>0.33541019662496846</v>
      </c>
      <c r="F20" s="52">
        <f>C20+E20</f>
        <v>32.39791019662497</v>
      </c>
      <c r="G20" s="52">
        <f>C20-E20</f>
        <v>31.72708980337503</v>
      </c>
      <c r="H20" s="72"/>
      <c r="I20" s="28"/>
      <c r="J20" s="28"/>
    </row>
    <row r="21" spans="1:10">
      <c r="A21" s="26">
        <v>34344</v>
      </c>
      <c r="B21" s="52">
        <v>32.3125</v>
      </c>
      <c r="C21" s="52">
        <f t="shared" ref="C21:C71" si="0">SUM(B17:B21)/5</f>
        <v>32.15</v>
      </c>
      <c r="D21" s="52">
        <f t="shared" ref="D21:D71" si="1">STDEVP(B17:B21)</f>
        <v>0.16105123408406405</v>
      </c>
      <c r="E21" s="52">
        <f t="shared" ref="E21:E71" si="2">D21*$C$14</f>
        <v>0.3221024681681281</v>
      </c>
      <c r="F21" s="52">
        <f t="shared" ref="F21:F71" si="3">C21+E21</f>
        <v>32.472102468168124</v>
      </c>
      <c r="G21" s="52">
        <f t="shared" ref="G21:G71" si="4">C21-E21</f>
        <v>31.827897531831869</v>
      </c>
      <c r="H21" s="72"/>
      <c r="I21" s="28"/>
      <c r="J21" s="28"/>
    </row>
    <row r="22" spans="1:10">
      <c r="A22" s="27">
        <v>34345</v>
      </c>
      <c r="B22" s="55">
        <v>32.25</v>
      </c>
      <c r="C22" s="55">
        <f t="shared" si="0"/>
        <v>32.174999999999997</v>
      </c>
      <c r="D22" s="55">
        <f t="shared" si="1"/>
        <v>0.16488632447841151</v>
      </c>
      <c r="E22" s="55">
        <f t="shared" si="2"/>
        <v>0.32977264895682301</v>
      </c>
      <c r="F22" s="55">
        <f t="shared" si="3"/>
        <v>32.504772648956823</v>
      </c>
      <c r="G22" s="55">
        <f t="shared" si="4"/>
        <v>31.845227351043174</v>
      </c>
      <c r="H22" s="73"/>
      <c r="I22" s="29"/>
      <c r="J22" s="29"/>
    </row>
    <row r="23" spans="1:10">
      <c r="A23" s="27">
        <v>34346</v>
      </c>
      <c r="B23" s="55">
        <v>32.4375</v>
      </c>
      <c r="C23" s="55">
        <f t="shared" si="0"/>
        <v>32.200000000000003</v>
      </c>
      <c r="D23" s="55">
        <f t="shared" si="1"/>
        <v>0.19121323175972943</v>
      </c>
      <c r="E23" s="55">
        <f t="shared" si="2"/>
        <v>0.38242646351945886</v>
      </c>
      <c r="F23" s="55">
        <f t="shared" si="3"/>
        <v>32.582426463519461</v>
      </c>
      <c r="G23" s="55">
        <f t="shared" si="4"/>
        <v>31.817573536480545</v>
      </c>
      <c r="H23" s="73"/>
      <c r="I23" s="29"/>
      <c r="J23" s="29"/>
    </row>
    <row r="24" spans="1:10">
      <c r="A24" s="26">
        <v>34347</v>
      </c>
      <c r="B24" s="52">
        <v>32.8125</v>
      </c>
      <c r="C24" s="52">
        <f t="shared" si="0"/>
        <v>32.337499999999999</v>
      </c>
      <c r="D24" s="52">
        <f t="shared" si="1"/>
        <v>0.30259296092275512</v>
      </c>
      <c r="E24" s="52">
        <f t="shared" si="2"/>
        <v>0.60518592184551023</v>
      </c>
      <c r="F24" s="52">
        <f t="shared" si="3"/>
        <v>32.942685921845509</v>
      </c>
      <c r="G24" s="52">
        <f t="shared" si="4"/>
        <v>31.732314078154488</v>
      </c>
      <c r="H24" s="72"/>
      <c r="I24" s="28"/>
      <c r="J24" s="28"/>
    </row>
    <row r="25" spans="1:10">
      <c r="A25" s="26">
        <v>34348</v>
      </c>
      <c r="B25" s="52">
        <v>32.375</v>
      </c>
      <c r="C25" s="52">
        <f t="shared" si="0"/>
        <v>32.4375</v>
      </c>
      <c r="D25" s="52">
        <f t="shared" si="1"/>
        <v>0.19764235376052372</v>
      </c>
      <c r="E25" s="52">
        <f t="shared" si="2"/>
        <v>0.39528470752104744</v>
      </c>
      <c r="F25" s="52">
        <f t="shared" si="3"/>
        <v>32.83278470752105</v>
      </c>
      <c r="G25" s="52">
        <f t="shared" si="4"/>
        <v>32.04221529247895</v>
      </c>
      <c r="H25" s="72"/>
      <c r="I25" s="28"/>
      <c r="J25" s="28"/>
    </row>
    <row r="26" spans="1:10">
      <c r="A26" s="27">
        <v>34351</v>
      </c>
      <c r="B26" s="55">
        <v>32.5</v>
      </c>
      <c r="C26" s="55">
        <f t="shared" si="0"/>
        <v>32.475000000000001</v>
      </c>
      <c r="D26" s="55">
        <f t="shared" si="1"/>
        <v>0.18791620472966136</v>
      </c>
      <c r="E26" s="55">
        <f t="shared" si="2"/>
        <v>0.37583240945932272</v>
      </c>
      <c r="F26" s="55">
        <f t="shared" si="3"/>
        <v>32.850832409459322</v>
      </c>
      <c r="G26" s="55">
        <f t="shared" si="4"/>
        <v>32.099167590540681</v>
      </c>
      <c r="H26" s="73"/>
      <c r="I26" s="29"/>
      <c r="J26" s="29"/>
    </row>
    <row r="27" spans="1:10">
      <c r="A27" s="27">
        <v>34352</v>
      </c>
      <c r="B27" s="55">
        <v>32.4375</v>
      </c>
      <c r="C27" s="55">
        <f t="shared" si="0"/>
        <v>32.512500000000003</v>
      </c>
      <c r="D27" s="55">
        <f t="shared" si="1"/>
        <v>0.15512092057488569</v>
      </c>
      <c r="E27" s="55">
        <f t="shared" si="2"/>
        <v>0.31024184114977138</v>
      </c>
      <c r="F27" s="55">
        <f t="shared" si="3"/>
        <v>32.822741841149771</v>
      </c>
      <c r="G27" s="55">
        <f t="shared" si="4"/>
        <v>32.202258158850235</v>
      </c>
      <c r="H27" s="73"/>
      <c r="I27" s="29"/>
      <c r="J27" s="29"/>
    </row>
    <row r="28" spans="1:10">
      <c r="A28" s="26">
        <v>34353</v>
      </c>
      <c r="B28" s="52">
        <v>32.75</v>
      </c>
      <c r="C28" s="52">
        <f t="shared" si="0"/>
        <v>32.575000000000003</v>
      </c>
      <c r="D28" s="52">
        <f t="shared" si="1"/>
        <v>0.17410485346480148</v>
      </c>
      <c r="E28" s="52">
        <f t="shared" si="2"/>
        <v>0.34820970692960296</v>
      </c>
      <c r="F28" s="52">
        <f t="shared" si="3"/>
        <v>32.923209706929605</v>
      </c>
      <c r="G28" s="52">
        <f t="shared" si="4"/>
        <v>32.226790293070401</v>
      </c>
      <c r="H28" s="72"/>
      <c r="I28" s="28"/>
      <c r="J28" s="28"/>
    </row>
    <row r="29" spans="1:10">
      <c r="A29" s="26">
        <v>34354</v>
      </c>
      <c r="B29" s="52">
        <v>33.1875</v>
      </c>
      <c r="C29" s="52">
        <f t="shared" si="0"/>
        <v>32.65</v>
      </c>
      <c r="D29" s="52">
        <f t="shared" si="1"/>
        <v>0.29738443133425796</v>
      </c>
      <c r="E29" s="52">
        <f t="shared" si="2"/>
        <v>0.59476886266851592</v>
      </c>
      <c r="F29" s="52">
        <f t="shared" si="3"/>
        <v>33.244768862668515</v>
      </c>
      <c r="G29" s="52">
        <f t="shared" si="4"/>
        <v>32.055231137331482</v>
      </c>
      <c r="H29" s="72"/>
      <c r="I29" s="28"/>
      <c r="J29" s="28"/>
    </row>
    <row r="30" spans="1:10">
      <c r="A30" s="27">
        <v>34355</v>
      </c>
      <c r="B30" s="55">
        <v>33.0625</v>
      </c>
      <c r="C30" s="55">
        <f t="shared" si="0"/>
        <v>32.787500000000001</v>
      </c>
      <c r="D30" s="55">
        <f t="shared" si="1"/>
        <v>0.29738443133425796</v>
      </c>
      <c r="E30" s="55">
        <f t="shared" si="2"/>
        <v>0.59476886266851592</v>
      </c>
      <c r="F30" s="55">
        <f t="shared" si="3"/>
        <v>33.382268862668518</v>
      </c>
      <c r="G30" s="55">
        <f t="shared" si="4"/>
        <v>32.192731137331485</v>
      </c>
      <c r="H30" s="73"/>
      <c r="I30" s="29"/>
      <c r="J30" s="29"/>
    </row>
    <row r="31" spans="1:10">
      <c r="A31" s="27">
        <v>34358</v>
      </c>
      <c r="B31" s="55">
        <v>33.0625</v>
      </c>
      <c r="C31" s="55">
        <f t="shared" si="0"/>
        <v>32.9</v>
      </c>
      <c r="D31" s="55">
        <f t="shared" si="1"/>
        <v>0.27271780286589287</v>
      </c>
      <c r="E31" s="55">
        <f t="shared" si="2"/>
        <v>0.54543560573178573</v>
      </c>
      <c r="F31" s="55">
        <f t="shared" si="3"/>
        <v>33.445435605731781</v>
      </c>
      <c r="G31" s="55">
        <f t="shared" si="4"/>
        <v>32.354564394268216</v>
      </c>
      <c r="H31" s="73"/>
      <c r="I31" s="29"/>
      <c r="J31" s="29"/>
    </row>
    <row r="32" spans="1:10">
      <c r="A32" s="26">
        <v>34359</v>
      </c>
      <c r="B32" s="52">
        <v>33.125</v>
      </c>
      <c r="C32" s="52">
        <f t="shared" si="0"/>
        <v>33.037500000000001</v>
      </c>
      <c r="D32" s="52">
        <f t="shared" si="1"/>
        <v>0.15103807466993216</v>
      </c>
      <c r="E32" s="52">
        <f t="shared" si="2"/>
        <v>0.30207614933986432</v>
      </c>
      <c r="F32" s="52">
        <f t="shared" si="3"/>
        <v>33.339576149339862</v>
      </c>
      <c r="G32" s="52">
        <f t="shared" si="4"/>
        <v>32.73542385066014</v>
      </c>
      <c r="H32" s="72"/>
      <c r="I32" s="28"/>
      <c r="J32" s="28"/>
    </row>
    <row r="33" spans="1:10">
      <c r="A33" s="26">
        <v>34360</v>
      </c>
      <c r="B33" s="52">
        <v>33.0625</v>
      </c>
      <c r="C33" s="52">
        <f t="shared" si="0"/>
        <v>33.1</v>
      </c>
      <c r="D33" s="52">
        <f t="shared" si="1"/>
        <v>0.05</v>
      </c>
      <c r="E33" s="52">
        <f t="shared" si="2"/>
        <v>0.1</v>
      </c>
      <c r="F33" s="52">
        <f t="shared" si="3"/>
        <v>33.200000000000003</v>
      </c>
      <c r="G33" s="52">
        <f t="shared" si="4"/>
        <v>33</v>
      </c>
      <c r="H33" s="72"/>
      <c r="I33" s="28"/>
      <c r="J33" s="28"/>
    </row>
    <row r="34" spans="1:10">
      <c r="A34" s="27">
        <v>34361</v>
      </c>
      <c r="B34" s="55">
        <v>32.8125</v>
      </c>
      <c r="C34" s="55">
        <f t="shared" si="0"/>
        <v>33.024999999999999</v>
      </c>
      <c r="D34" s="55">
        <f t="shared" si="1"/>
        <v>0.10897247358851683</v>
      </c>
      <c r="E34" s="55">
        <f t="shared" si="2"/>
        <v>0.21794494717703367</v>
      </c>
      <c r="F34" s="55">
        <f t="shared" si="3"/>
        <v>33.24294494717703</v>
      </c>
      <c r="G34" s="55">
        <f t="shared" si="4"/>
        <v>32.807055052822967</v>
      </c>
      <c r="H34" s="73"/>
      <c r="I34" s="29"/>
      <c r="J34" s="29"/>
    </row>
    <row r="35" spans="1:10">
      <c r="A35" s="27">
        <v>34362</v>
      </c>
      <c r="B35" s="55">
        <v>32.875</v>
      </c>
      <c r="C35" s="55">
        <f t="shared" si="0"/>
        <v>32.987499999999997</v>
      </c>
      <c r="D35" s="55">
        <f t="shared" si="1"/>
        <v>0.12119199643540822</v>
      </c>
      <c r="E35" s="55">
        <f t="shared" si="2"/>
        <v>0.24238399287081644</v>
      </c>
      <c r="F35" s="55">
        <f t="shared" si="3"/>
        <v>33.229883992870811</v>
      </c>
      <c r="G35" s="55">
        <f t="shared" si="4"/>
        <v>32.745116007129184</v>
      </c>
      <c r="H35" s="73"/>
      <c r="I35" s="29"/>
      <c r="J35" s="29"/>
    </row>
    <row r="36" spans="1:10">
      <c r="A36" s="26">
        <v>34365</v>
      </c>
      <c r="B36" s="52">
        <v>33.25</v>
      </c>
      <c r="C36" s="52">
        <f t="shared" si="0"/>
        <v>33.024999999999999</v>
      </c>
      <c r="D36" s="52">
        <f t="shared" si="1"/>
        <v>0.16105123408406408</v>
      </c>
      <c r="E36" s="52">
        <f t="shared" si="2"/>
        <v>0.32210246816812815</v>
      </c>
      <c r="F36" s="52">
        <f t="shared" si="3"/>
        <v>33.347102468168124</v>
      </c>
      <c r="G36" s="52">
        <f t="shared" si="4"/>
        <v>32.702897531831873</v>
      </c>
      <c r="H36" s="72"/>
      <c r="I36" s="28"/>
      <c r="J36" s="28"/>
    </row>
    <row r="37" spans="1:10">
      <c r="A37" s="26">
        <v>34366</v>
      </c>
      <c r="B37" s="52">
        <v>33.125</v>
      </c>
      <c r="C37" s="52">
        <f t="shared" si="0"/>
        <v>33.024999999999999</v>
      </c>
      <c r="D37" s="52">
        <f t="shared" si="1"/>
        <v>0.16105123408406408</v>
      </c>
      <c r="E37" s="52">
        <f t="shared" si="2"/>
        <v>0.32210246816812815</v>
      </c>
      <c r="F37" s="52">
        <f t="shared" si="3"/>
        <v>33.347102468168124</v>
      </c>
      <c r="G37" s="52">
        <f t="shared" si="4"/>
        <v>32.702897531831873</v>
      </c>
      <c r="H37" s="72"/>
      <c r="I37" s="28"/>
      <c r="J37" s="28"/>
    </row>
    <row r="38" spans="1:10">
      <c r="A38" s="27">
        <v>34367</v>
      </c>
      <c r="B38" s="55">
        <v>33.5625</v>
      </c>
      <c r="C38" s="55">
        <f t="shared" si="0"/>
        <v>33.125</v>
      </c>
      <c r="D38" s="55">
        <f t="shared" si="1"/>
        <v>0.270993542358485</v>
      </c>
      <c r="E38" s="55">
        <f t="shared" si="2"/>
        <v>0.54198708471696999</v>
      </c>
      <c r="F38" s="55">
        <f t="shared" si="3"/>
        <v>33.666987084716972</v>
      </c>
      <c r="G38" s="55">
        <f t="shared" si="4"/>
        <v>32.583012915283028</v>
      </c>
      <c r="H38" s="73"/>
      <c r="I38" s="29"/>
      <c r="J38" s="29"/>
    </row>
    <row r="39" spans="1:10">
      <c r="A39" s="27">
        <v>34368</v>
      </c>
      <c r="B39" s="55">
        <v>33.5</v>
      </c>
      <c r="C39" s="55">
        <f t="shared" si="0"/>
        <v>33.262500000000003</v>
      </c>
      <c r="D39" s="55">
        <f t="shared" si="1"/>
        <v>0.25124689052802229</v>
      </c>
      <c r="E39" s="55">
        <f t="shared" si="2"/>
        <v>0.50249378105604459</v>
      </c>
      <c r="F39" s="55">
        <f t="shared" si="3"/>
        <v>33.764993781056049</v>
      </c>
      <c r="G39" s="55">
        <f t="shared" si="4"/>
        <v>32.760006218943957</v>
      </c>
      <c r="H39" s="73"/>
      <c r="I39" s="29"/>
      <c r="J39" s="29"/>
    </row>
    <row r="40" spans="1:10">
      <c r="A40" s="26">
        <v>34369</v>
      </c>
      <c r="B40" s="52">
        <v>32.75</v>
      </c>
      <c r="C40" s="52">
        <f t="shared" si="0"/>
        <v>33.237499999999997</v>
      </c>
      <c r="D40" s="52">
        <f t="shared" si="1"/>
        <v>0.29154759474226499</v>
      </c>
      <c r="E40" s="52">
        <f t="shared" si="2"/>
        <v>0.58309518948452999</v>
      </c>
      <c r="F40" s="52">
        <f t="shared" si="3"/>
        <v>33.820595189484528</v>
      </c>
      <c r="G40" s="52">
        <f t="shared" si="4"/>
        <v>32.654404810515466</v>
      </c>
      <c r="H40" s="72"/>
      <c r="I40" s="28"/>
      <c r="J40" s="28"/>
    </row>
    <row r="41" spans="1:10">
      <c r="A41" s="26">
        <v>34372</v>
      </c>
      <c r="B41" s="52">
        <v>32.6875</v>
      </c>
      <c r="C41" s="52">
        <f t="shared" si="0"/>
        <v>33.125</v>
      </c>
      <c r="D41" s="52">
        <f t="shared" si="1"/>
        <v>0.3644344934278313</v>
      </c>
      <c r="E41" s="52">
        <f t="shared" si="2"/>
        <v>0.72886898685566259</v>
      </c>
      <c r="F41" s="52">
        <f t="shared" si="3"/>
        <v>33.853868986855666</v>
      </c>
      <c r="G41" s="52">
        <f t="shared" si="4"/>
        <v>32.396131013144334</v>
      </c>
      <c r="H41" s="72"/>
      <c r="I41" s="28"/>
      <c r="J41" s="28"/>
    </row>
    <row r="42" spans="1:10">
      <c r="A42" s="27">
        <v>34373</v>
      </c>
      <c r="B42" s="55">
        <v>32.6875</v>
      </c>
      <c r="C42" s="55">
        <f t="shared" si="0"/>
        <v>33.037500000000001</v>
      </c>
      <c r="D42" s="55">
        <f t="shared" si="1"/>
        <v>0.40427404071990569</v>
      </c>
      <c r="E42" s="55">
        <f t="shared" si="2"/>
        <v>0.80854808143981138</v>
      </c>
      <c r="F42" s="55">
        <f t="shared" si="3"/>
        <v>33.846048081439811</v>
      </c>
      <c r="G42" s="55">
        <f t="shared" si="4"/>
        <v>32.228951918560192</v>
      </c>
      <c r="H42" s="73"/>
      <c r="I42" s="29"/>
      <c r="J42" s="29"/>
    </row>
    <row r="43" spans="1:10">
      <c r="A43" s="27">
        <v>34374</v>
      </c>
      <c r="B43" s="55">
        <v>33</v>
      </c>
      <c r="C43" s="55">
        <f t="shared" si="0"/>
        <v>32.924999999999997</v>
      </c>
      <c r="D43" s="55">
        <f t="shared" si="1"/>
        <v>0.30973779233409671</v>
      </c>
      <c r="E43" s="55">
        <f t="shared" si="2"/>
        <v>0.61947558466819341</v>
      </c>
      <c r="F43" s="55">
        <f t="shared" si="3"/>
        <v>33.544475584668191</v>
      </c>
      <c r="G43" s="55">
        <f t="shared" si="4"/>
        <v>32.305524415331803</v>
      </c>
      <c r="H43" s="73"/>
      <c r="I43" s="29"/>
      <c r="J43" s="29"/>
    </row>
    <row r="44" spans="1:10">
      <c r="A44" s="26">
        <v>34375</v>
      </c>
      <c r="B44" s="52">
        <v>32.9375</v>
      </c>
      <c r="C44" s="52">
        <f t="shared" si="0"/>
        <v>32.8125</v>
      </c>
      <c r="D44" s="52">
        <f t="shared" si="1"/>
        <v>0.13110110602126895</v>
      </c>
      <c r="E44" s="52">
        <f t="shared" si="2"/>
        <v>0.26220221204253791</v>
      </c>
      <c r="F44" s="52">
        <f t="shared" si="3"/>
        <v>33.074702212042538</v>
      </c>
      <c r="G44" s="52">
        <f t="shared" si="4"/>
        <v>32.550297787957462</v>
      </c>
      <c r="H44" s="72"/>
      <c r="I44" s="28"/>
      <c r="J44" s="28"/>
    </row>
    <row r="45" spans="1:10">
      <c r="A45" s="26">
        <v>34376</v>
      </c>
      <c r="B45" s="52">
        <v>33.25</v>
      </c>
      <c r="C45" s="52">
        <f t="shared" si="0"/>
        <v>32.912500000000001</v>
      </c>
      <c r="D45" s="52">
        <f t="shared" si="1"/>
        <v>0.21139418156609704</v>
      </c>
      <c r="E45" s="52">
        <f t="shared" si="2"/>
        <v>0.42278836313219409</v>
      </c>
      <c r="F45" s="52">
        <f t="shared" si="3"/>
        <v>33.335288363132193</v>
      </c>
      <c r="G45" s="52">
        <f t="shared" si="4"/>
        <v>32.48971163686781</v>
      </c>
      <c r="H45" s="72"/>
      <c r="I45" s="28"/>
      <c r="J45" s="28"/>
    </row>
    <row r="46" spans="1:10">
      <c r="A46" s="27">
        <v>34379</v>
      </c>
      <c r="B46" s="55">
        <v>33.125</v>
      </c>
      <c r="C46" s="55">
        <f t="shared" si="0"/>
        <v>33</v>
      </c>
      <c r="D46" s="55">
        <f t="shared" si="1"/>
        <v>0.18957188610128875</v>
      </c>
      <c r="E46" s="55">
        <f t="shared" si="2"/>
        <v>0.3791437722025775</v>
      </c>
      <c r="F46" s="55">
        <f t="shared" si="3"/>
        <v>33.379143772202575</v>
      </c>
      <c r="G46" s="55">
        <f t="shared" si="4"/>
        <v>32.620856227797425</v>
      </c>
      <c r="H46" s="73"/>
      <c r="I46" s="29"/>
      <c r="J46" s="29"/>
    </row>
    <row r="47" spans="1:10">
      <c r="A47" s="27">
        <v>34380</v>
      </c>
      <c r="B47" s="55">
        <v>33.3125</v>
      </c>
      <c r="C47" s="55">
        <f t="shared" si="0"/>
        <v>33.125</v>
      </c>
      <c r="D47" s="55">
        <f t="shared" si="1"/>
        <v>0.14252192813739226</v>
      </c>
      <c r="E47" s="55">
        <f t="shared" si="2"/>
        <v>0.28504385627478451</v>
      </c>
      <c r="F47" s="55">
        <f t="shared" si="3"/>
        <v>33.410043856274783</v>
      </c>
      <c r="G47" s="55">
        <f t="shared" si="4"/>
        <v>32.839956143725217</v>
      </c>
      <c r="H47" s="73"/>
      <c r="I47" s="29"/>
      <c r="J47" s="29"/>
    </row>
    <row r="48" spans="1:10">
      <c r="A48" s="26">
        <v>34381</v>
      </c>
      <c r="B48" s="52">
        <v>33.375</v>
      </c>
      <c r="C48" s="52">
        <f t="shared" si="0"/>
        <v>33.200000000000003</v>
      </c>
      <c r="D48" s="52">
        <f t="shared" si="1"/>
        <v>0.15512092057488569</v>
      </c>
      <c r="E48" s="52">
        <f t="shared" si="2"/>
        <v>0.31024184114977138</v>
      </c>
      <c r="F48" s="52">
        <f t="shared" si="3"/>
        <v>33.510241841149771</v>
      </c>
      <c r="G48" s="52">
        <f t="shared" si="4"/>
        <v>32.889758158850235</v>
      </c>
      <c r="H48" s="72"/>
      <c r="I48" s="28"/>
      <c r="J48" s="28"/>
    </row>
    <row r="49" spans="1:10">
      <c r="A49" s="69">
        <v>34382</v>
      </c>
      <c r="B49" s="52">
        <v>33.375</v>
      </c>
      <c r="C49" s="52">
        <f t="shared" si="0"/>
        <v>33.287500000000001</v>
      </c>
      <c r="D49" s="52">
        <f t="shared" si="1"/>
        <v>9.3541434669348528E-2</v>
      </c>
      <c r="E49" s="52">
        <f t="shared" si="2"/>
        <v>0.18708286933869706</v>
      </c>
      <c r="F49" s="52">
        <f t="shared" si="3"/>
        <v>33.474582869338697</v>
      </c>
      <c r="G49" s="52">
        <f t="shared" si="4"/>
        <v>33.100417130661306</v>
      </c>
      <c r="H49" s="72"/>
      <c r="I49" s="28"/>
      <c r="J49" s="28"/>
    </row>
    <row r="50" spans="1:10">
      <c r="A50" s="68">
        <v>34383</v>
      </c>
      <c r="B50" s="55">
        <v>33.0625</v>
      </c>
      <c r="C50" s="55">
        <f t="shared" si="0"/>
        <v>33.25</v>
      </c>
      <c r="D50" s="55">
        <f t="shared" si="1"/>
        <v>0.13110110602126895</v>
      </c>
      <c r="E50" s="55">
        <f t="shared" si="2"/>
        <v>0.26220221204253791</v>
      </c>
      <c r="F50" s="55">
        <f t="shared" si="3"/>
        <v>33.512202212042538</v>
      </c>
      <c r="G50" s="55">
        <f t="shared" si="4"/>
        <v>32.987797787957462</v>
      </c>
      <c r="H50" s="73"/>
      <c r="I50" s="29"/>
      <c r="J50" s="29"/>
    </row>
    <row r="51" spans="1:10">
      <c r="A51" s="68">
        <v>34387</v>
      </c>
      <c r="B51" s="55">
        <v>33.3125</v>
      </c>
      <c r="C51" s="55">
        <f t="shared" si="0"/>
        <v>33.287500000000001</v>
      </c>
      <c r="D51" s="55">
        <f t="shared" si="1"/>
        <v>0.11592023119369631</v>
      </c>
      <c r="E51" s="55">
        <f t="shared" si="2"/>
        <v>0.23184046238739262</v>
      </c>
      <c r="F51" s="55">
        <f t="shared" si="3"/>
        <v>33.519340462387397</v>
      </c>
      <c r="G51" s="55">
        <f t="shared" si="4"/>
        <v>33.055659537612605</v>
      </c>
      <c r="H51" s="73"/>
      <c r="I51" s="29"/>
      <c r="J51" s="29"/>
    </row>
    <row r="52" spans="1:10">
      <c r="A52" s="69">
        <v>34388</v>
      </c>
      <c r="B52" s="52">
        <v>33.25</v>
      </c>
      <c r="C52" s="52">
        <f t="shared" si="0"/>
        <v>33.274999999999999</v>
      </c>
      <c r="D52" s="52">
        <f t="shared" si="1"/>
        <v>0.11592023119369631</v>
      </c>
      <c r="E52" s="52">
        <f t="shared" si="2"/>
        <v>0.23184046238739262</v>
      </c>
      <c r="F52" s="52">
        <f t="shared" si="3"/>
        <v>33.506840462387395</v>
      </c>
      <c r="G52" s="52">
        <f t="shared" si="4"/>
        <v>33.043159537612603</v>
      </c>
      <c r="H52" s="72"/>
      <c r="I52" s="28"/>
      <c r="J52" s="28"/>
    </row>
    <row r="53" spans="1:10">
      <c r="A53" s="69">
        <v>34389</v>
      </c>
      <c r="B53" s="52">
        <v>32.625</v>
      </c>
      <c r="C53" s="52">
        <f t="shared" si="0"/>
        <v>33.125</v>
      </c>
      <c r="D53" s="52">
        <f t="shared" si="1"/>
        <v>0.270993542358485</v>
      </c>
      <c r="E53" s="52">
        <f t="shared" si="2"/>
        <v>0.54198708471696999</v>
      </c>
      <c r="F53" s="52">
        <f t="shared" si="3"/>
        <v>33.666987084716972</v>
      </c>
      <c r="G53" s="52">
        <f t="shared" si="4"/>
        <v>32.583012915283028</v>
      </c>
      <c r="H53" s="72"/>
      <c r="I53" s="28"/>
      <c r="J53" s="28"/>
    </row>
    <row r="54" spans="1:10">
      <c r="A54" s="68">
        <v>34390</v>
      </c>
      <c r="B54" s="55">
        <v>32.75</v>
      </c>
      <c r="C54" s="55">
        <f t="shared" si="0"/>
        <v>33</v>
      </c>
      <c r="D54" s="55">
        <f t="shared" si="1"/>
        <v>0.270993542358485</v>
      </c>
      <c r="E54" s="55">
        <f t="shared" si="2"/>
        <v>0.54198708471696999</v>
      </c>
      <c r="F54" s="55">
        <f t="shared" si="3"/>
        <v>33.541987084716972</v>
      </c>
      <c r="G54" s="55">
        <f t="shared" si="4"/>
        <v>32.458012915283028</v>
      </c>
      <c r="H54" s="73"/>
      <c r="I54" s="29"/>
      <c r="J54" s="29"/>
    </row>
    <row r="55" spans="1:10">
      <c r="A55" s="68">
        <v>34393</v>
      </c>
      <c r="B55" s="55">
        <v>32.4375</v>
      </c>
      <c r="C55" s="55">
        <f t="shared" si="0"/>
        <v>32.875</v>
      </c>
      <c r="D55" s="55">
        <f t="shared" si="1"/>
        <v>0.34686092313779021</v>
      </c>
      <c r="E55" s="55">
        <f t="shared" si="2"/>
        <v>0.69372184627558042</v>
      </c>
      <c r="F55" s="55">
        <f t="shared" si="3"/>
        <v>33.568721846275579</v>
      </c>
      <c r="G55" s="55">
        <f t="shared" si="4"/>
        <v>32.181278153724421</v>
      </c>
      <c r="H55" s="73"/>
      <c r="I55" s="29"/>
      <c r="J55" s="29"/>
    </row>
    <row r="56" spans="1:10">
      <c r="A56" s="69">
        <v>34394</v>
      </c>
      <c r="B56" s="52">
        <v>32.4375</v>
      </c>
      <c r="C56" s="52">
        <f t="shared" si="0"/>
        <v>32.700000000000003</v>
      </c>
      <c r="D56" s="52">
        <f t="shared" si="1"/>
        <v>0.29947871376777346</v>
      </c>
      <c r="E56" s="52">
        <f t="shared" si="2"/>
        <v>0.59895742753554693</v>
      </c>
      <c r="F56" s="52">
        <f t="shared" si="3"/>
        <v>33.298957427535548</v>
      </c>
      <c r="G56" s="52">
        <f t="shared" si="4"/>
        <v>32.101042572464458</v>
      </c>
      <c r="H56" s="72"/>
      <c r="I56" s="28"/>
      <c r="J56" s="28"/>
    </row>
    <row r="57" spans="1:10">
      <c r="A57" s="69">
        <v>34395</v>
      </c>
      <c r="B57" s="52">
        <v>32.9375</v>
      </c>
      <c r="C57" s="52">
        <f t="shared" si="0"/>
        <v>32.637500000000003</v>
      </c>
      <c r="D57" s="52">
        <f t="shared" si="1"/>
        <v>0.19121323175972943</v>
      </c>
      <c r="E57" s="52">
        <f t="shared" si="2"/>
        <v>0.38242646351945886</v>
      </c>
      <c r="F57" s="52">
        <f t="shared" si="3"/>
        <v>33.019926463519461</v>
      </c>
      <c r="G57" s="52">
        <f t="shared" si="4"/>
        <v>32.255073536480545</v>
      </c>
      <c r="H57" s="72"/>
      <c r="I57" s="28"/>
      <c r="J57" s="28"/>
    </row>
    <row r="58" spans="1:10">
      <c r="A58" s="68">
        <v>34396</v>
      </c>
      <c r="B58" s="55">
        <v>33.0625</v>
      </c>
      <c r="C58" s="55">
        <f t="shared" si="0"/>
        <v>32.725000000000001</v>
      </c>
      <c r="D58" s="55">
        <f t="shared" si="1"/>
        <v>0.25495097567963926</v>
      </c>
      <c r="E58" s="55">
        <f t="shared" si="2"/>
        <v>0.50990195135927852</v>
      </c>
      <c r="F58" s="55">
        <f t="shared" si="3"/>
        <v>33.234901951359276</v>
      </c>
      <c r="G58" s="55">
        <f t="shared" si="4"/>
        <v>32.215098048640726</v>
      </c>
      <c r="H58" s="73"/>
      <c r="I58" s="29"/>
      <c r="J58" s="29"/>
    </row>
    <row r="59" spans="1:10">
      <c r="A59" s="68">
        <v>34397</v>
      </c>
      <c r="B59" s="55">
        <v>32.625</v>
      </c>
      <c r="C59" s="55">
        <f t="shared" si="0"/>
        <v>32.700000000000003</v>
      </c>
      <c r="D59" s="55">
        <f t="shared" si="1"/>
        <v>0.257390753524675</v>
      </c>
      <c r="E59" s="55">
        <f t="shared" si="2"/>
        <v>0.51478150704935</v>
      </c>
      <c r="F59" s="55">
        <f t="shared" si="3"/>
        <v>33.214781507049352</v>
      </c>
      <c r="G59" s="55">
        <f t="shared" si="4"/>
        <v>32.185218492950654</v>
      </c>
      <c r="H59" s="73"/>
      <c r="I59" s="29"/>
      <c r="J59" s="29"/>
    </row>
    <row r="60" spans="1:10">
      <c r="A60" s="69">
        <v>34400</v>
      </c>
      <c r="B60" s="52">
        <v>32.625</v>
      </c>
      <c r="C60" s="52">
        <f t="shared" si="0"/>
        <v>32.737499999999997</v>
      </c>
      <c r="D60" s="52">
        <f t="shared" si="1"/>
        <v>0.22844583603121332</v>
      </c>
      <c r="E60" s="52">
        <f t="shared" si="2"/>
        <v>0.45689167206242665</v>
      </c>
      <c r="F60" s="52">
        <f t="shared" si="3"/>
        <v>33.194391672062423</v>
      </c>
      <c r="G60" s="52">
        <f t="shared" si="4"/>
        <v>32.280608327937571</v>
      </c>
      <c r="H60" s="72"/>
      <c r="I60" s="28"/>
      <c r="J60" s="28"/>
    </row>
    <row r="61" spans="1:10">
      <c r="A61" s="69">
        <v>34401</v>
      </c>
      <c r="B61" s="52">
        <v>32.6875</v>
      </c>
      <c r="C61" s="52">
        <f t="shared" si="0"/>
        <v>32.787500000000001</v>
      </c>
      <c r="D61" s="52">
        <f t="shared" si="1"/>
        <v>0.17940875118009156</v>
      </c>
      <c r="E61" s="52">
        <f t="shared" si="2"/>
        <v>0.35881750236018312</v>
      </c>
      <c r="F61" s="52">
        <f t="shared" si="3"/>
        <v>33.146317502360183</v>
      </c>
      <c r="G61" s="52">
        <f t="shared" si="4"/>
        <v>32.428682497639819</v>
      </c>
      <c r="H61" s="72"/>
      <c r="I61" s="28"/>
      <c r="J61" s="28"/>
    </row>
    <row r="62" spans="1:10">
      <c r="A62" s="68">
        <v>34402</v>
      </c>
      <c r="B62" s="55">
        <v>32.75</v>
      </c>
      <c r="C62" s="55">
        <f t="shared" si="0"/>
        <v>32.75</v>
      </c>
      <c r="D62" s="55">
        <f t="shared" si="1"/>
        <v>0.16298006013006622</v>
      </c>
      <c r="E62" s="55">
        <f t="shared" si="2"/>
        <v>0.32596012026013244</v>
      </c>
      <c r="F62" s="55">
        <f t="shared" si="3"/>
        <v>33.075960120260135</v>
      </c>
      <c r="G62" s="55">
        <f t="shared" si="4"/>
        <v>32.424039879739865</v>
      </c>
      <c r="H62" s="73"/>
      <c r="I62" s="29"/>
      <c r="J62" s="29"/>
    </row>
    <row r="63" spans="1:10">
      <c r="A63" s="68">
        <v>34403</v>
      </c>
      <c r="B63" s="55">
        <v>32.4375</v>
      </c>
      <c r="C63" s="55">
        <f t="shared" si="0"/>
        <v>32.625</v>
      </c>
      <c r="D63" s="55">
        <f t="shared" si="1"/>
        <v>0.10458250331675945</v>
      </c>
      <c r="E63" s="55">
        <f t="shared" si="2"/>
        <v>0.20916500663351889</v>
      </c>
      <c r="F63" s="55">
        <f t="shared" si="3"/>
        <v>32.834165006633519</v>
      </c>
      <c r="G63" s="55">
        <f t="shared" si="4"/>
        <v>32.415834993366481</v>
      </c>
      <c r="H63" s="73"/>
      <c r="I63" s="29"/>
      <c r="J63" s="29"/>
    </row>
    <row r="64" spans="1:10">
      <c r="A64" s="69">
        <v>34404</v>
      </c>
      <c r="B64" s="52">
        <v>32.625</v>
      </c>
      <c r="C64" s="52">
        <f t="shared" si="0"/>
        <v>32.625</v>
      </c>
      <c r="D64" s="52">
        <f t="shared" si="1"/>
        <v>0.10458250331675945</v>
      </c>
      <c r="E64" s="52">
        <f t="shared" si="2"/>
        <v>0.20916500663351889</v>
      </c>
      <c r="F64" s="52">
        <f t="shared" si="3"/>
        <v>32.834165006633519</v>
      </c>
      <c r="G64" s="52">
        <f t="shared" si="4"/>
        <v>32.415834993366481</v>
      </c>
      <c r="H64" s="72"/>
      <c r="I64" s="28"/>
      <c r="J64" s="28"/>
    </row>
    <row r="65" spans="1:10">
      <c r="A65" s="69">
        <v>34407</v>
      </c>
      <c r="B65" s="52">
        <v>32.625</v>
      </c>
      <c r="C65" s="52">
        <f t="shared" si="0"/>
        <v>32.625</v>
      </c>
      <c r="D65" s="52">
        <f t="shared" si="1"/>
        <v>0.10458250331675945</v>
      </c>
      <c r="E65" s="52">
        <f t="shared" si="2"/>
        <v>0.20916500663351889</v>
      </c>
      <c r="F65" s="52">
        <f t="shared" si="3"/>
        <v>32.834165006633519</v>
      </c>
      <c r="G65" s="52">
        <f t="shared" si="4"/>
        <v>32.415834993366481</v>
      </c>
      <c r="H65" s="72"/>
      <c r="I65" s="28"/>
      <c r="J65" s="28"/>
    </row>
    <row r="66" spans="1:10">
      <c r="A66" s="68">
        <v>34408</v>
      </c>
      <c r="B66" s="55">
        <v>32.375</v>
      </c>
      <c r="C66" s="55">
        <f t="shared" si="0"/>
        <v>32.5625</v>
      </c>
      <c r="D66" s="55">
        <f t="shared" si="1"/>
        <v>0.13693063937629152</v>
      </c>
      <c r="E66" s="55">
        <f t="shared" si="2"/>
        <v>0.27386127875258304</v>
      </c>
      <c r="F66" s="55">
        <f t="shared" si="3"/>
        <v>32.836361278752584</v>
      </c>
      <c r="G66" s="55">
        <f t="shared" si="4"/>
        <v>32.288638721247416</v>
      </c>
      <c r="H66" s="73"/>
      <c r="I66" s="29"/>
      <c r="J66" s="29"/>
    </row>
    <row r="67" spans="1:10">
      <c r="A67" s="68">
        <v>34409</v>
      </c>
      <c r="B67" s="55">
        <v>32.4375</v>
      </c>
      <c r="C67" s="55">
        <f t="shared" si="0"/>
        <v>32.5</v>
      </c>
      <c r="D67" s="55">
        <f t="shared" si="1"/>
        <v>0.10458250331675945</v>
      </c>
      <c r="E67" s="55">
        <f t="shared" si="2"/>
        <v>0.20916500663351889</v>
      </c>
      <c r="F67" s="55">
        <f t="shared" si="3"/>
        <v>32.709165006633519</v>
      </c>
      <c r="G67" s="55">
        <f t="shared" si="4"/>
        <v>32.290834993366481</v>
      </c>
      <c r="H67" s="73"/>
      <c r="I67" s="29"/>
      <c r="J67" s="29"/>
    </row>
    <row r="68" spans="1:10">
      <c r="A68" s="69">
        <v>34410</v>
      </c>
      <c r="B68" s="52">
        <v>32.8125</v>
      </c>
      <c r="C68" s="52">
        <f t="shared" si="0"/>
        <v>32.575000000000003</v>
      </c>
      <c r="D68" s="52">
        <f t="shared" si="1"/>
        <v>0.15512092057488569</v>
      </c>
      <c r="E68" s="52">
        <f t="shared" si="2"/>
        <v>0.31024184114977138</v>
      </c>
      <c r="F68" s="52">
        <f t="shared" si="3"/>
        <v>32.885241841149771</v>
      </c>
      <c r="G68" s="52">
        <f t="shared" si="4"/>
        <v>32.264758158850235</v>
      </c>
      <c r="H68" s="72"/>
      <c r="I68" s="28"/>
      <c r="J68" s="28"/>
    </row>
    <row r="69" spans="1:10">
      <c r="A69" s="69">
        <v>34411</v>
      </c>
      <c r="B69" s="52">
        <v>32.9375</v>
      </c>
      <c r="C69" s="52">
        <f t="shared" si="0"/>
        <v>32.637500000000003</v>
      </c>
      <c r="D69" s="52">
        <f t="shared" si="1"/>
        <v>0.21433035249352808</v>
      </c>
      <c r="E69" s="52">
        <f t="shared" si="2"/>
        <v>0.42866070498705616</v>
      </c>
      <c r="F69" s="52">
        <f t="shared" si="3"/>
        <v>33.066160704987063</v>
      </c>
      <c r="G69" s="52">
        <f t="shared" si="4"/>
        <v>32.208839295012943</v>
      </c>
      <c r="H69" s="72"/>
      <c r="I69" s="28"/>
      <c r="J69" s="28"/>
    </row>
    <row r="70" spans="1:10">
      <c r="A70" s="68">
        <v>34414</v>
      </c>
      <c r="B70" s="55">
        <v>32.75</v>
      </c>
      <c r="C70" s="55">
        <f t="shared" si="0"/>
        <v>32.662500000000001</v>
      </c>
      <c r="D70" s="55">
        <f t="shared" si="1"/>
        <v>0.21866069605669877</v>
      </c>
      <c r="E70" s="55">
        <f t="shared" si="2"/>
        <v>0.43732139211339754</v>
      </c>
      <c r="F70" s="55">
        <f t="shared" si="3"/>
        <v>33.099821392113398</v>
      </c>
      <c r="G70" s="55">
        <f t="shared" si="4"/>
        <v>32.225178607886605</v>
      </c>
      <c r="H70" s="73"/>
      <c r="I70" s="29"/>
      <c r="J70" s="29"/>
    </row>
    <row r="71" spans="1:10">
      <c r="A71" s="68">
        <v>34415</v>
      </c>
      <c r="B71" s="55">
        <v>32.8125</v>
      </c>
      <c r="C71" s="55">
        <f t="shared" si="0"/>
        <v>32.75</v>
      </c>
      <c r="D71" s="55">
        <f t="shared" si="1"/>
        <v>0.16770509831248423</v>
      </c>
      <c r="E71" s="55">
        <f t="shared" si="2"/>
        <v>0.33541019662496846</v>
      </c>
      <c r="F71" s="55">
        <f t="shared" si="3"/>
        <v>33.08541019662497</v>
      </c>
      <c r="G71" s="55">
        <f t="shared" si="4"/>
        <v>32.41458980337503</v>
      </c>
      <c r="H71" s="73"/>
      <c r="I71" s="29"/>
      <c r="J71" s="29"/>
    </row>
    <row r="72" spans="1:10">
      <c r="H72" s="2"/>
    </row>
    <row r="73" spans="1:10">
      <c r="H73" s="2"/>
    </row>
    <row r="74" spans="1:10" ht="32.25" customHeight="1">
      <c r="A74" s="447" t="s">
        <v>294</v>
      </c>
      <c r="B74" s="447"/>
      <c r="C74" s="447"/>
      <c r="D74" s="447"/>
      <c r="E74" s="447"/>
      <c r="F74" s="447"/>
      <c r="G74" s="447"/>
      <c r="H74" s="447"/>
      <c r="I74" s="447"/>
      <c r="J74" s="447"/>
    </row>
    <row r="75" spans="1:10" ht="34.5" customHeight="1">
      <c r="A75" s="447" t="s">
        <v>295</v>
      </c>
      <c r="B75" s="447"/>
      <c r="C75" s="447"/>
      <c r="D75" s="447"/>
      <c r="E75" s="447"/>
      <c r="F75" s="447"/>
      <c r="G75" s="447"/>
      <c r="H75" s="447"/>
      <c r="I75" s="447"/>
      <c r="J75" s="447"/>
    </row>
    <row r="76" spans="1:10" ht="32.25" customHeight="1">
      <c r="A76" s="447" t="s">
        <v>296</v>
      </c>
      <c r="B76" s="447"/>
      <c r="C76" s="447"/>
      <c r="D76" s="447"/>
      <c r="E76" s="447"/>
      <c r="F76" s="447"/>
      <c r="G76" s="447"/>
      <c r="H76" s="447"/>
      <c r="I76" s="447"/>
      <c r="J76" s="447"/>
    </row>
    <row r="77" spans="1:10" ht="15">
      <c r="A77" s="241" t="s">
        <v>297</v>
      </c>
      <c r="H77" s="2"/>
    </row>
    <row r="78" spans="1:10" ht="15">
      <c r="A78" s="241" t="s">
        <v>298</v>
      </c>
      <c r="H78" s="2"/>
    </row>
    <row r="79" spans="1:10">
      <c r="H79" s="2"/>
    </row>
    <row r="80" spans="1:10">
      <c r="H80" s="2"/>
    </row>
    <row r="81" spans="8:8">
      <c r="H81" s="2"/>
    </row>
    <row r="82" spans="8:8">
      <c r="H82" s="2"/>
    </row>
    <row r="83" spans="8:8">
      <c r="H83" s="2"/>
    </row>
  </sheetData>
  <mergeCells count="7">
    <mergeCell ref="A74:J74"/>
    <mergeCell ref="A75:J75"/>
    <mergeCell ref="A76:J76"/>
    <mergeCell ref="B6:J6"/>
    <mergeCell ref="B8:J8"/>
    <mergeCell ref="B11:J11"/>
    <mergeCell ref="B13:J13"/>
  </mergeCells>
  <phoneticPr fontId="0" type="noConversion"/>
  <pageMargins left="0.75" right="0.75" top="1" bottom="1" header="0.5" footer="0.5"/>
  <pageSetup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53255" r:id="rId3" name="Button 7">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53256" r:id="rId4" name="Button 8">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53257" r:id="rId5" name="Button 9">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53258" r:id="rId6" name="Button 10">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dimension ref="A1:N49"/>
  <sheetViews>
    <sheetView workbookViewId="0"/>
  </sheetViews>
  <sheetFormatPr baseColWidth="10" defaultColWidth="8.83203125" defaultRowHeight="12" x14ac:dyDescent="0"/>
  <cols>
    <col min="1" max="1" width="10.33203125" customWidth="1"/>
    <col min="2" max="2" width="11.5" customWidth="1"/>
    <col min="3" max="4" width="10.6640625" customWidth="1"/>
    <col min="5" max="5" width="12.1640625" customWidth="1"/>
    <col min="6" max="6" width="11.8320312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1110</v>
      </c>
      <c r="C3" s="21"/>
      <c r="D3" s="21"/>
      <c r="E3" s="21"/>
      <c r="F3" s="21"/>
      <c r="G3" s="21"/>
      <c r="H3" s="21"/>
      <c r="I3" s="21"/>
      <c r="J3" s="21"/>
      <c r="K3" s="21"/>
    </row>
    <row r="4" spans="1:14" ht="13.5" customHeight="1">
      <c r="A4" s="118" t="s">
        <v>779</v>
      </c>
      <c r="B4" s="127" t="s">
        <v>1143</v>
      </c>
      <c r="C4" s="21"/>
      <c r="D4" s="21"/>
      <c r="E4" s="21"/>
      <c r="F4" s="21"/>
      <c r="G4" s="21"/>
      <c r="H4" s="21"/>
      <c r="I4" s="21"/>
      <c r="J4" s="21"/>
      <c r="K4" s="21"/>
    </row>
    <row r="5" spans="1:14" ht="41.25" customHeight="1">
      <c r="A5" s="21"/>
      <c r="B5" s="119"/>
      <c r="C5" s="21"/>
      <c r="D5" s="21"/>
      <c r="E5" s="21"/>
      <c r="F5" s="21"/>
      <c r="G5" s="21"/>
      <c r="H5" s="21"/>
      <c r="I5" s="21"/>
      <c r="J5" s="21"/>
      <c r="K5" s="21"/>
    </row>
    <row r="6" spans="1:14" ht="52.5" customHeight="1">
      <c r="A6" s="22" t="s">
        <v>1090</v>
      </c>
      <c r="B6" s="23" t="s">
        <v>1091</v>
      </c>
      <c r="C6" s="23" t="s">
        <v>1092</v>
      </c>
      <c r="D6" s="184" t="s">
        <v>913</v>
      </c>
      <c r="E6" s="31" t="s">
        <v>914</v>
      </c>
      <c r="F6" s="31" t="s">
        <v>915</v>
      </c>
      <c r="G6" s="22"/>
      <c r="H6" s="22"/>
      <c r="I6" s="22"/>
      <c r="J6" s="22"/>
      <c r="K6" s="22"/>
    </row>
    <row r="7" spans="1:14">
      <c r="A7" s="26">
        <v>35545</v>
      </c>
      <c r="B7" s="255">
        <v>789</v>
      </c>
      <c r="C7" s="255">
        <v>1662</v>
      </c>
      <c r="D7" s="255">
        <f>B7+C7</f>
        <v>2451</v>
      </c>
      <c r="E7" s="41">
        <f>B7/D7</f>
        <v>0.32190942472460221</v>
      </c>
      <c r="F7" s="75">
        <f>E7</f>
        <v>0.32190942472460221</v>
      </c>
      <c r="G7" s="28"/>
      <c r="H7" s="28"/>
      <c r="I7" s="28"/>
      <c r="J7" s="28"/>
      <c r="K7" s="54"/>
    </row>
    <row r="8" spans="1:14">
      <c r="A8" s="26">
        <v>35548</v>
      </c>
      <c r="B8" s="255">
        <v>1348</v>
      </c>
      <c r="C8" s="255">
        <v>1085</v>
      </c>
      <c r="D8" s="255">
        <f t="shared" ref="D8:D39" si="0">B8+C8</f>
        <v>2433</v>
      </c>
      <c r="E8" s="41">
        <f t="shared" ref="E8:E39" si="1">B8/D8</f>
        <v>0.55404849979449244</v>
      </c>
      <c r="F8" s="75">
        <f>E8*(2/(10+1)) +F7*(1-(2/(10+1)))</f>
        <v>0.36411652928276406</v>
      </c>
      <c r="G8" s="28"/>
      <c r="H8" s="28"/>
      <c r="I8" s="28"/>
      <c r="J8" s="28"/>
      <c r="K8" s="54"/>
    </row>
    <row r="9" spans="1:14">
      <c r="A9" s="27">
        <v>35549</v>
      </c>
      <c r="B9" s="257">
        <v>2085</v>
      </c>
      <c r="C9" s="257">
        <v>531</v>
      </c>
      <c r="D9" s="257">
        <f t="shared" si="0"/>
        <v>2616</v>
      </c>
      <c r="E9" s="45">
        <f t="shared" si="1"/>
        <v>0.79701834862385323</v>
      </c>
      <c r="F9" s="76">
        <f t="shared" ref="F9:F24" si="2">E9*(2/(10+1)) +F8*(1-(2/(10+1)))</f>
        <v>0.44282595098114391</v>
      </c>
      <c r="G9" s="29"/>
      <c r="H9" s="29"/>
      <c r="I9" s="29"/>
      <c r="J9" s="29"/>
      <c r="K9" s="57"/>
    </row>
    <row r="10" spans="1:14">
      <c r="A10" s="27">
        <v>35550</v>
      </c>
      <c r="B10" s="257">
        <v>1599</v>
      </c>
      <c r="C10" s="257">
        <v>941</v>
      </c>
      <c r="D10" s="257">
        <f t="shared" si="0"/>
        <v>2540</v>
      </c>
      <c r="E10" s="45">
        <f t="shared" si="1"/>
        <v>0.62952755905511815</v>
      </c>
      <c r="F10" s="76">
        <f t="shared" si="2"/>
        <v>0.47677169790368468</v>
      </c>
      <c r="G10" s="29"/>
      <c r="H10" s="29"/>
      <c r="I10" s="29"/>
      <c r="J10" s="29"/>
      <c r="K10" s="57"/>
    </row>
    <row r="11" spans="1:14">
      <c r="A11" s="26">
        <v>35551</v>
      </c>
      <c r="B11" s="255">
        <v>1450</v>
      </c>
      <c r="C11" s="255">
        <v>1021</v>
      </c>
      <c r="D11" s="255">
        <f t="shared" si="0"/>
        <v>2471</v>
      </c>
      <c r="E11" s="41">
        <f t="shared" si="1"/>
        <v>0.58680696074463778</v>
      </c>
      <c r="F11" s="75">
        <f t="shared" si="2"/>
        <v>0.49677810932931249</v>
      </c>
      <c r="G11" s="28"/>
      <c r="H11" s="28"/>
      <c r="I11" s="28"/>
      <c r="J11" s="28"/>
      <c r="K11" s="54"/>
    </row>
    <row r="12" spans="1:14">
      <c r="A12" s="26">
        <v>35552</v>
      </c>
      <c r="B12" s="255">
        <v>2119</v>
      </c>
      <c r="C12" s="255">
        <v>476</v>
      </c>
      <c r="D12" s="255">
        <f t="shared" si="0"/>
        <v>2595</v>
      </c>
      <c r="E12" s="41">
        <f t="shared" si="1"/>
        <v>0.81657032755298653</v>
      </c>
      <c r="F12" s="75">
        <f t="shared" si="2"/>
        <v>0.55492214900634407</v>
      </c>
      <c r="G12" s="28"/>
      <c r="H12" s="28"/>
      <c r="I12" s="28"/>
      <c r="J12" s="28"/>
      <c r="K12" s="54"/>
    </row>
    <row r="13" spans="1:14">
      <c r="A13" s="27">
        <v>35555</v>
      </c>
      <c r="B13" s="257">
        <v>1958</v>
      </c>
      <c r="C13" s="257">
        <v>677</v>
      </c>
      <c r="D13" s="257">
        <f t="shared" si="0"/>
        <v>2635</v>
      </c>
      <c r="E13" s="45">
        <f t="shared" si="1"/>
        <v>0.74307400379506638</v>
      </c>
      <c r="F13" s="76">
        <f t="shared" si="2"/>
        <v>0.58913157714974806</v>
      </c>
      <c r="G13" s="29"/>
      <c r="H13" s="29"/>
      <c r="I13" s="29"/>
      <c r="J13" s="29"/>
      <c r="K13" s="57"/>
    </row>
    <row r="14" spans="1:14">
      <c r="A14" s="27">
        <v>35556</v>
      </c>
      <c r="B14" s="257">
        <v>1258</v>
      </c>
      <c r="C14" s="257">
        <v>1270</v>
      </c>
      <c r="D14" s="257">
        <f t="shared" si="0"/>
        <v>2528</v>
      </c>
      <c r="E14" s="45">
        <f t="shared" si="1"/>
        <v>0.497626582278481</v>
      </c>
      <c r="F14" s="76">
        <f t="shared" si="2"/>
        <v>0.57249430535497214</v>
      </c>
      <c r="G14" s="29"/>
      <c r="H14" s="29"/>
      <c r="I14" s="29"/>
      <c r="J14" s="29"/>
      <c r="K14" s="57"/>
    </row>
    <row r="15" spans="1:14">
      <c r="A15" s="26">
        <v>35557</v>
      </c>
      <c r="B15" s="255">
        <v>842</v>
      </c>
      <c r="C15" s="255">
        <v>1660</v>
      </c>
      <c r="D15" s="255">
        <f t="shared" si="0"/>
        <v>2502</v>
      </c>
      <c r="E15" s="41">
        <f t="shared" si="1"/>
        <v>0.33653077537969622</v>
      </c>
      <c r="F15" s="75">
        <f t="shared" si="2"/>
        <v>0.52959184535946746</v>
      </c>
      <c r="G15" s="28"/>
      <c r="H15" s="28"/>
      <c r="I15" s="28"/>
      <c r="J15" s="28"/>
      <c r="K15" s="54"/>
    </row>
    <row r="16" spans="1:14">
      <c r="A16" s="26">
        <v>35558</v>
      </c>
      <c r="B16" s="255">
        <v>1398</v>
      </c>
      <c r="C16" s="255">
        <v>1097</v>
      </c>
      <c r="D16" s="255">
        <f t="shared" si="0"/>
        <v>2495</v>
      </c>
      <c r="E16" s="41">
        <f t="shared" si="1"/>
        <v>0.56032064128256509</v>
      </c>
      <c r="F16" s="52">
        <f t="shared" si="2"/>
        <v>0.53517889916366701</v>
      </c>
      <c r="G16" s="28"/>
      <c r="H16" s="28"/>
      <c r="I16" s="28"/>
      <c r="J16" s="28"/>
      <c r="K16" s="54"/>
    </row>
    <row r="17" spans="1:11">
      <c r="A17" s="27">
        <v>35559</v>
      </c>
      <c r="B17" s="257">
        <v>1526</v>
      </c>
      <c r="C17" s="257">
        <v>932</v>
      </c>
      <c r="D17" s="257">
        <f t="shared" si="0"/>
        <v>2458</v>
      </c>
      <c r="E17" s="45">
        <f t="shared" si="1"/>
        <v>0.62082994304312444</v>
      </c>
      <c r="F17" s="55">
        <f t="shared" si="2"/>
        <v>0.55075181623265923</v>
      </c>
      <c r="G17" s="29"/>
      <c r="H17" s="29"/>
      <c r="I17" s="29"/>
      <c r="J17" s="29"/>
      <c r="K17" s="57"/>
    </row>
    <row r="18" spans="1:11">
      <c r="A18" s="27">
        <v>35562</v>
      </c>
      <c r="B18" s="257">
        <v>1766</v>
      </c>
      <c r="C18" s="257">
        <v>761</v>
      </c>
      <c r="D18" s="257">
        <f t="shared" si="0"/>
        <v>2527</v>
      </c>
      <c r="E18" s="45">
        <f t="shared" si="1"/>
        <v>0.69885239414325284</v>
      </c>
      <c r="F18" s="55">
        <f t="shared" si="2"/>
        <v>0.57767919403458534</v>
      </c>
      <c r="G18" s="29"/>
      <c r="H18" s="29"/>
      <c r="I18" s="29"/>
      <c r="J18" s="29"/>
      <c r="K18" s="57"/>
    </row>
    <row r="19" spans="1:11">
      <c r="A19" s="26">
        <v>35563</v>
      </c>
      <c r="B19" s="255">
        <v>1133</v>
      </c>
      <c r="C19" s="255">
        <v>1322</v>
      </c>
      <c r="D19" s="255">
        <f t="shared" si="0"/>
        <v>2455</v>
      </c>
      <c r="E19" s="41">
        <f t="shared" si="1"/>
        <v>0.4615071283095723</v>
      </c>
      <c r="F19" s="52">
        <f t="shared" si="2"/>
        <v>0.55655700026640109</v>
      </c>
      <c r="G19" s="28"/>
      <c r="H19" s="28"/>
      <c r="I19" s="28"/>
      <c r="J19" s="28"/>
      <c r="K19" s="54"/>
    </row>
    <row r="20" spans="1:11">
      <c r="A20" s="26">
        <v>35564</v>
      </c>
      <c r="B20" s="255">
        <v>1472</v>
      </c>
      <c r="C20" s="255">
        <v>992</v>
      </c>
      <c r="D20" s="255">
        <f t="shared" si="0"/>
        <v>2464</v>
      </c>
      <c r="E20" s="41">
        <f t="shared" si="1"/>
        <v>0.59740259740259738</v>
      </c>
      <c r="F20" s="52">
        <f t="shared" si="2"/>
        <v>0.56398347247298219</v>
      </c>
      <c r="G20" s="28"/>
      <c r="H20" s="28"/>
      <c r="I20" s="28"/>
      <c r="J20" s="28"/>
      <c r="K20" s="54"/>
    </row>
    <row r="21" spans="1:11">
      <c r="A21" s="27">
        <v>35565</v>
      </c>
      <c r="B21" s="257">
        <v>1282</v>
      </c>
      <c r="C21" s="257">
        <v>1164</v>
      </c>
      <c r="D21" s="257">
        <f t="shared" si="0"/>
        <v>2446</v>
      </c>
      <c r="E21" s="45">
        <f t="shared" si="1"/>
        <v>0.52412101390024535</v>
      </c>
      <c r="F21" s="55">
        <f t="shared" si="2"/>
        <v>0.55673575273248455</v>
      </c>
      <c r="G21" s="29"/>
      <c r="H21" s="29"/>
      <c r="I21" s="29"/>
      <c r="J21" s="29"/>
      <c r="K21" s="57"/>
    </row>
    <row r="22" spans="1:11">
      <c r="A22" s="27">
        <v>35566</v>
      </c>
      <c r="B22" s="257">
        <v>973</v>
      </c>
      <c r="C22" s="257">
        <v>1431</v>
      </c>
      <c r="D22" s="257">
        <f t="shared" si="0"/>
        <v>2404</v>
      </c>
      <c r="E22" s="45">
        <f t="shared" si="1"/>
        <v>0.4047420965058236</v>
      </c>
      <c r="F22" s="55">
        <f t="shared" si="2"/>
        <v>0.52910054250945526</v>
      </c>
      <c r="G22" s="29"/>
      <c r="H22" s="29"/>
      <c r="I22" s="29"/>
      <c r="J22" s="29"/>
      <c r="K22" s="57"/>
    </row>
    <row r="23" spans="1:11">
      <c r="A23" s="26">
        <v>35569</v>
      </c>
      <c r="B23" s="255">
        <v>1390</v>
      </c>
      <c r="C23" s="255">
        <v>1056</v>
      </c>
      <c r="D23" s="255">
        <f t="shared" si="0"/>
        <v>2446</v>
      </c>
      <c r="E23" s="41">
        <f t="shared" si="1"/>
        <v>0.5682747342600164</v>
      </c>
      <c r="F23" s="52">
        <f t="shared" si="2"/>
        <v>0.5362231228277391</v>
      </c>
      <c r="G23" s="28"/>
      <c r="H23" s="28"/>
      <c r="I23" s="28"/>
      <c r="J23" s="28"/>
      <c r="K23" s="54"/>
    </row>
    <row r="24" spans="1:11">
      <c r="A24" s="26">
        <v>35570</v>
      </c>
      <c r="B24" s="255">
        <v>1411</v>
      </c>
      <c r="C24" s="255">
        <v>1040</v>
      </c>
      <c r="D24" s="255">
        <f t="shared" si="0"/>
        <v>2451</v>
      </c>
      <c r="E24" s="41">
        <f t="shared" si="1"/>
        <v>0.57568339453284378</v>
      </c>
      <c r="F24" s="52">
        <f t="shared" si="2"/>
        <v>0.54339771768321266</v>
      </c>
      <c r="G24" s="28"/>
      <c r="H24" s="28"/>
      <c r="I24" s="28"/>
      <c r="J24" s="28"/>
      <c r="K24" s="54"/>
    </row>
    <row r="25" spans="1:11">
      <c r="A25" s="27">
        <v>35571</v>
      </c>
      <c r="B25" s="257">
        <v>1421</v>
      </c>
      <c r="C25" s="257">
        <v>1107</v>
      </c>
      <c r="D25" s="257">
        <f t="shared" si="0"/>
        <v>2528</v>
      </c>
      <c r="E25" s="45">
        <f t="shared" si="1"/>
        <v>0.56210443037974689</v>
      </c>
      <c r="F25" s="55">
        <f t="shared" ref="F25:F39" si="3">E25*(2/(10+1)) +F24*(1-(2/(10+1)))</f>
        <v>0.54679893817349157</v>
      </c>
      <c r="G25" s="29"/>
      <c r="H25" s="29"/>
      <c r="I25" s="29"/>
      <c r="J25" s="29"/>
      <c r="K25" s="57"/>
    </row>
    <row r="26" spans="1:11">
      <c r="A26" s="27">
        <v>35572</v>
      </c>
      <c r="B26" s="257">
        <v>1270</v>
      </c>
      <c r="C26" s="257">
        <v>1176</v>
      </c>
      <c r="D26" s="257">
        <f t="shared" si="0"/>
        <v>2446</v>
      </c>
      <c r="E26" s="45">
        <f t="shared" si="1"/>
        <v>0.51921504497138182</v>
      </c>
      <c r="F26" s="55">
        <f t="shared" si="3"/>
        <v>0.54178368486401707</v>
      </c>
      <c r="G26" s="29"/>
      <c r="H26" s="29"/>
      <c r="I26" s="29"/>
      <c r="J26" s="29"/>
      <c r="K26" s="57"/>
    </row>
    <row r="27" spans="1:11">
      <c r="A27" s="26">
        <v>35573</v>
      </c>
      <c r="B27" s="255">
        <v>1875</v>
      </c>
      <c r="C27" s="255">
        <v>618</v>
      </c>
      <c r="D27" s="255">
        <f t="shared" si="0"/>
        <v>2493</v>
      </c>
      <c r="E27" s="41">
        <f t="shared" si="1"/>
        <v>0.75210589651022863</v>
      </c>
      <c r="F27" s="52">
        <f t="shared" si="3"/>
        <v>0.58002408698151009</v>
      </c>
      <c r="G27" s="28"/>
      <c r="H27" s="28"/>
      <c r="I27" s="28"/>
      <c r="J27" s="28"/>
      <c r="K27" s="54"/>
    </row>
    <row r="28" spans="1:11">
      <c r="A28" s="26">
        <v>35577</v>
      </c>
      <c r="B28" s="255">
        <v>1221</v>
      </c>
      <c r="C28" s="255">
        <v>1299</v>
      </c>
      <c r="D28" s="255">
        <f t="shared" si="0"/>
        <v>2520</v>
      </c>
      <c r="E28" s="41">
        <f t="shared" si="1"/>
        <v>0.48452380952380952</v>
      </c>
      <c r="F28" s="52">
        <f t="shared" si="3"/>
        <v>0.56266040017101904</v>
      </c>
      <c r="G28" s="28"/>
      <c r="H28" s="28"/>
      <c r="I28" s="28"/>
      <c r="J28" s="28"/>
      <c r="K28" s="54"/>
    </row>
    <row r="29" spans="1:11">
      <c r="A29" s="27">
        <v>35578</v>
      </c>
      <c r="B29" s="257">
        <v>1309</v>
      </c>
      <c r="C29" s="257">
        <v>1147</v>
      </c>
      <c r="D29" s="257">
        <f t="shared" si="0"/>
        <v>2456</v>
      </c>
      <c r="E29" s="45">
        <f t="shared" si="1"/>
        <v>0.53298045602605859</v>
      </c>
      <c r="F29" s="55">
        <f t="shared" si="3"/>
        <v>0.55726404669011709</v>
      </c>
      <c r="G29" s="29"/>
      <c r="H29" s="29"/>
      <c r="I29" s="29"/>
      <c r="J29" s="29"/>
      <c r="K29" s="57"/>
    </row>
    <row r="30" spans="1:11">
      <c r="A30" s="27">
        <v>35579</v>
      </c>
      <c r="B30" s="257">
        <v>1431</v>
      </c>
      <c r="C30" s="257">
        <v>1043</v>
      </c>
      <c r="D30" s="257">
        <f t="shared" si="0"/>
        <v>2474</v>
      </c>
      <c r="E30" s="45">
        <f t="shared" si="1"/>
        <v>0.57841552142279706</v>
      </c>
      <c r="F30" s="55">
        <f t="shared" si="3"/>
        <v>0.56110976936878609</v>
      </c>
      <c r="G30" s="29"/>
      <c r="H30" s="29"/>
      <c r="I30" s="29"/>
      <c r="J30" s="29"/>
      <c r="K30" s="57"/>
    </row>
    <row r="31" spans="1:11">
      <c r="A31" s="26">
        <v>35580</v>
      </c>
      <c r="B31" s="255">
        <v>1584</v>
      </c>
      <c r="C31" s="255">
        <v>901</v>
      </c>
      <c r="D31" s="255">
        <f t="shared" si="0"/>
        <v>2485</v>
      </c>
      <c r="E31" s="41">
        <f t="shared" si="1"/>
        <v>0.63742454728370224</v>
      </c>
      <c r="F31" s="52">
        <f t="shared" si="3"/>
        <v>0.5749851835351345</v>
      </c>
      <c r="G31" s="28"/>
      <c r="H31" s="28"/>
      <c r="I31" s="28"/>
      <c r="J31" s="28"/>
      <c r="K31" s="54"/>
    </row>
    <row r="32" spans="1:11">
      <c r="A32" s="26">
        <v>35583</v>
      </c>
      <c r="B32" s="255">
        <v>1530</v>
      </c>
      <c r="C32" s="255">
        <v>963</v>
      </c>
      <c r="D32" s="255">
        <f t="shared" si="0"/>
        <v>2493</v>
      </c>
      <c r="E32" s="41">
        <f t="shared" si="1"/>
        <v>0.61371841155234652</v>
      </c>
      <c r="F32" s="52">
        <f t="shared" si="3"/>
        <v>0.58202758862917303</v>
      </c>
      <c r="G32" s="28"/>
      <c r="H32" s="28"/>
      <c r="I32" s="28"/>
      <c r="J32" s="28"/>
      <c r="K32" s="54"/>
    </row>
    <row r="33" spans="1:11">
      <c r="A33" s="27">
        <v>35584</v>
      </c>
      <c r="B33" s="257">
        <v>1472</v>
      </c>
      <c r="C33" s="257">
        <v>1022</v>
      </c>
      <c r="D33" s="257">
        <f t="shared" si="0"/>
        <v>2494</v>
      </c>
      <c r="E33" s="45">
        <f t="shared" si="1"/>
        <v>0.59021651964715316</v>
      </c>
      <c r="F33" s="55">
        <f t="shared" si="3"/>
        <v>0.58351648517789667</v>
      </c>
      <c r="G33" s="29"/>
      <c r="H33" s="29"/>
      <c r="I33" s="29"/>
      <c r="J33" s="29"/>
      <c r="K33" s="57"/>
    </row>
    <row r="34" spans="1:11">
      <c r="A34" s="27">
        <v>35585</v>
      </c>
      <c r="B34" s="257">
        <v>1147</v>
      </c>
      <c r="C34" s="257">
        <v>1322</v>
      </c>
      <c r="D34" s="257">
        <f t="shared" si="0"/>
        <v>2469</v>
      </c>
      <c r="E34" s="45">
        <f t="shared" si="1"/>
        <v>0.46456055083029568</v>
      </c>
      <c r="F34" s="55">
        <f t="shared" si="3"/>
        <v>0.56188813347833277</v>
      </c>
      <c r="G34" s="29"/>
      <c r="H34" s="29"/>
      <c r="I34" s="29"/>
      <c r="J34" s="29"/>
      <c r="K34" s="57"/>
    </row>
    <row r="35" spans="1:11">
      <c r="A35" s="26">
        <v>35586</v>
      </c>
      <c r="B35" s="255">
        <v>1489</v>
      </c>
      <c r="C35" s="255">
        <v>956</v>
      </c>
      <c r="D35" s="255">
        <f t="shared" si="0"/>
        <v>2445</v>
      </c>
      <c r="E35" s="41">
        <f t="shared" si="1"/>
        <v>0.60899795501022491</v>
      </c>
      <c r="F35" s="52">
        <f t="shared" si="3"/>
        <v>0.57045355557504041</v>
      </c>
      <c r="G35" s="28"/>
      <c r="H35" s="28"/>
      <c r="I35" s="28"/>
      <c r="J35" s="28"/>
      <c r="K35" s="54"/>
    </row>
    <row r="36" spans="1:11">
      <c r="A36" s="26">
        <v>35587</v>
      </c>
      <c r="B36" s="255">
        <v>1703</v>
      </c>
      <c r="C36" s="255">
        <v>734</v>
      </c>
      <c r="D36" s="255">
        <f t="shared" si="0"/>
        <v>2437</v>
      </c>
      <c r="E36" s="41">
        <f t="shared" si="1"/>
        <v>0.69881001231021744</v>
      </c>
      <c r="F36" s="52">
        <f t="shared" si="3"/>
        <v>0.5937910931632544</v>
      </c>
      <c r="G36" s="28"/>
      <c r="H36" s="28"/>
      <c r="I36" s="28"/>
      <c r="J36" s="28"/>
      <c r="K36" s="54"/>
    </row>
    <row r="37" spans="1:11">
      <c r="A37" s="27">
        <v>35590</v>
      </c>
      <c r="B37" s="257">
        <v>1415</v>
      </c>
      <c r="C37" s="257">
        <v>1084</v>
      </c>
      <c r="D37" s="257">
        <f t="shared" si="0"/>
        <v>2499</v>
      </c>
      <c r="E37" s="45">
        <f t="shared" si="1"/>
        <v>0.56622649059623853</v>
      </c>
      <c r="F37" s="55">
        <f t="shared" si="3"/>
        <v>0.58877934724197878</v>
      </c>
      <c r="G37" s="29"/>
      <c r="H37" s="29"/>
      <c r="I37" s="29"/>
      <c r="J37" s="29"/>
      <c r="K37" s="57"/>
    </row>
    <row r="38" spans="1:11">
      <c r="A38" s="27">
        <v>35591</v>
      </c>
      <c r="B38" s="257">
        <v>1403</v>
      </c>
      <c r="C38" s="257">
        <v>1130</v>
      </c>
      <c r="D38" s="257">
        <f t="shared" si="0"/>
        <v>2533</v>
      </c>
      <c r="E38" s="45">
        <f t="shared" si="1"/>
        <v>0.5538886695617844</v>
      </c>
      <c r="F38" s="55">
        <f t="shared" si="3"/>
        <v>0.58243558766376158</v>
      </c>
      <c r="G38" s="29"/>
      <c r="H38" s="29"/>
      <c r="I38" s="29"/>
      <c r="J38" s="29"/>
      <c r="K38" s="57"/>
    </row>
    <row r="39" spans="1:11">
      <c r="A39" s="26">
        <v>35592</v>
      </c>
      <c r="B39" s="255">
        <v>1511</v>
      </c>
      <c r="C39" s="255">
        <v>1027</v>
      </c>
      <c r="D39" s="255">
        <f t="shared" si="0"/>
        <v>2538</v>
      </c>
      <c r="E39" s="41">
        <f t="shared" si="1"/>
        <v>0.59535066981875495</v>
      </c>
      <c r="F39" s="52">
        <f t="shared" si="3"/>
        <v>0.58478378441921486</v>
      </c>
      <c r="G39" s="28"/>
      <c r="H39" s="28"/>
      <c r="I39" s="28"/>
      <c r="J39" s="28"/>
      <c r="K39" s="54"/>
    </row>
    <row r="40" spans="1:11">
      <c r="A40" s="70"/>
      <c r="B40" s="28"/>
      <c r="C40" s="28"/>
      <c r="D40" s="28"/>
      <c r="E40" s="28"/>
      <c r="F40" s="28"/>
      <c r="G40" s="28"/>
      <c r="H40" s="28"/>
      <c r="I40" s="28"/>
      <c r="J40" s="28"/>
      <c r="K40" s="54"/>
    </row>
    <row r="41" spans="1:11">
      <c r="A41" s="71"/>
      <c r="B41" s="29"/>
      <c r="C41" s="29"/>
      <c r="D41" s="29"/>
      <c r="E41" s="29"/>
      <c r="F41" s="29"/>
      <c r="G41" s="29"/>
      <c r="H41" s="29"/>
      <c r="I41" s="29"/>
      <c r="J41" s="29"/>
      <c r="K41" s="57"/>
    </row>
    <row r="43" spans="1:11" ht="15">
      <c r="A43" s="241" t="s">
        <v>303</v>
      </c>
    </row>
    <row r="44" spans="1:11" ht="15">
      <c r="A44" s="241" t="s">
        <v>304</v>
      </c>
    </row>
    <row r="45" spans="1:11" ht="15">
      <c r="A45" s="241" t="s">
        <v>909</v>
      </c>
    </row>
    <row r="46" spans="1:11" ht="15">
      <c r="A46" s="241" t="s">
        <v>910</v>
      </c>
    </row>
    <row r="47" spans="1:11" ht="15">
      <c r="A47" s="241" t="s">
        <v>911</v>
      </c>
    </row>
    <row r="48" spans="1:11" ht="15">
      <c r="A48" s="241" t="s">
        <v>912</v>
      </c>
    </row>
    <row r="49" spans="1:1" ht="15">
      <c r="A49" s="241" t="s">
        <v>305</v>
      </c>
    </row>
  </sheetData>
  <phoneticPr fontId="0" type="noConversion"/>
  <pageMargins left="0.75" right="0.75" top="1" bottom="1" header="0.5" footer="0.5"/>
  <pageSetup orientation="portrait" horizontalDpi="0" verticalDpi="0" copies="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5"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3076"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3077"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3078"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N46"/>
  <sheetViews>
    <sheetView workbookViewId="0"/>
  </sheetViews>
  <sheetFormatPr baseColWidth="10" defaultColWidth="8.83203125" defaultRowHeight="12" x14ac:dyDescent="0"/>
  <cols>
    <col min="1" max="1" width="11" customWidth="1"/>
    <col min="2" max="2" width="11.5" customWidth="1"/>
    <col min="3" max="3" width="10.33203125" customWidth="1"/>
    <col min="4" max="4" width="12.1640625" customWidth="1"/>
    <col min="5" max="5" width="11"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21" t="s">
        <v>352</v>
      </c>
      <c r="B3" s="21"/>
      <c r="C3" s="21"/>
      <c r="D3" s="21"/>
      <c r="E3" s="21"/>
      <c r="F3" s="21"/>
      <c r="G3" s="21"/>
      <c r="H3" s="21"/>
      <c r="I3" s="21"/>
      <c r="J3" s="21"/>
      <c r="K3" s="21"/>
      <c r="L3" s="30"/>
    </row>
    <row r="4" spans="1:14">
      <c r="A4" s="19" t="s">
        <v>1045</v>
      </c>
      <c r="B4" s="20" t="s">
        <v>1113</v>
      </c>
      <c r="C4" s="21"/>
      <c r="D4" s="21"/>
      <c r="E4" s="21"/>
      <c r="F4" s="21"/>
      <c r="G4" s="21"/>
      <c r="H4" s="21"/>
      <c r="I4" s="21"/>
      <c r="J4" s="21"/>
      <c r="K4" s="21"/>
    </row>
    <row r="5" spans="1:14" ht="31.5" customHeight="1">
      <c r="A5" s="118" t="s">
        <v>779</v>
      </c>
      <c r="B5" s="446" t="s">
        <v>1144</v>
      </c>
      <c r="C5" s="446"/>
      <c r="D5" s="446"/>
      <c r="E5" s="446"/>
      <c r="F5" s="446"/>
      <c r="G5" s="446"/>
      <c r="H5" s="446"/>
      <c r="I5" s="446"/>
      <c r="J5" s="446"/>
      <c r="K5" s="446"/>
    </row>
    <row r="6" spans="1:14" ht="34.5" customHeight="1">
      <c r="A6" s="21"/>
      <c r="B6" s="21"/>
      <c r="C6" s="21"/>
      <c r="D6" s="21"/>
      <c r="E6" s="21"/>
      <c r="F6" s="21"/>
      <c r="G6" s="21"/>
      <c r="H6" s="21"/>
      <c r="I6" s="21"/>
      <c r="J6" s="21"/>
      <c r="K6" s="21"/>
    </row>
    <row r="7" spans="1:14" ht="42" customHeight="1">
      <c r="A7" s="22" t="s">
        <v>1090</v>
      </c>
      <c r="B7" s="22" t="s">
        <v>1111</v>
      </c>
      <c r="C7" s="22" t="s">
        <v>1112</v>
      </c>
      <c r="D7" s="31" t="s">
        <v>916</v>
      </c>
      <c r="E7" s="31" t="s">
        <v>917</v>
      </c>
      <c r="F7" s="22"/>
      <c r="G7" s="22"/>
      <c r="H7" s="22"/>
      <c r="I7" s="22"/>
      <c r="J7" s="22"/>
      <c r="K7" s="22"/>
    </row>
    <row r="8" spans="1:14">
      <c r="A8" s="26">
        <v>35978</v>
      </c>
      <c r="B8" s="43">
        <v>44.9</v>
      </c>
      <c r="C8" s="43">
        <v>31.4</v>
      </c>
      <c r="D8" s="43">
        <f>B8+C8</f>
        <v>76.3</v>
      </c>
      <c r="E8" s="43">
        <f>B8/D8 * 100</f>
        <v>58.846657929226744</v>
      </c>
      <c r="F8" s="28"/>
      <c r="G8" s="28"/>
      <c r="H8" s="28"/>
      <c r="I8" s="28"/>
      <c r="J8" s="28"/>
      <c r="K8" s="54"/>
    </row>
    <row r="9" spans="1:14">
      <c r="A9" s="26">
        <v>35986</v>
      </c>
      <c r="B9" s="43">
        <v>47.1</v>
      </c>
      <c r="C9" s="43">
        <v>30.6</v>
      </c>
      <c r="D9" s="43">
        <f t="shared" ref="D9:D43" si="0">B9+C9</f>
        <v>77.7</v>
      </c>
      <c r="E9" s="43">
        <f t="shared" ref="E9:E43" si="1">B9/D9 * 100</f>
        <v>60.617760617760617</v>
      </c>
      <c r="F9" s="28"/>
      <c r="G9" s="28"/>
      <c r="H9" s="28"/>
      <c r="I9" s="28"/>
      <c r="J9" s="28"/>
      <c r="K9" s="54"/>
    </row>
    <row r="10" spans="1:14">
      <c r="A10" s="27">
        <v>35993</v>
      </c>
      <c r="B10" s="47">
        <v>52</v>
      </c>
      <c r="C10" s="47">
        <v>24</v>
      </c>
      <c r="D10" s="47">
        <f t="shared" si="0"/>
        <v>76</v>
      </c>
      <c r="E10" s="47">
        <f t="shared" si="1"/>
        <v>68.421052631578945</v>
      </c>
      <c r="F10" s="29"/>
      <c r="G10" s="29"/>
      <c r="H10" s="29"/>
      <c r="I10" s="29"/>
      <c r="J10" s="29"/>
      <c r="K10" s="57"/>
    </row>
    <row r="11" spans="1:14">
      <c r="A11" s="27">
        <v>36000</v>
      </c>
      <c r="B11" s="47">
        <v>54.3</v>
      </c>
      <c r="C11" s="47">
        <v>23.3</v>
      </c>
      <c r="D11" s="47">
        <f t="shared" si="0"/>
        <v>77.599999999999994</v>
      </c>
      <c r="E11" s="47">
        <f t="shared" si="1"/>
        <v>69.974226804123717</v>
      </c>
      <c r="F11" s="29"/>
      <c r="G11" s="29"/>
      <c r="H11" s="29"/>
      <c r="I11" s="29"/>
      <c r="J11" s="29"/>
      <c r="K11" s="57"/>
    </row>
    <row r="12" spans="1:14">
      <c r="A12" s="26">
        <v>36007</v>
      </c>
      <c r="B12" s="43">
        <v>52.5</v>
      </c>
      <c r="C12" s="43">
        <v>26.3</v>
      </c>
      <c r="D12" s="43">
        <f t="shared" si="0"/>
        <v>78.8</v>
      </c>
      <c r="E12" s="43">
        <f t="shared" si="1"/>
        <v>66.6243654822335</v>
      </c>
      <c r="F12" s="28"/>
      <c r="G12" s="28"/>
      <c r="H12" s="28"/>
      <c r="I12" s="28"/>
      <c r="J12" s="28"/>
      <c r="K12" s="54"/>
    </row>
    <row r="13" spans="1:14">
      <c r="A13" s="26">
        <v>36014</v>
      </c>
      <c r="B13" s="43">
        <v>50</v>
      </c>
      <c r="C13" s="43">
        <v>27.6</v>
      </c>
      <c r="D13" s="43">
        <f t="shared" si="0"/>
        <v>77.599999999999994</v>
      </c>
      <c r="E13" s="43">
        <f t="shared" si="1"/>
        <v>64.432989690721655</v>
      </c>
      <c r="F13" s="28"/>
      <c r="G13" s="28"/>
      <c r="H13" s="28"/>
      <c r="I13" s="28"/>
      <c r="J13" s="28"/>
      <c r="K13" s="54"/>
    </row>
    <row r="14" spans="1:14">
      <c r="A14" s="27">
        <v>36021</v>
      </c>
      <c r="B14" s="47">
        <v>43.4</v>
      </c>
      <c r="C14" s="47">
        <v>31.9</v>
      </c>
      <c r="D14" s="47">
        <f t="shared" si="0"/>
        <v>75.3</v>
      </c>
      <c r="E14" s="47">
        <f t="shared" si="1"/>
        <v>57.636122177954853</v>
      </c>
      <c r="F14" s="29"/>
      <c r="G14" s="29"/>
      <c r="H14" s="29"/>
      <c r="I14" s="29"/>
      <c r="J14" s="29"/>
      <c r="K14" s="57"/>
    </row>
    <row r="15" spans="1:14">
      <c r="A15" s="27">
        <v>36028</v>
      </c>
      <c r="B15" s="47">
        <v>40.700000000000003</v>
      </c>
      <c r="C15" s="47">
        <v>34.5</v>
      </c>
      <c r="D15" s="47">
        <f t="shared" si="0"/>
        <v>75.2</v>
      </c>
      <c r="E15" s="47">
        <f t="shared" si="1"/>
        <v>54.12234042553191</v>
      </c>
      <c r="F15" s="29"/>
      <c r="G15" s="29"/>
      <c r="H15" s="29"/>
      <c r="I15" s="29"/>
      <c r="J15" s="29"/>
      <c r="K15" s="57"/>
    </row>
    <row r="16" spans="1:14">
      <c r="A16" s="26">
        <v>36035</v>
      </c>
      <c r="B16" s="43">
        <v>40.4</v>
      </c>
      <c r="C16" s="43">
        <v>38.6</v>
      </c>
      <c r="D16" s="43">
        <f t="shared" si="0"/>
        <v>79</v>
      </c>
      <c r="E16" s="43">
        <f t="shared" si="1"/>
        <v>51.139240506329109</v>
      </c>
      <c r="F16" s="28"/>
      <c r="G16" s="28"/>
      <c r="H16" s="28"/>
      <c r="I16" s="28"/>
      <c r="J16" s="28"/>
      <c r="K16" s="54"/>
    </row>
    <row r="17" spans="1:11">
      <c r="A17" s="26">
        <v>36042</v>
      </c>
      <c r="B17" s="43">
        <v>40.700000000000003</v>
      </c>
      <c r="C17" s="43">
        <v>43.2</v>
      </c>
      <c r="D17" s="43">
        <f t="shared" si="0"/>
        <v>83.9</v>
      </c>
      <c r="E17" s="43">
        <f t="shared" si="1"/>
        <v>48.51013110846246</v>
      </c>
      <c r="F17" s="28"/>
      <c r="G17" s="28"/>
      <c r="H17" s="28"/>
      <c r="I17" s="28"/>
      <c r="J17" s="28"/>
      <c r="K17" s="54"/>
    </row>
    <row r="18" spans="1:11">
      <c r="A18" s="27">
        <v>36049</v>
      </c>
      <c r="B18" s="47">
        <v>37.299999999999997</v>
      </c>
      <c r="C18" s="47">
        <v>46.6</v>
      </c>
      <c r="D18" s="47">
        <f t="shared" si="0"/>
        <v>83.9</v>
      </c>
      <c r="E18" s="47">
        <f t="shared" si="1"/>
        <v>44.457687723480326</v>
      </c>
      <c r="F18" s="29"/>
      <c r="G18" s="29"/>
      <c r="H18" s="29"/>
      <c r="I18" s="29"/>
      <c r="J18" s="29"/>
      <c r="K18" s="57"/>
    </row>
    <row r="19" spans="1:11">
      <c r="A19" s="27">
        <v>36056</v>
      </c>
      <c r="B19" s="47">
        <v>36.4</v>
      </c>
      <c r="C19" s="47">
        <v>47.5</v>
      </c>
      <c r="D19" s="47">
        <f t="shared" si="0"/>
        <v>83.9</v>
      </c>
      <c r="E19" s="47">
        <f t="shared" si="1"/>
        <v>43.384982121573294</v>
      </c>
      <c r="F19" s="29"/>
      <c r="G19" s="29"/>
      <c r="H19" s="29"/>
      <c r="I19" s="29"/>
      <c r="J19" s="29"/>
      <c r="K19" s="57"/>
    </row>
    <row r="20" spans="1:11">
      <c r="A20" s="26">
        <v>36063</v>
      </c>
      <c r="B20" s="43">
        <v>36.200000000000003</v>
      </c>
      <c r="C20" s="43">
        <v>45.7</v>
      </c>
      <c r="D20" s="43">
        <f t="shared" si="0"/>
        <v>81.900000000000006</v>
      </c>
      <c r="E20" s="43">
        <f t="shared" si="1"/>
        <v>44.2002442002442</v>
      </c>
      <c r="F20" s="28"/>
      <c r="G20" s="28"/>
      <c r="H20" s="28"/>
      <c r="I20" s="28"/>
      <c r="J20" s="28"/>
      <c r="K20" s="54"/>
    </row>
    <row r="21" spans="1:11">
      <c r="A21" s="26">
        <v>36070</v>
      </c>
      <c r="B21" s="43">
        <v>37.6</v>
      </c>
      <c r="C21" s="43">
        <v>44.4</v>
      </c>
      <c r="D21" s="43">
        <f t="shared" si="0"/>
        <v>82</v>
      </c>
      <c r="E21" s="43">
        <f t="shared" si="1"/>
        <v>45.853658536585371</v>
      </c>
      <c r="F21" s="28"/>
      <c r="G21" s="28"/>
      <c r="H21" s="28"/>
      <c r="I21" s="28"/>
      <c r="J21" s="28"/>
      <c r="K21" s="54"/>
    </row>
    <row r="22" spans="1:11">
      <c r="A22" s="27">
        <v>36077</v>
      </c>
      <c r="B22" s="47">
        <v>38.5</v>
      </c>
      <c r="C22" s="47">
        <v>42.7</v>
      </c>
      <c r="D22" s="47">
        <f t="shared" si="0"/>
        <v>81.2</v>
      </c>
      <c r="E22" s="47">
        <f t="shared" si="1"/>
        <v>47.413793103448278</v>
      </c>
      <c r="F22" s="29"/>
      <c r="G22" s="29"/>
      <c r="H22" s="29"/>
      <c r="I22" s="29"/>
      <c r="J22" s="29"/>
      <c r="K22" s="57"/>
    </row>
    <row r="23" spans="1:11">
      <c r="A23" s="27">
        <v>36084</v>
      </c>
      <c r="B23" s="47">
        <v>41</v>
      </c>
      <c r="C23" s="47">
        <v>41.9</v>
      </c>
      <c r="D23" s="47">
        <f t="shared" si="0"/>
        <v>82.9</v>
      </c>
      <c r="E23" s="47">
        <f t="shared" si="1"/>
        <v>49.457177322074784</v>
      </c>
      <c r="F23" s="29"/>
      <c r="G23" s="29"/>
      <c r="H23" s="29"/>
      <c r="I23" s="29"/>
      <c r="J23" s="29"/>
      <c r="K23" s="57"/>
    </row>
    <row r="24" spans="1:11">
      <c r="A24" s="26">
        <v>36091</v>
      </c>
      <c r="B24" s="43">
        <v>44</v>
      </c>
      <c r="C24" s="43">
        <v>39.700000000000003</v>
      </c>
      <c r="D24" s="43">
        <f t="shared" si="0"/>
        <v>83.7</v>
      </c>
      <c r="E24" s="43">
        <f t="shared" si="1"/>
        <v>52.568697729988045</v>
      </c>
      <c r="F24" s="28"/>
      <c r="G24" s="28"/>
      <c r="H24" s="28"/>
      <c r="I24" s="28"/>
      <c r="J24" s="28"/>
      <c r="K24" s="54"/>
    </row>
    <row r="25" spans="1:11">
      <c r="A25" s="26">
        <v>36098</v>
      </c>
      <c r="B25" s="43">
        <v>45.3</v>
      </c>
      <c r="C25" s="43">
        <v>39.299999999999997</v>
      </c>
      <c r="D25" s="43">
        <f t="shared" si="0"/>
        <v>84.6</v>
      </c>
      <c r="E25" s="43">
        <f t="shared" si="1"/>
        <v>53.546099290780148</v>
      </c>
      <c r="F25" s="28"/>
      <c r="G25" s="28"/>
      <c r="H25" s="28"/>
      <c r="I25" s="28"/>
      <c r="J25" s="28"/>
      <c r="K25" s="54"/>
    </row>
    <row r="26" spans="1:11">
      <c r="A26" s="27">
        <v>36105</v>
      </c>
      <c r="B26" s="47">
        <v>47.8</v>
      </c>
      <c r="C26" s="47">
        <v>38.299999999999997</v>
      </c>
      <c r="D26" s="47">
        <f t="shared" si="0"/>
        <v>86.1</v>
      </c>
      <c r="E26" s="47">
        <f t="shared" si="1"/>
        <v>55.516840882694538</v>
      </c>
      <c r="F26" s="29"/>
      <c r="G26" s="29"/>
      <c r="H26" s="29"/>
      <c r="I26" s="29"/>
      <c r="J26" s="29"/>
      <c r="K26" s="57"/>
    </row>
    <row r="27" spans="1:11">
      <c r="A27" s="27">
        <v>36112</v>
      </c>
      <c r="B27" s="47">
        <v>53.1</v>
      </c>
      <c r="C27" s="47">
        <v>35.4</v>
      </c>
      <c r="D27" s="47">
        <f t="shared" si="0"/>
        <v>88.5</v>
      </c>
      <c r="E27" s="47">
        <f t="shared" si="1"/>
        <v>60</v>
      </c>
      <c r="F27" s="29"/>
      <c r="G27" s="29"/>
      <c r="H27" s="29"/>
      <c r="I27" s="29"/>
      <c r="J27" s="29"/>
      <c r="K27" s="57"/>
    </row>
    <row r="28" spans="1:11">
      <c r="A28" s="26">
        <v>36119</v>
      </c>
      <c r="B28" s="43">
        <v>57</v>
      </c>
      <c r="C28" s="43">
        <v>31.6</v>
      </c>
      <c r="D28" s="43">
        <f t="shared" si="0"/>
        <v>88.6</v>
      </c>
      <c r="E28" s="43">
        <f t="shared" si="1"/>
        <v>64.334085778781045</v>
      </c>
      <c r="F28" s="28"/>
      <c r="G28" s="28"/>
      <c r="H28" s="28"/>
      <c r="I28" s="28"/>
      <c r="J28" s="28"/>
      <c r="K28" s="54"/>
    </row>
    <row r="29" spans="1:11">
      <c r="A29" s="26">
        <v>36126</v>
      </c>
      <c r="B29" s="43">
        <v>57.9</v>
      </c>
      <c r="C29" s="43">
        <v>29.8</v>
      </c>
      <c r="D29" s="43">
        <f t="shared" si="0"/>
        <v>87.7</v>
      </c>
      <c r="E29" s="43">
        <f t="shared" si="1"/>
        <v>66.02052451539339</v>
      </c>
      <c r="F29" s="28"/>
      <c r="G29" s="28"/>
      <c r="H29" s="28"/>
      <c r="I29" s="28"/>
      <c r="J29" s="28"/>
      <c r="K29" s="54"/>
    </row>
    <row r="30" spans="1:11">
      <c r="A30" s="27">
        <v>36133</v>
      </c>
      <c r="B30" s="47">
        <v>56.9</v>
      </c>
      <c r="C30" s="47">
        <v>31</v>
      </c>
      <c r="D30" s="47">
        <f t="shared" si="0"/>
        <v>87.9</v>
      </c>
      <c r="E30" s="47">
        <f t="shared" si="1"/>
        <v>64.732650739476668</v>
      </c>
      <c r="F30" s="29"/>
      <c r="G30" s="29"/>
      <c r="H30" s="29"/>
      <c r="I30" s="29"/>
      <c r="J30" s="29"/>
      <c r="K30" s="57"/>
    </row>
    <row r="31" spans="1:11">
      <c r="A31" s="27">
        <v>36140</v>
      </c>
      <c r="B31" s="47">
        <v>57.4</v>
      </c>
      <c r="C31" s="47">
        <v>31.3</v>
      </c>
      <c r="D31" s="47">
        <f t="shared" si="0"/>
        <v>88.7</v>
      </c>
      <c r="E31" s="47">
        <f t="shared" si="1"/>
        <v>64.712514092446455</v>
      </c>
      <c r="F31" s="29"/>
      <c r="G31" s="29"/>
      <c r="H31" s="29"/>
      <c r="I31" s="29"/>
      <c r="J31" s="29"/>
      <c r="K31" s="57"/>
    </row>
    <row r="32" spans="1:11">
      <c r="A32" s="26">
        <v>36147</v>
      </c>
      <c r="B32" s="43">
        <v>56.8</v>
      </c>
      <c r="C32" s="43">
        <v>31.4</v>
      </c>
      <c r="D32" s="43">
        <f t="shared" si="0"/>
        <v>88.199999999999989</v>
      </c>
      <c r="E32" s="43">
        <f t="shared" si="1"/>
        <v>64.399092970521536</v>
      </c>
      <c r="F32" s="28"/>
      <c r="G32" s="28"/>
      <c r="H32" s="28"/>
      <c r="I32" s="28"/>
      <c r="J32" s="28"/>
      <c r="K32" s="54"/>
    </row>
    <row r="33" spans="1:11">
      <c r="A33" s="26">
        <v>36153</v>
      </c>
      <c r="B33" s="43">
        <v>56.4</v>
      </c>
      <c r="C33" s="43">
        <v>32.5</v>
      </c>
      <c r="D33" s="43">
        <f t="shared" si="0"/>
        <v>88.9</v>
      </c>
      <c r="E33" s="43">
        <f t="shared" si="1"/>
        <v>63.442069741282339</v>
      </c>
      <c r="F33" s="28"/>
      <c r="G33" s="28"/>
      <c r="H33" s="28"/>
      <c r="I33" s="28"/>
      <c r="J33" s="28"/>
      <c r="K33" s="54"/>
    </row>
    <row r="34" spans="1:11">
      <c r="A34" s="27">
        <v>36160</v>
      </c>
      <c r="B34" s="47">
        <v>57.1</v>
      </c>
      <c r="C34" s="47">
        <v>30.3</v>
      </c>
      <c r="D34" s="47">
        <f t="shared" si="0"/>
        <v>87.4</v>
      </c>
      <c r="E34" s="47">
        <f t="shared" si="1"/>
        <v>65.331807780320361</v>
      </c>
      <c r="F34" s="29"/>
      <c r="G34" s="29"/>
      <c r="H34" s="29"/>
      <c r="I34" s="29"/>
      <c r="J34" s="29"/>
      <c r="K34" s="57"/>
    </row>
    <row r="35" spans="1:11">
      <c r="A35" s="27">
        <v>36168</v>
      </c>
      <c r="B35" s="47">
        <v>58.3</v>
      </c>
      <c r="C35" s="47">
        <v>30</v>
      </c>
      <c r="D35" s="47">
        <f t="shared" si="0"/>
        <v>88.3</v>
      </c>
      <c r="E35" s="47">
        <f t="shared" si="1"/>
        <v>66.024915062287661</v>
      </c>
      <c r="F35" s="29"/>
      <c r="G35" s="29"/>
      <c r="H35" s="29"/>
      <c r="I35" s="29"/>
      <c r="J35" s="29"/>
      <c r="K35" s="57"/>
    </row>
    <row r="36" spans="1:11">
      <c r="A36" s="26">
        <v>36175</v>
      </c>
      <c r="B36" s="43">
        <v>60</v>
      </c>
      <c r="C36" s="43">
        <v>30</v>
      </c>
      <c r="D36" s="43">
        <f t="shared" si="0"/>
        <v>90</v>
      </c>
      <c r="E36" s="43">
        <f t="shared" si="1"/>
        <v>66.666666666666657</v>
      </c>
      <c r="F36" s="28"/>
      <c r="G36" s="28"/>
      <c r="H36" s="28"/>
      <c r="I36" s="28"/>
      <c r="J36" s="28"/>
      <c r="K36" s="54"/>
    </row>
    <row r="37" spans="1:11">
      <c r="A37" s="26">
        <v>36182</v>
      </c>
      <c r="B37" s="43">
        <v>60.3</v>
      </c>
      <c r="C37" s="43">
        <v>28.9</v>
      </c>
      <c r="D37" s="43">
        <f t="shared" si="0"/>
        <v>89.199999999999989</v>
      </c>
      <c r="E37" s="43">
        <f t="shared" si="1"/>
        <v>67.600896860986552</v>
      </c>
      <c r="F37" s="28"/>
      <c r="G37" s="28"/>
      <c r="H37" s="28"/>
      <c r="I37" s="28"/>
      <c r="J37" s="28"/>
      <c r="K37" s="54"/>
    </row>
    <row r="38" spans="1:11">
      <c r="A38" s="27">
        <v>36189</v>
      </c>
      <c r="B38" s="47">
        <v>60.7</v>
      </c>
      <c r="C38" s="47">
        <v>28.2</v>
      </c>
      <c r="D38" s="47">
        <f t="shared" si="0"/>
        <v>88.9</v>
      </c>
      <c r="E38" s="47">
        <f t="shared" si="1"/>
        <v>68.278965129358824</v>
      </c>
      <c r="F38" s="29"/>
      <c r="G38" s="29"/>
      <c r="H38" s="29"/>
      <c r="I38" s="29"/>
      <c r="J38" s="29"/>
      <c r="K38" s="57"/>
    </row>
    <row r="39" spans="1:11">
      <c r="A39" s="27">
        <v>36196</v>
      </c>
      <c r="B39" s="47">
        <v>60</v>
      </c>
      <c r="C39" s="47">
        <v>26.7</v>
      </c>
      <c r="D39" s="47">
        <f t="shared" si="0"/>
        <v>86.7</v>
      </c>
      <c r="E39" s="47">
        <f t="shared" si="1"/>
        <v>69.20415224913495</v>
      </c>
      <c r="F39" s="29"/>
      <c r="G39" s="29"/>
      <c r="H39" s="29"/>
      <c r="I39" s="29"/>
      <c r="J39" s="29"/>
      <c r="K39" s="57"/>
    </row>
    <row r="40" spans="1:11">
      <c r="A40" s="26">
        <v>36203</v>
      </c>
      <c r="B40" s="43">
        <v>61.2</v>
      </c>
      <c r="C40" s="43">
        <v>25.9</v>
      </c>
      <c r="D40" s="43">
        <f t="shared" si="0"/>
        <v>87.1</v>
      </c>
      <c r="E40" s="43">
        <f t="shared" si="1"/>
        <v>70.264064293915055</v>
      </c>
      <c r="F40" s="28"/>
      <c r="G40" s="28"/>
      <c r="H40" s="28"/>
      <c r="I40" s="28"/>
      <c r="J40" s="28"/>
      <c r="K40" s="54"/>
    </row>
    <row r="41" spans="1:11">
      <c r="A41" s="26">
        <v>36210</v>
      </c>
      <c r="B41" s="43">
        <v>55.7</v>
      </c>
      <c r="C41" s="43">
        <v>28.7</v>
      </c>
      <c r="D41" s="43">
        <f t="shared" si="0"/>
        <v>84.4</v>
      </c>
      <c r="E41" s="43">
        <f t="shared" si="1"/>
        <v>65.995260663507111</v>
      </c>
      <c r="F41" s="28"/>
      <c r="G41" s="28"/>
      <c r="H41" s="28"/>
      <c r="I41" s="28"/>
      <c r="J41" s="28"/>
      <c r="K41" s="54"/>
    </row>
    <row r="42" spans="1:11">
      <c r="A42" s="27">
        <v>36217</v>
      </c>
      <c r="B42" s="47">
        <v>54.1</v>
      </c>
      <c r="C42" s="47">
        <v>31.5</v>
      </c>
      <c r="D42" s="47">
        <f t="shared" si="0"/>
        <v>85.6</v>
      </c>
      <c r="E42" s="47">
        <f t="shared" si="1"/>
        <v>63.200934579439263</v>
      </c>
      <c r="F42" s="29"/>
      <c r="G42" s="29"/>
      <c r="H42" s="29"/>
      <c r="I42" s="29"/>
      <c r="J42" s="29"/>
      <c r="K42" s="57"/>
    </row>
    <row r="43" spans="1:11">
      <c r="A43" s="27">
        <v>36224</v>
      </c>
      <c r="B43" s="47">
        <v>50.9</v>
      </c>
      <c r="C43" s="47">
        <v>32.1</v>
      </c>
      <c r="D43" s="47">
        <f t="shared" si="0"/>
        <v>83</v>
      </c>
      <c r="E43" s="47">
        <f t="shared" si="1"/>
        <v>61.325301204819269</v>
      </c>
      <c r="F43" s="29"/>
      <c r="G43" s="29"/>
      <c r="H43" s="29"/>
      <c r="I43" s="29"/>
      <c r="J43" s="29"/>
      <c r="K43" s="57"/>
    </row>
    <row r="44" spans="1:11">
      <c r="A44" s="71"/>
      <c r="B44" s="29"/>
      <c r="C44" s="29"/>
      <c r="D44" s="29"/>
      <c r="E44" s="29"/>
      <c r="F44" s="29"/>
      <c r="G44" s="29"/>
      <c r="H44" s="29"/>
      <c r="I44" s="29"/>
      <c r="J44" s="29"/>
      <c r="K44" s="57"/>
    </row>
    <row r="46" spans="1:11">
      <c r="A46" s="346" t="s">
        <v>918</v>
      </c>
    </row>
  </sheetData>
  <mergeCells count="1">
    <mergeCell ref="B5:K5"/>
  </mergeCells>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4100"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4101"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4102"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dimension ref="A1:N89"/>
  <sheetViews>
    <sheetView workbookViewId="0"/>
  </sheetViews>
  <sheetFormatPr baseColWidth="10" defaultColWidth="8.83203125" defaultRowHeight="12" x14ac:dyDescent="0"/>
  <cols>
    <col min="1" max="1" width="10.83203125" customWidth="1"/>
    <col min="2" max="2" width="11.1640625" customWidth="1"/>
    <col min="4" max="4" width="11.5" customWidth="1"/>
    <col min="6" max="7" width="15.83203125" customWidth="1"/>
    <col min="8" max="8" width="12.1640625" customWidth="1"/>
    <col min="9" max="9" width="12.6640625" customWidth="1"/>
    <col min="10" max="10" width="11.16406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24" t="s">
        <v>1045</v>
      </c>
      <c r="B3" s="33" t="s">
        <v>1114</v>
      </c>
      <c r="C3" s="21"/>
      <c r="D3" s="21"/>
      <c r="E3" s="21"/>
      <c r="F3" s="21"/>
      <c r="G3" s="21"/>
      <c r="H3" s="21"/>
      <c r="I3" s="21"/>
      <c r="J3" s="21"/>
    </row>
    <row r="4" spans="1:14">
      <c r="A4" s="24" t="s">
        <v>774</v>
      </c>
      <c r="B4" s="33" t="s">
        <v>634</v>
      </c>
      <c r="C4" s="21"/>
      <c r="D4" s="21"/>
      <c r="E4" s="21"/>
      <c r="F4" s="21"/>
      <c r="G4" s="21"/>
      <c r="H4" s="21"/>
      <c r="I4" s="21"/>
      <c r="J4" s="21"/>
    </row>
    <row r="5" spans="1:14" ht="34.5" customHeight="1">
      <c r="A5" s="48" t="s">
        <v>779</v>
      </c>
      <c r="B5" s="446" t="s">
        <v>1145</v>
      </c>
      <c r="C5" s="446"/>
      <c r="D5" s="446"/>
      <c r="E5" s="446"/>
      <c r="F5" s="446"/>
      <c r="G5" s="446"/>
      <c r="H5" s="446"/>
      <c r="I5" s="446"/>
      <c r="J5" s="446"/>
    </row>
    <row r="6" spans="1:14" ht="76.5" customHeight="1">
      <c r="A6" s="21"/>
      <c r="B6" s="21"/>
      <c r="C6" s="21"/>
      <c r="D6" s="21"/>
      <c r="E6" s="21"/>
      <c r="F6" s="21"/>
      <c r="G6" s="21"/>
      <c r="H6" s="21"/>
      <c r="I6" s="21"/>
      <c r="J6" s="21"/>
    </row>
    <row r="7" spans="1:14" ht="12" customHeight="1">
      <c r="A7" s="60" t="s">
        <v>415</v>
      </c>
      <c r="B7" s="185" t="s">
        <v>637</v>
      </c>
      <c r="C7" s="21"/>
      <c r="D7" s="21"/>
      <c r="E7" s="21"/>
      <c r="F7" s="21"/>
      <c r="G7" s="21"/>
      <c r="H7" s="21"/>
      <c r="I7" s="21"/>
      <c r="J7" s="21"/>
    </row>
    <row r="8" spans="1:14" s="1" customFormat="1" ht="50.25" customHeight="1">
      <c r="A8" s="22" t="s">
        <v>1090</v>
      </c>
      <c r="B8" s="31" t="s">
        <v>1096</v>
      </c>
      <c r="C8" s="22" t="s">
        <v>1097</v>
      </c>
      <c r="D8" s="22" t="s">
        <v>1098</v>
      </c>
      <c r="E8" s="22" t="s">
        <v>1099</v>
      </c>
      <c r="F8" s="31" t="s">
        <v>924</v>
      </c>
      <c r="G8" s="31" t="s">
        <v>925</v>
      </c>
      <c r="H8" s="31" t="s">
        <v>926</v>
      </c>
      <c r="I8" s="31" t="s">
        <v>927</v>
      </c>
      <c r="J8" s="31" t="s">
        <v>928</v>
      </c>
    </row>
    <row r="9" spans="1:14">
      <c r="A9" s="26">
        <v>33725</v>
      </c>
      <c r="B9" s="52">
        <v>8.625</v>
      </c>
      <c r="C9" s="52">
        <v>8.3125</v>
      </c>
      <c r="D9" s="52">
        <v>8.625</v>
      </c>
      <c r="E9" s="255">
        <v>4494</v>
      </c>
      <c r="F9" s="276">
        <f>((D9-C9)-(B9-D9))/(B9-C9)</f>
        <v>1</v>
      </c>
      <c r="G9" s="255">
        <f>F9*E9</f>
        <v>4494</v>
      </c>
      <c r="H9" s="255"/>
      <c r="I9" s="255"/>
      <c r="J9" s="54"/>
    </row>
    <row r="10" spans="1:14">
      <c r="A10" s="26">
        <v>33728</v>
      </c>
      <c r="B10" s="52">
        <v>8.625</v>
      </c>
      <c r="C10" s="52">
        <v>8.4375</v>
      </c>
      <c r="D10" s="52">
        <v>8.5</v>
      </c>
      <c r="E10" s="255">
        <v>2090</v>
      </c>
      <c r="F10" s="276">
        <f t="shared" ref="F10:F66" si="0">((D10-C10)-(B10-D10))/(B10-C10)</f>
        <v>-0.33333333333333331</v>
      </c>
      <c r="G10" s="255">
        <f t="shared" ref="G10:G66" si="1">F10*E10</f>
        <v>-696.66666666666663</v>
      </c>
      <c r="H10" s="255"/>
      <c r="I10" s="255"/>
      <c r="J10" s="54"/>
    </row>
    <row r="11" spans="1:14">
      <c r="A11" s="27">
        <v>33729</v>
      </c>
      <c r="B11" s="55">
        <v>8.625</v>
      </c>
      <c r="C11" s="55">
        <v>8.4375</v>
      </c>
      <c r="D11" s="55">
        <v>8.625</v>
      </c>
      <c r="E11" s="257">
        <v>1306</v>
      </c>
      <c r="F11" s="289">
        <f t="shared" si="0"/>
        <v>1</v>
      </c>
      <c r="G11" s="257">
        <f t="shared" si="1"/>
        <v>1306</v>
      </c>
      <c r="H11" s="257"/>
      <c r="I11" s="257"/>
      <c r="J11" s="57"/>
    </row>
    <row r="12" spans="1:14">
      <c r="A12" s="27">
        <v>33730</v>
      </c>
      <c r="B12" s="55">
        <v>8.75</v>
      </c>
      <c r="C12" s="55">
        <v>8.625</v>
      </c>
      <c r="D12" s="55">
        <v>8.75</v>
      </c>
      <c r="E12" s="257">
        <v>4242</v>
      </c>
      <c r="F12" s="289">
        <f t="shared" si="0"/>
        <v>1</v>
      </c>
      <c r="G12" s="257">
        <f t="shared" si="1"/>
        <v>4242</v>
      </c>
      <c r="H12" s="257"/>
      <c r="I12" s="257"/>
      <c r="J12" s="57"/>
    </row>
    <row r="13" spans="1:14">
      <c r="A13" s="26">
        <v>33731</v>
      </c>
      <c r="B13" s="52">
        <v>8.75</v>
      </c>
      <c r="C13" s="52">
        <v>8.4375</v>
      </c>
      <c r="D13" s="52">
        <v>8.5</v>
      </c>
      <c r="E13" s="255">
        <v>2874</v>
      </c>
      <c r="F13" s="276">
        <f t="shared" si="0"/>
        <v>-0.6</v>
      </c>
      <c r="G13" s="255">
        <f t="shared" si="1"/>
        <v>-1724.3999999999999</v>
      </c>
      <c r="H13" s="276">
        <f>SUM(G9:G13)</f>
        <v>7620.9333333333343</v>
      </c>
      <c r="I13" s="255">
        <f>SUM(E9:E13)</f>
        <v>15006</v>
      </c>
      <c r="J13" s="58">
        <f t="shared" ref="J13:J28" si="2">H13/I13</f>
        <v>0.50785907859078594</v>
      </c>
      <c r="K13" s="49"/>
      <c r="L13" s="50"/>
    </row>
    <row r="14" spans="1:14">
      <c r="A14" s="26">
        <v>33732</v>
      </c>
      <c r="B14" s="52">
        <v>8.5625</v>
      </c>
      <c r="C14" s="52">
        <v>8.5</v>
      </c>
      <c r="D14" s="52">
        <v>8.5</v>
      </c>
      <c r="E14" s="255">
        <v>598</v>
      </c>
      <c r="F14" s="276">
        <f t="shared" si="0"/>
        <v>-1</v>
      </c>
      <c r="G14" s="255">
        <f t="shared" si="1"/>
        <v>-598</v>
      </c>
      <c r="H14" s="276">
        <f t="shared" ref="H14:H66" si="3">SUM(G10:G14)</f>
        <v>2528.9333333333334</v>
      </c>
      <c r="I14" s="255">
        <f t="shared" ref="I14:I66" si="4">SUM(E10:E14)</f>
        <v>11110</v>
      </c>
      <c r="J14" s="58">
        <f t="shared" si="2"/>
        <v>0.22762676267626764</v>
      </c>
      <c r="K14" s="49"/>
      <c r="L14" s="50"/>
    </row>
    <row r="15" spans="1:14">
      <c r="A15" s="27">
        <v>33735</v>
      </c>
      <c r="B15" s="55">
        <v>8.5</v>
      </c>
      <c r="C15" s="55">
        <v>8.1875</v>
      </c>
      <c r="D15" s="55">
        <v>8.3125</v>
      </c>
      <c r="E15" s="257">
        <v>2668</v>
      </c>
      <c r="F15" s="289">
        <f t="shared" si="0"/>
        <v>-0.2</v>
      </c>
      <c r="G15" s="257">
        <f t="shared" si="1"/>
        <v>-533.6</v>
      </c>
      <c r="H15" s="289">
        <f t="shared" si="3"/>
        <v>2692.0000000000005</v>
      </c>
      <c r="I15" s="257">
        <f t="shared" si="4"/>
        <v>11688</v>
      </c>
      <c r="J15" s="59">
        <f t="shared" si="2"/>
        <v>0.23032169746748807</v>
      </c>
      <c r="K15" s="51"/>
      <c r="L15" s="30"/>
    </row>
    <row r="16" spans="1:14">
      <c r="A16" s="27">
        <v>33736</v>
      </c>
      <c r="B16" s="55">
        <v>8.3125</v>
      </c>
      <c r="C16" s="55">
        <v>8</v>
      </c>
      <c r="D16" s="55">
        <v>8</v>
      </c>
      <c r="E16" s="257">
        <v>19008</v>
      </c>
      <c r="F16" s="289">
        <f t="shared" si="0"/>
        <v>-1</v>
      </c>
      <c r="G16" s="257">
        <f t="shared" si="1"/>
        <v>-19008</v>
      </c>
      <c r="H16" s="289">
        <f t="shared" si="3"/>
        <v>-17622</v>
      </c>
      <c r="I16" s="257">
        <f t="shared" si="4"/>
        <v>29390</v>
      </c>
      <c r="J16" s="59">
        <f t="shared" si="2"/>
        <v>-0.59959169785641375</v>
      </c>
    </row>
    <row r="17" spans="1:10">
      <c r="A17" s="26">
        <v>33737</v>
      </c>
      <c r="B17" s="52">
        <v>8.0625</v>
      </c>
      <c r="C17" s="52">
        <v>8</v>
      </c>
      <c r="D17" s="52">
        <v>8.0625</v>
      </c>
      <c r="E17" s="255">
        <v>6712</v>
      </c>
      <c r="F17" s="276">
        <f t="shared" si="0"/>
        <v>1</v>
      </c>
      <c r="G17" s="255">
        <f t="shared" si="1"/>
        <v>6712</v>
      </c>
      <c r="H17" s="276">
        <f t="shared" si="3"/>
        <v>-15152</v>
      </c>
      <c r="I17" s="255">
        <f t="shared" si="4"/>
        <v>31860</v>
      </c>
      <c r="J17" s="58">
        <f t="shared" si="2"/>
        <v>-0.47558066541117389</v>
      </c>
    </row>
    <row r="18" spans="1:10">
      <c r="A18" s="26">
        <v>33738</v>
      </c>
      <c r="B18" s="52">
        <v>8.0625</v>
      </c>
      <c r="C18" s="52">
        <v>7.9375</v>
      </c>
      <c r="D18" s="52">
        <v>8</v>
      </c>
      <c r="E18" s="255">
        <v>1924</v>
      </c>
      <c r="F18" s="276">
        <f t="shared" si="0"/>
        <v>0</v>
      </c>
      <c r="G18" s="255">
        <f t="shared" si="1"/>
        <v>0</v>
      </c>
      <c r="H18" s="276">
        <f t="shared" si="3"/>
        <v>-13427.599999999999</v>
      </c>
      <c r="I18" s="255">
        <f t="shared" si="4"/>
        <v>30910</v>
      </c>
      <c r="J18" s="58">
        <f t="shared" si="2"/>
        <v>-0.43440957618893555</v>
      </c>
    </row>
    <row r="19" spans="1:10">
      <c r="A19" s="27">
        <v>33739</v>
      </c>
      <c r="B19" s="55">
        <v>7.875</v>
      </c>
      <c r="C19" s="55">
        <v>7.375</v>
      </c>
      <c r="D19" s="55">
        <v>7.5625</v>
      </c>
      <c r="E19" s="257">
        <v>10340</v>
      </c>
      <c r="F19" s="289">
        <f t="shared" si="0"/>
        <v>-0.25</v>
      </c>
      <c r="G19" s="257">
        <f t="shared" si="1"/>
        <v>-2585</v>
      </c>
      <c r="H19" s="289">
        <f t="shared" si="3"/>
        <v>-15414.599999999999</v>
      </c>
      <c r="I19" s="257">
        <f t="shared" si="4"/>
        <v>40652</v>
      </c>
      <c r="J19" s="59">
        <f t="shared" si="2"/>
        <v>-0.37918429597559772</v>
      </c>
    </row>
    <row r="20" spans="1:10">
      <c r="A20" s="27">
        <v>33742</v>
      </c>
      <c r="B20" s="55">
        <v>7.5</v>
      </c>
      <c r="C20" s="55">
        <v>7</v>
      </c>
      <c r="D20" s="55">
        <v>7.0625</v>
      </c>
      <c r="E20" s="257">
        <v>11910</v>
      </c>
      <c r="F20" s="289">
        <f t="shared" si="0"/>
        <v>-0.75</v>
      </c>
      <c r="G20" s="257">
        <f t="shared" si="1"/>
        <v>-8932.5</v>
      </c>
      <c r="H20" s="289">
        <f t="shared" si="3"/>
        <v>-23813.5</v>
      </c>
      <c r="I20" s="257">
        <f t="shared" si="4"/>
        <v>49894</v>
      </c>
      <c r="J20" s="59">
        <f t="shared" si="2"/>
        <v>-0.47728183749549041</v>
      </c>
    </row>
    <row r="21" spans="1:10">
      <c r="A21" s="26">
        <v>33743</v>
      </c>
      <c r="B21" s="52">
        <v>7.3125</v>
      </c>
      <c r="C21" s="52">
        <v>7</v>
      </c>
      <c r="D21" s="52">
        <v>7.3125</v>
      </c>
      <c r="E21" s="255">
        <v>3474</v>
      </c>
      <c r="F21" s="276">
        <f t="shared" si="0"/>
        <v>1</v>
      </c>
      <c r="G21" s="255">
        <f t="shared" si="1"/>
        <v>3474</v>
      </c>
      <c r="H21" s="276">
        <f t="shared" si="3"/>
        <v>-1331.5</v>
      </c>
      <c r="I21" s="255">
        <f t="shared" si="4"/>
        <v>34360</v>
      </c>
      <c r="J21" s="58">
        <f t="shared" si="2"/>
        <v>-3.8751455180442373E-2</v>
      </c>
    </row>
    <row r="22" spans="1:10">
      <c r="A22" s="26">
        <v>33744</v>
      </c>
      <c r="B22" s="52">
        <v>7.4375</v>
      </c>
      <c r="C22" s="52">
        <v>7.3125</v>
      </c>
      <c r="D22" s="52">
        <v>7.375</v>
      </c>
      <c r="E22" s="255">
        <v>3112</v>
      </c>
      <c r="F22" s="276">
        <f t="shared" si="0"/>
        <v>0</v>
      </c>
      <c r="G22" s="255">
        <f t="shared" si="1"/>
        <v>0</v>
      </c>
      <c r="H22" s="276">
        <f t="shared" si="3"/>
        <v>-8043.5</v>
      </c>
      <c r="I22" s="255">
        <f t="shared" si="4"/>
        <v>30760</v>
      </c>
      <c r="J22" s="58">
        <f t="shared" si="2"/>
        <v>-0.26149219765929776</v>
      </c>
    </row>
    <row r="23" spans="1:10">
      <c r="A23" s="27">
        <v>33745</v>
      </c>
      <c r="B23" s="55">
        <v>7.5625</v>
      </c>
      <c r="C23" s="55">
        <v>7.25</v>
      </c>
      <c r="D23" s="55">
        <v>7.5</v>
      </c>
      <c r="E23" s="257">
        <v>6898</v>
      </c>
      <c r="F23" s="289">
        <f t="shared" si="0"/>
        <v>0.6</v>
      </c>
      <c r="G23" s="257">
        <f t="shared" si="1"/>
        <v>4138.8</v>
      </c>
      <c r="H23" s="289">
        <f t="shared" si="3"/>
        <v>-3904.7</v>
      </c>
      <c r="I23" s="257">
        <f t="shared" si="4"/>
        <v>35734</v>
      </c>
      <c r="J23" s="59">
        <f t="shared" si="2"/>
        <v>-0.10927128225219679</v>
      </c>
    </row>
    <row r="24" spans="1:10">
      <c r="A24" s="27">
        <v>33746</v>
      </c>
      <c r="B24" s="55">
        <v>7.5625</v>
      </c>
      <c r="C24" s="55">
        <v>7.4375</v>
      </c>
      <c r="D24" s="55">
        <v>7.5625</v>
      </c>
      <c r="E24" s="257">
        <v>2448</v>
      </c>
      <c r="F24" s="289">
        <f t="shared" si="0"/>
        <v>1</v>
      </c>
      <c r="G24" s="257">
        <f t="shared" si="1"/>
        <v>2448</v>
      </c>
      <c r="H24" s="289">
        <f t="shared" si="3"/>
        <v>1128.3000000000002</v>
      </c>
      <c r="I24" s="257">
        <f t="shared" si="4"/>
        <v>27842</v>
      </c>
      <c r="J24" s="59">
        <f t="shared" si="2"/>
        <v>4.0525105955031976E-2</v>
      </c>
    </row>
    <row r="25" spans="1:10">
      <c r="A25" s="26">
        <v>33750</v>
      </c>
      <c r="B25" s="52">
        <v>7.75</v>
      </c>
      <c r="C25" s="52">
        <v>7.375</v>
      </c>
      <c r="D25" s="52">
        <v>7.5625</v>
      </c>
      <c r="E25" s="255">
        <v>8464</v>
      </c>
      <c r="F25" s="276">
        <f t="shared" si="0"/>
        <v>0</v>
      </c>
      <c r="G25" s="255">
        <f t="shared" si="1"/>
        <v>0</v>
      </c>
      <c r="H25" s="276">
        <f t="shared" si="3"/>
        <v>10060.799999999999</v>
      </c>
      <c r="I25" s="255">
        <f t="shared" si="4"/>
        <v>24396</v>
      </c>
      <c r="J25" s="58">
        <f t="shared" si="2"/>
        <v>0.41239547466797832</v>
      </c>
    </row>
    <row r="26" spans="1:10">
      <c r="A26" s="26">
        <v>33751</v>
      </c>
      <c r="B26" s="52">
        <v>7.625</v>
      </c>
      <c r="C26" s="52">
        <v>7.5</v>
      </c>
      <c r="D26" s="52">
        <v>7.625</v>
      </c>
      <c r="E26" s="255">
        <v>3996</v>
      </c>
      <c r="F26" s="276">
        <f t="shared" si="0"/>
        <v>1</v>
      </c>
      <c r="G26" s="255">
        <f t="shared" si="1"/>
        <v>3996</v>
      </c>
      <c r="H26" s="276">
        <f t="shared" si="3"/>
        <v>10582.8</v>
      </c>
      <c r="I26" s="255">
        <f t="shared" si="4"/>
        <v>24918</v>
      </c>
      <c r="J26" s="58">
        <f t="shared" si="2"/>
        <v>0.42470503250662167</v>
      </c>
    </row>
    <row r="27" spans="1:10">
      <c r="A27" s="27">
        <v>33752</v>
      </c>
      <c r="B27" s="55">
        <v>7.75</v>
      </c>
      <c r="C27" s="55">
        <v>7.625</v>
      </c>
      <c r="D27" s="55">
        <v>7.6875</v>
      </c>
      <c r="E27" s="257">
        <v>2754</v>
      </c>
      <c r="F27" s="289">
        <f t="shared" si="0"/>
        <v>0</v>
      </c>
      <c r="G27" s="257">
        <f t="shared" si="1"/>
        <v>0</v>
      </c>
      <c r="H27" s="289">
        <f t="shared" si="3"/>
        <v>10582.8</v>
      </c>
      <c r="I27" s="257">
        <f t="shared" si="4"/>
        <v>24560</v>
      </c>
      <c r="J27" s="59">
        <f t="shared" si="2"/>
        <v>0.43089576547231268</v>
      </c>
    </row>
    <row r="28" spans="1:10">
      <c r="A28" s="27">
        <v>33753</v>
      </c>
      <c r="B28" s="55">
        <v>7.875</v>
      </c>
      <c r="C28" s="55">
        <v>7.6875</v>
      </c>
      <c r="D28" s="55">
        <v>7.875</v>
      </c>
      <c r="E28" s="257">
        <v>3138</v>
      </c>
      <c r="F28" s="289">
        <f t="shared" si="0"/>
        <v>1</v>
      </c>
      <c r="G28" s="257">
        <f t="shared" si="1"/>
        <v>3138</v>
      </c>
      <c r="H28" s="289">
        <f t="shared" si="3"/>
        <v>9582</v>
      </c>
      <c r="I28" s="257">
        <f t="shared" si="4"/>
        <v>20800</v>
      </c>
      <c r="J28" s="59">
        <f t="shared" si="2"/>
        <v>0.46067307692307691</v>
      </c>
    </row>
    <row r="29" spans="1:10">
      <c r="A29" s="26">
        <v>33756</v>
      </c>
      <c r="B29" s="52">
        <v>8.1875</v>
      </c>
      <c r="C29" s="52">
        <v>7.875</v>
      </c>
      <c r="D29" s="52">
        <v>8.125</v>
      </c>
      <c r="E29" s="255">
        <v>5204</v>
      </c>
      <c r="F29" s="276">
        <f t="shared" si="0"/>
        <v>0.6</v>
      </c>
      <c r="G29" s="255">
        <f t="shared" si="1"/>
        <v>3122.4</v>
      </c>
      <c r="H29" s="276">
        <f t="shared" si="3"/>
        <v>10256.4</v>
      </c>
      <c r="I29" s="255">
        <f t="shared" si="4"/>
        <v>23556</v>
      </c>
      <c r="J29" s="58">
        <f>H29/I29</f>
        <v>0.43540499235863472</v>
      </c>
    </row>
    <row r="30" spans="1:10">
      <c r="A30" s="26">
        <v>33757</v>
      </c>
      <c r="B30" s="52">
        <v>8.5</v>
      </c>
      <c r="C30" s="52">
        <v>8.25</v>
      </c>
      <c r="D30" s="52">
        <v>8.25</v>
      </c>
      <c r="E30" s="255">
        <v>7552</v>
      </c>
      <c r="F30" s="276">
        <f t="shared" si="0"/>
        <v>-1</v>
      </c>
      <c r="G30" s="255">
        <f t="shared" si="1"/>
        <v>-7552</v>
      </c>
      <c r="H30" s="276">
        <f t="shared" si="3"/>
        <v>2704.3999999999996</v>
      </c>
      <c r="I30" s="255">
        <f t="shared" si="4"/>
        <v>22644</v>
      </c>
      <c r="J30" s="58">
        <f t="shared" ref="J30:J45" si="5">H30/I30</f>
        <v>0.11943119590178412</v>
      </c>
    </row>
    <row r="31" spans="1:10">
      <c r="A31" s="27">
        <v>33758</v>
      </c>
      <c r="B31" s="55">
        <v>8.3125</v>
      </c>
      <c r="C31" s="55">
        <v>8.125</v>
      </c>
      <c r="D31" s="55">
        <v>8.3125</v>
      </c>
      <c r="E31" s="257">
        <v>1798</v>
      </c>
      <c r="F31" s="289">
        <f t="shared" si="0"/>
        <v>1</v>
      </c>
      <c r="G31" s="257">
        <f t="shared" si="1"/>
        <v>1798</v>
      </c>
      <c r="H31" s="289">
        <f t="shared" si="3"/>
        <v>506.39999999999964</v>
      </c>
      <c r="I31" s="257">
        <f t="shared" si="4"/>
        <v>20446</v>
      </c>
      <c r="J31" s="59">
        <f t="shared" si="5"/>
        <v>2.4767680719945204E-2</v>
      </c>
    </row>
    <row r="32" spans="1:10">
      <c r="A32" s="27">
        <v>33759</v>
      </c>
      <c r="B32" s="55">
        <v>8.375</v>
      </c>
      <c r="C32" s="55">
        <v>8.125</v>
      </c>
      <c r="D32" s="55">
        <v>8.125</v>
      </c>
      <c r="E32" s="257">
        <v>2348</v>
      </c>
      <c r="F32" s="289">
        <f t="shared" si="0"/>
        <v>-1</v>
      </c>
      <c r="G32" s="257">
        <f t="shared" si="1"/>
        <v>-2348</v>
      </c>
      <c r="H32" s="289">
        <f t="shared" si="3"/>
        <v>-1841.6000000000004</v>
      </c>
      <c r="I32" s="257">
        <f t="shared" si="4"/>
        <v>20040</v>
      </c>
      <c r="J32" s="59">
        <f t="shared" si="5"/>
        <v>-9.1896207584830358E-2</v>
      </c>
    </row>
    <row r="33" spans="1:10">
      <c r="A33" s="26">
        <v>33760</v>
      </c>
      <c r="B33" s="52">
        <v>8.25</v>
      </c>
      <c r="C33" s="52">
        <v>8.125</v>
      </c>
      <c r="D33" s="52">
        <v>8.1875</v>
      </c>
      <c r="E33" s="255">
        <v>2498</v>
      </c>
      <c r="F33" s="276">
        <f t="shared" si="0"/>
        <v>0</v>
      </c>
      <c r="G33" s="255">
        <f t="shared" si="1"/>
        <v>0</v>
      </c>
      <c r="H33" s="276">
        <f t="shared" si="3"/>
        <v>-4979.6000000000004</v>
      </c>
      <c r="I33" s="255">
        <f t="shared" si="4"/>
        <v>19400</v>
      </c>
      <c r="J33" s="58">
        <f t="shared" si="5"/>
        <v>-0.25668041237113404</v>
      </c>
    </row>
    <row r="34" spans="1:10">
      <c r="A34" s="26">
        <v>33763</v>
      </c>
      <c r="B34" s="52">
        <v>8.5</v>
      </c>
      <c r="C34" s="52">
        <v>8.125</v>
      </c>
      <c r="D34" s="52">
        <v>8.125</v>
      </c>
      <c r="E34" s="255">
        <v>2498</v>
      </c>
      <c r="F34" s="276">
        <f t="shared" si="0"/>
        <v>-1</v>
      </c>
      <c r="G34" s="255">
        <f t="shared" si="1"/>
        <v>-2498</v>
      </c>
      <c r="H34" s="276">
        <f t="shared" si="3"/>
        <v>-10600</v>
      </c>
      <c r="I34" s="255">
        <f t="shared" si="4"/>
        <v>16694</v>
      </c>
      <c r="J34" s="58">
        <f t="shared" si="5"/>
        <v>-0.6349586677848329</v>
      </c>
    </row>
    <row r="35" spans="1:10">
      <c r="A35" s="27">
        <v>33764</v>
      </c>
      <c r="B35" s="55">
        <v>8.125</v>
      </c>
      <c r="C35" s="55">
        <v>7.875</v>
      </c>
      <c r="D35" s="55">
        <v>8</v>
      </c>
      <c r="E35" s="257">
        <v>2348</v>
      </c>
      <c r="F35" s="289">
        <f t="shared" si="0"/>
        <v>0</v>
      </c>
      <c r="G35" s="257">
        <f t="shared" si="1"/>
        <v>0</v>
      </c>
      <c r="H35" s="289">
        <f t="shared" si="3"/>
        <v>-3048</v>
      </c>
      <c r="I35" s="257">
        <f t="shared" si="4"/>
        <v>11490</v>
      </c>
      <c r="J35" s="59">
        <f t="shared" si="5"/>
        <v>-0.26527415143603134</v>
      </c>
    </row>
    <row r="36" spans="1:10">
      <c r="A36" s="27">
        <v>33765</v>
      </c>
      <c r="B36" s="55">
        <v>8.125</v>
      </c>
      <c r="C36" s="55">
        <v>7.625</v>
      </c>
      <c r="D36" s="55">
        <v>7.6875</v>
      </c>
      <c r="E36" s="257">
        <v>3710</v>
      </c>
      <c r="F36" s="289">
        <f t="shared" si="0"/>
        <v>-0.75</v>
      </c>
      <c r="G36" s="257">
        <f t="shared" si="1"/>
        <v>-2782.5</v>
      </c>
      <c r="H36" s="289">
        <f t="shared" si="3"/>
        <v>-7628.5</v>
      </c>
      <c r="I36" s="257">
        <f t="shared" si="4"/>
        <v>13402</v>
      </c>
      <c r="J36" s="59">
        <f t="shared" si="5"/>
        <v>-0.5692060886434861</v>
      </c>
    </row>
    <row r="37" spans="1:10">
      <c r="A37" s="26">
        <v>33766</v>
      </c>
      <c r="B37" s="52">
        <v>7.8125</v>
      </c>
      <c r="C37" s="52">
        <v>7.5625</v>
      </c>
      <c r="D37" s="52">
        <v>7.625</v>
      </c>
      <c r="E37" s="255">
        <v>1346</v>
      </c>
      <c r="F37" s="276">
        <f t="shared" si="0"/>
        <v>-0.5</v>
      </c>
      <c r="G37" s="255">
        <f t="shared" si="1"/>
        <v>-673</v>
      </c>
      <c r="H37" s="276">
        <f t="shared" si="3"/>
        <v>-5953.5</v>
      </c>
      <c r="I37" s="255">
        <f t="shared" si="4"/>
        <v>12400</v>
      </c>
      <c r="J37" s="58">
        <f t="shared" si="5"/>
        <v>-0.48012096774193547</v>
      </c>
    </row>
    <row r="38" spans="1:10">
      <c r="A38" s="26">
        <v>33767</v>
      </c>
      <c r="B38" s="52">
        <v>7.625</v>
      </c>
      <c r="C38" s="52">
        <v>7.375</v>
      </c>
      <c r="D38" s="52">
        <v>7.4375</v>
      </c>
      <c r="E38" s="255">
        <v>4030</v>
      </c>
      <c r="F38" s="276">
        <f t="shared" si="0"/>
        <v>-0.5</v>
      </c>
      <c r="G38" s="255">
        <f t="shared" si="1"/>
        <v>-2015</v>
      </c>
      <c r="H38" s="276">
        <f t="shared" si="3"/>
        <v>-7968.5</v>
      </c>
      <c r="I38" s="255">
        <f t="shared" si="4"/>
        <v>13932</v>
      </c>
      <c r="J38" s="58">
        <f t="shared" si="5"/>
        <v>-0.57195664656904965</v>
      </c>
    </row>
    <row r="39" spans="1:10">
      <c r="A39" s="27">
        <v>33770</v>
      </c>
      <c r="B39" s="55">
        <v>7.5625</v>
      </c>
      <c r="C39" s="55">
        <v>7.3125</v>
      </c>
      <c r="D39" s="55">
        <v>7.4375</v>
      </c>
      <c r="E39" s="257">
        <v>3034</v>
      </c>
      <c r="F39" s="289">
        <f t="shared" si="0"/>
        <v>0</v>
      </c>
      <c r="G39" s="257">
        <f t="shared" si="1"/>
        <v>0</v>
      </c>
      <c r="H39" s="289">
        <f t="shared" si="3"/>
        <v>-5470.5</v>
      </c>
      <c r="I39" s="257">
        <f t="shared" si="4"/>
        <v>14468</v>
      </c>
      <c r="J39" s="59">
        <f t="shared" si="5"/>
        <v>-0.37811031241360243</v>
      </c>
    </row>
    <row r="40" spans="1:10">
      <c r="A40" s="27">
        <v>33771</v>
      </c>
      <c r="B40" s="55">
        <v>7.5</v>
      </c>
      <c r="C40" s="55">
        <v>7.375</v>
      </c>
      <c r="D40" s="55">
        <v>7.5</v>
      </c>
      <c r="E40" s="257">
        <v>2308</v>
      </c>
      <c r="F40" s="289">
        <f t="shared" si="0"/>
        <v>1</v>
      </c>
      <c r="G40" s="257">
        <f t="shared" si="1"/>
        <v>2308</v>
      </c>
      <c r="H40" s="289">
        <f t="shared" si="3"/>
        <v>-3162.5</v>
      </c>
      <c r="I40" s="257">
        <f t="shared" si="4"/>
        <v>14428</v>
      </c>
      <c r="J40" s="59">
        <f t="shared" si="5"/>
        <v>-0.21919184918214582</v>
      </c>
    </row>
    <row r="41" spans="1:10">
      <c r="A41" s="26">
        <v>33772</v>
      </c>
      <c r="B41" s="52">
        <v>7.5</v>
      </c>
      <c r="C41" s="52">
        <v>7.375</v>
      </c>
      <c r="D41" s="52">
        <v>7.4375</v>
      </c>
      <c r="E41" s="255">
        <v>1584</v>
      </c>
      <c r="F41" s="276">
        <f t="shared" si="0"/>
        <v>0</v>
      </c>
      <c r="G41" s="255">
        <f t="shared" si="1"/>
        <v>0</v>
      </c>
      <c r="H41" s="276">
        <f t="shared" si="3"/>
        <v>-380</v>
      </c>
      <c r="I41" s="255">
        <f t="shared" si="4"/>
        <v>12302</v>
      </c>
      <c r="J41" s="58">
        <f t="shared" si="5"/>
        <v>-3.0889286294911396E-2</v>
      </c>
    </row>
    <row r="42" spans="1:10">
      <c r="A42" s="26">
        <v>33773</v>
      </c>
      <c r="B42" s="52">
        <v>7.5</v>
      </c>
      <c r="C42" s="52">
        <v>7.3125</v>
      </c>
      <c r="D42" s="52">
        <v>7.375</v>
      </c>
      <c r="E42" s="255">
        <v>1320</v>
      </c>
      <c r="F42" s="276">
        <f t="shared" si="0"/>
        <v>-0.33333333333333331</v>
      </c>
      <c r="G42" s="255">
        <f t="shared" si="1"/>
        <v>-440</v>
      </c>
      <c r="H42" s="276">
        <f t="shared" si="3"/>
        <v>-147</v>
      </c>
      <c r="I42" s="255">
        <f t="shared" si="4"/>
        <v>12276</v>
      </c>
      <c r="J42" s="58">
        <f t="shared" si="5"/>
        <v>-1.1974584555229716E-2</v>
      </c>
    </row>
    <row r="43" spans="1:10">
      <c r="A43" s="27">
        <v>33774</v>
      </c>
      <c r="B43" s="55">
        <v>7.375</v>
      </c>
      <c r="C43" s="55">
        <v>7.1875</v>
      </c>
      <c r="D43" s="55">
        <v>7.3125</v>
      </c>
      <c r="E43" s="257">
        <v>2746</v>
      </c>
      <c r="F43" s="289">
        <f t="shared" si="0"/>
        <v>0.33333333333333331</v>
      </c>
      <c r="G43" s="257">
        <f t="shared" si="1"/>
        <v>915.33333333333326</v>
      </c>
      <c r="H43" s="289">
        <f t="shared" si="3"/>
        <v>2783.333333333333</v>
      </c>
      <c r="I43" s="257">
        <f t="shared" si="4"/>
        <v>10992</v>
      </c>
      <c r="J43" s="59">
        <f t="shared" si="5"/>
        <v>0.25321445900048517</v>
      </c>
    </row>
    <row r="44" spans="1:10">
      <c r="A44" s="27">
        <v>33777</v>
      </c>
      <c r="B44" s="55">
        <v>7.3125</v>
      </c>
      <c r="C44" s="55">
        <v>7</v>
      </c>
      <c r="D44" s="55">
        <v>7.0625</v>
      </c>
      <c r="E44" s="257">
        <v>3246</v>
      </c>
      <c r="F44" s="289">
        <f t="shared" si="0"/>
        <v>-0.6</v>
      </c>
      <c r="G44" s="257">
        <f t="shared" si="1"/>
        <v>-1947.6</v>
      </c>
      <c r="H44" s="289">
        <f t="shared" si="3"/>
        <v>835.73333333333312</v>
      </c>
      <c r="I44" s="257">
        <f t="shared" si="4"/>
        <v>11204</v>
      </c>
      <c r="J44" s="59">
        <f t="shared" si="5"/>
        <v>7.4592407473521347E-2</v>
      </c>
    </row>
    <row r="45" spans="1:10">
      <c r="A45" s="26">
        <v>33778</v>
      </c>
      <c r="B45" s="52">
        <v>7.125</v>
      </c>
      <c r="C45" s="52">
        <v>6.9375</v>
      </c>
      <c r="D45" s="52">
        <v>7.125</v>
      </c>
      <c r="E45" s="255">
        <v>3948</v>
      </c>
      <c r="F45" s="276">
        <f t="shared" si="0"/>
        <v>1</v>
      </c>
      <c r="G45" s="255">
        <f t="shared" si="1"/>
        <v>3948</v>
      </c>
      <c r="H45" s="276">
        <f t="shared" si="3"/>
        <v>2475.7333333333336</v>
      </c>
      <c r="I45" s="255">
        <f t="shared" si="4"/>
        <v>12844</v>
      </c>
      <c r="J45" s="58">
        <f t="shared" si="5"/>
        <v>0.19275407453545107</v>
      </c>
    </row>
    <row r="46" spans="1:10">
      <c r="A46" s="26">
        <v>33779</v>
      </c>
      <c r="B46" s="52">
        <v>7.375</v>
      </c>
      <c r="C46" s="52">
        <v>7.125</v>
      </c>
      <c r="D46" s="52">
        <v>7.1875</v>
      </c>
      <c r="E46" s="255">
        <v>1840</v>
      </c>
      <c r="F46" s="276">
        <f t="shared" si="0"/>
        <v>-0.5</v>
      </c>
      <c r="G46" s="255">
        <f t="shared" si="1"/>
        <v>-920</v>
      </c>
      <c r="H46" s="276">
        <f t="shared" si="3"/>
        <v>1555.7333333333336</v>
      </c>
      <c r="I46" s="255">
        <f t="shared" si="4"/>
        <v>13100</v>
      </c>
      <c r="J46" s="58">
        <f t="shared" ref="J46:J61" si="6">H46/I46</f>
        <v>0.1187582697201018</v>
      </c>
    </row>
    <row r="47" spans="1:10">
      <c r="A47" s="27">
        <v>33780</v>
      </c>
      <c r="B47" s="55">
        <v>7.25</v>
      </c>
      <c r="C47" s="55">
        <v>6.9375</v>
      </c>
      <c r="D47" s="55">
        <v>7.125</v>
      </c>
      <c r="E47" s="257">
        <v>2454</v>
      </c>
      <c r="F47" s="289">
        <f t="shared" si="0"/>
        <v>0.2</v>
      </c>
      <c r="G47" s="257">
        <f t="shared" si="1"/>
        <v>490.8</v>
      </c>
      <c r="H47" s="289">
        <f t="shared" si="3"/>
        <v>2486.5333333333338</v>
      </c>
      <c r="I47" s="257">
        <f t="shared" si="4"/>
        <v>14234</v>
      </c>
      <c r="J47" s="59">
        <f t="shared" si="6"/>
        <v>0.17468971008383685</v>
      </c>
    </row>
    <row r="48" spans="1:10">
      <c r="A48" s="27">
        <v>33781</v>
      </c>
      <c r="B48" s="55">
        <v>7.3125</v>
      </c>
      <c r="C48" s="55">
        <v>7.0625</v>
      </c>
      <c r="D48" s="55">
        <v>7.1875</v>
      </c>
      <c r="E48" s="257">
        <v>698</v>
      </c>
      <c r="F48" s="289">
        <f t="shared" si="0"/>
        <v>0</v>
      </c>
      <c r="G48" s="257">
        <f t="shared" si="1"/>
        <v>0</v>
      </c>
      <c r="H48" s="289">
        <f t="shared" si="3"/>
        <v>1571.2</v>
      </c>
      <c r="I48" s="257">
        <f t="shared" si="4"/>
        <v>12186</v>
      </c>
      <c r="J48" s="59">
        <f t="shared" si="6"/>
        <v>0.12893484326276056</v>
      </c>
    </row>
    <row r="49" spans="1:10">
      <c r="A49" s="26">
        <v>33784</v>
      </c>
      <c r="B49" s="52">
        <v>7.4375</v>
      </c>
      <c r="C49" s="52">
        <v>7.25</v>
      </c>
      <c r="D49" s="52">
        <v>7.4375</v>
      </c>
      <c r="E49" s="255">
        <v>2008</v>
      </c>
      <c r="F49" s="276">
        <f t="shared" si="0"/>
        <v>1</v>
      </c>
      <c r="G49" s="255">
        <f t="shared" si="1"/>
        <v>2008</v>
      </c>
      <c r="H49" s="276">
        <f t="shared" si="3"/>
        <v>5526.8</v>
      </c>
      <c r="I49" s="255">
        <f t="shared" si="4"/>
        <v>10948</v>
      </c>
      <c r="J49" s="58">
        <f t="shared" si="6"/>
        <v>0.50482279868469127</v>
      </c>
    </row>
    <row r="50" spans="1:10">
      <c r="A50" s="26">
        <v>33785</v>
      </c>
      <c r="B50" s="52">
        <v>7.4375</v>
      </c>
      <c r="C50" s="52">
        <v>7.3125</v>
      </c>
      <c r="D50" s="52">
        <v>7.4375</v>
      </c>
      <c r="E50" s="255">
        <v>1852</v>
      </c>
      <c r="F50" s="276">
        <f t="shared" si="0"/>
        <v>1</v>
      </c>
      <c r="G50" s="255">
        <f t="shared" si="1"/>
        <v>1852</v>
      </c>
      <c r="H50" s="276">
        <f t="shared" si="3"/>
        <v>3430.8</v>
      </c>
      <c r="I50" s="255">
        <f t="shared" si="4"/>
        <v>8852</v>
      </c>
      <c r="J50" s="58">
        <f t="shared" si="6"/>
        <v>0.38757342973339359</v>
      </c>
    </row>
    <row r="51" spans="1:10">
      <c r="A51" s="27">
        <v>33786</v>
      </c>
      <c r="B51" s="55">
        <v>7.6875</v>
      </c>
      <c r="C51" s="55">
        <v>7.5</v>
      </c>
      <c r="D51" s="55">
        <v>7.5625</v>
      </c>
      <c r="E51" s="257">
        <v>3704</v>
      </c>
      <c r="F51" s="289">
        <f t="shared" si="0"/>
        <v>-0.33333333333333331</v>
      </c>
      <c r="G51" s="257">
        <f t="shared" si="1"/>
        <v>-1234.6666666666665</v>
      </c>
      <c r="H51" s="289">
        <f t="shared" si="3"/>
        <v>3116.1333333333337</v>
      </c>
      <c r="I51" s="257">
        <f t="shared" si="4"/>
        <v>10716</v>
      </c>
      <c r="J51" s="59">
        <f t="shared" si="6"/>
        <v>0.2907925842976235</v>
      </c>
    </row>
    <row r="52" spans="1:10">
      <c r="A52" s="27">
        <v>33787</v>
      </c>
      <c r="B52" s="55">
        <v>7.5625</v>
      </c>
      <c r="C52" s="55">
        <v>7.25</v>
      </c>
      <c r="D52" s="55">
        <v>7.375</v>
      </c>
      <c r="E52" s="257">
        <v>2484</v>
      </c>
      <c r="F52" s="289">
        <f t="shared" si="0"/>
        <v>-0.2</v>
      </c>
      <c r="G52" s="257">
        <f t="shared" si="1"/>
        <v>-496.8</v>
      </c>
      <c r="H52" s="289">
        <f t="shared" si="3"/>
        <v>2128.5333333333333</v>
      </c>
      <c r="I52" s="257">
        <f t="shared" si="4"/>
        <v>10746</v>
      </c>
      <c r="J52" s="59">
        <f t="shared" si="6"/>
        <v>0.19807680377194614</v>
      </c>
    </row>
    <row r="53" spans="1:10">
      <c r="A53" s="26">
        <v>33791</v>
      </c>
      <c r="B53" s="52">
        <v>7.625</v>
      </c>
      <c r="C53" s="52">
        <v>7.4375</v>
      </c>
      <c r="D53" s="52">
        <v>7.5</v>
      </c>
      <c r="E53" s="255">
        <v>2206</v>
      </c>
      <c r="F53" s="276">
        <f t="shared" si="0"/>
        <v>-0.33333333333333331</v>
      </c>
      <c r="G53" s="255">
        <f t="shared" si="1"/>
        <v>-735.33333333333326</v>
      </c>
      <c r="H53" s="276">
        <f t="shared" si="3"/>
        <v>1393.2</v>
      </c>
      <c r="I53" s="255">
        <f t="shared" si="4"/>
        <v>12254</v>
      </c>
      <c r="J53" s="58">
        <f t="shared" si="6"/>
        <v>0.11369348784070508</v>
      </c>
    </row>
    <row r="54" spans="1:10">
      <c r="A54" s="26">
        <v>33792</v>
      </c>
      <c r="B54" s="52">
        <v>7.4375</v>
      </c>
      <c r="C54" s="52">
        <v>6.875</v>
      </c>
      <c r="D54" s="52">
        <v>6.9375</v>
      </c>
      <c r="E54" s="255">
        <v>3072</v>
      </c>
      <c r="F54" s="276">
        <f t="shared" si="0"/>
        <v>-0.77777777777777779</v>
      </c>
      <c r="G54" s="255">
        <f t="shared" si="1"/>
        <v>-2389.3333333333335</v>
      </c>
      <c r="H54" s="276">
        <f t="shared" si="3"/>
        <v>-3004.1333333333332</v>
      </c>
      <c r="I54" s="255">
        <f t="shared" si="4"/>
        <v>13318</v>
      </c>
      <c r="J54" s="58">
        <f t="shared" si="6"/>
        <v>-0.22556940481553786</v>
      </c>
    </row>
    <row r="55" spans="1:10">
      <c r="A55" s="27">
        <v>33793</v>
      </c>
      <c r="B55" s="55">
        <v>7</v>
      </c>
      <c r="C55" s="55">
        <v>6.5</v>
      </c>
      <c r="D55" s="55">
        <v>6.5625</v>
      </c>
      <c r="E55" s="257">
        <v>5870</v>
      </c>
      <c r="F55" s="289">
        <f t="shared" si="0"/>
        <v>-0.75</v>
      </c>
      <c r="G55" s="257">
        <f t="shared" si="1"/>
        <v>-4402.5</v>
      </c>
      <c r="H55" s="289">
        <f t="shared" si="3"/>
        <v>-9258.6333333333332</v>
      </c>
      <c r="I55" s="257">
        <f t="shared" si="4"/>
        <v>17336</v>
      </c>
      <c r="J55" s="59">
        <f t="shared" si="6"/>
        <v>-0.53406975849869254</v>
      </c>
    </row>
    <row r="56" spans="1:10">
      <c r="A56" s="27">
        <v>33794</v>
      </c>
      <c r="B56" s="55">
        <v>6.625</v>
      </c>
      <c r="C56" s="55">
        <v>6.25</v>
      </c>
      <c r="D56" s="55">
        <v>6.4375</v>
      </c>
      <c r="E56" s="257">
        <v>7402</v>
      </c>
      <c r="F56" s="289">
        <f t="shared" si="0"/>
        <v>0</v>
      </c>
      <c r="G56" s="257">
        <f t="shared" si="1"/>
        <v>0</v>
      </c>
      <c r="H56" s="289">
        <f t="shared" si="3"/>
        <v>-8023.9666666666672</v>
      </c>
      <c r="I56" s="257">
        <f t="shared" si="4"/>
        <v>21034</v>
      </c>
      <c r="J56" s="59">
        <f t="shared" si="6"/>
        <v>-0.38147602294697475</v>
      </c>
    </row>
    <row r="57" spans="1:10">
      <c r="A57" s="26">
        <v>33795</v>
      </c>
      <c r="B57" s="52">
        <v>6.5</v>
      </c>
      <c r="C57" s="52">
        <v>6.3125</v>
      </c>
      <c r="D57" s="52">
        <v>6.5</v>
      </c>
      <c r="E57" s="255">
        <v>2524</v>
      </c>
      <c r="F57" s="276">
        <f t="shared" si="0"/>
        <v>1</v>
      </c>
      <c r="G57" s="255">
        <f t="shared" si="1"/>
        <v>2524</v>
      </c>
      <c r="H57" s="276">
        <f t="shared" si="3"/>
        <v>-5003.166666666667</v>
      </c>
      <c r="I57" s="255">
        <f t="shared" si="4"/>
        <v>21074</v>
      </c>
      <c r="J57" s="58">
        <f t="shared" si="6"/>
        <v>-0.23740944607889661</v>
      </c>
    </row>
    <row r="58" spans="1:10">
      <c r="A58" s="26">
        <v>33798</v>
      </c>
      <c r="B58" s="52">
        <v>6.875</v>
      </c>
      <c r="C58" s="52">
        <v>6.5</v>
      </c>
      <c r="D58" s="52">
        <v>6.75</v>
      </c>
      <c r="E58" s="255">
        <v>2674</v>
      </c>
      <c r="F58" s="276">
        <f t="shared" si="0"/>
        <v>0.33333333333333331</v>
      </c>
      <c r="G58" s="255">
        <f t="shared" si="1"/>
        <v>891.33333333333326</v>
      </c>
      <c r="H58" s="276">
        <f t="shared" si="3"/>
        <v>-3376.5000000000009</v>
      </c>
      <c r="I58" s="255">
        <f t="shared" si="4"/>
        <v>21542</v>
      </c>
      <c r="J58" s="58">
        <f t="shared" si="6"/>
        <v>-0.15674032123294035</v>
      </c>
    </row>
    <row r="59" spans="1:10">
      <c r="A59" s="27">
        <v>33799</v>
      </c>
      <c r="B59" s="55">
        <v>6.875</v>
      </c>
      <c r="C59" s="55">
        <v>6.6875</v>
      </c>
      <c r="D59" s="55">
        <v>6.875</v>
      </c>
      <c r="E59" s="257">
        <v>1236</v>
      </c>
      <c r="F59" s="289">
        <f t="shared" si="0"/>
        <v>1</v>
      </c>
      <c r="G59" s="257">
        <f t="shared" si="1"/>
        <v>1236</v>
      </c>
      <c r="H59" s="289">
        <f t="shared" si="3"/>
        <v>248.83333333333326</v>
      </c>
      <c r="I59" s="257">
        <f t="shared" si="4"/>
        <v>19706</v>
      </c>
      <c r="J59" s="59">
        <f t="shared" si="6"/>
        <v>1.2627287797286779E-2</v>
      </c>
    </row>
    <row r="60" spans="1:10">
      <c r="A60" s="27">
        <v>33800</v>
      </c>
      <c r="B60" s="55">
        <v>6.9375</v>
      </c>
      <c r="C60" s="55">
        <v>6.8125</v>
      </c>
      <c r="D60" s="55">
        <v>6.9375</v>
      </c>
      <c r="E60" s="257">
        <v>1394</v>
      </c>
      <c r="F60" s="289">
        <f t="shared" si="0"/>
        <v>1</v>
      </c>
      <c r="G60" s="257">
        <f t="shared" si="1"/>
        <v>1394</v>
      </c>
      <c r="H60" s="289">
        <f t="shared" si="3"/>
        <v>6045.333333333333</v>
      </c>
      <c r="I60" s="257">
        <f t="shared" si="4"/>
        <v>15230</v>
      </c>
      <c r="J60" s="59">
        <f t="shared" si="6"/>
        <v>0.39693587218209669</v>
      </c>
    </row>
    <row r="61" spans="1:10">
      <c r="A61" s="26">
        <v>33801</v>
      </c>
      <c r="B61" s="52">
        <v>7.0625</v>
      </c>
      <c r="C61" s="52">
        <v>6.9375</v>
      </c>
      <c r="D61" s="52">
        <v>7</v>
      </c>
      <c r="E61" s="255">
        <v>2870</v>
      </c>
      <c r="F61" s="276">
        <f t="shared" si="0"/>
        <v>0</v>
      </c>
      <c r="G61" s="255">
        <f t="shared" si="1"/>
        <v>0</v>
      </c>
      <c r="H61" s="276">
        <f t="shared" si="3"/>
        <v>6045.333333333333</v>
      </c>
      <c r="I61" s="255">
        <f t="shared" si="4"/>
        <v>10698</v>
      </c>
      <c r="J61" s="58">
        <f t="shared" si="6"/>
        <v>0.56509004798404683</v>
      </c>
    </row>
    <row r="62" spans="1:10">
      <c r="A62" s="26">
        <v>33802</v>
      </c>
      <c r="B62" s="52">
        <v>7.1875</v>
      </c>
      <c r="C62" s="52">
        <v>7</v>
      </c>
      <c r="D62" s="52">
        <v>7.0625</v>
      </c>
      <c r="E62" s="255">
        <v>1160</v>
      </c>
      <c r="F62" s="276">
        <f t="shared" si="0"/>
        <v>-0.33333333333333331</v>
      </c>
      <c r="G62" s="255">
        <f t="shared" si="1"/>
        <v>-386.66666666666663</v>
      </c>
      <c r="H62" s="276">
        <f t="shared" si="3"/>
        <v>3134.6666666666665</v>
      </c>
      <c r="I62" s="255">
        <f t="shared" si="4"/>
        <v>9334</v>
      </c>
      <c r="J62" s="58">
        <f>H62/I62</f>
        <v>0.33583315477465892</v>
      </c>
    </row>
    <row r="63" spans="1:10">
      <c r="A63" s="27">
        <v>33805</v>
      </c>
      <c r="B63" s="55">
        <v>7.0625</v>
      </c>
      <c r="C63" s="55">
        <v>7</v>
      </c>
      <c r="D63" s="55">
        <v>7.0625</v>
      </c>
      <c r="E63" s="257">
        <v>458</v>
      </c>
      <c r="F63" s="289">
        <f t="shared" si="0"/>
        <v>1</v>
      </c>
      <c r="G63" s="257">
        <f t="shared" si="1"/>
        <v>458</v>
      </c>
      <c r="H63" s="289">
        <f t="shared" si="3"/>
        <v>2701.3333333333335</v>
      </c>
      <c r="I63" s="257">
        <f t="shared" si="4"/>
        <v>7118</v>
      </c>
      <c r="J63" s="59">
        <f>H63/I63</f>
        <v>0.37950735225250543</v>
      </c>
    </row>
    <row r="64" spans="1:10">
      <c r="A64" s="27">
        <v>33806</v>
      </c>
      <c r="B64" s="55">
        <v>7.0625</v>
      </c>
      <c r="C64" s="55">
        <v>6.9375</v>
      </c>
      <c r="D64" s="55">
        <v>7</v>
      </c>
      <c r="E64" s="257">
        <v>688</v>
      </c>
      <c r="F64" s="289">
        <f t="shared" si="0"/>
        <v>0</v>
      </c>
      <c r="G64" s="257">
        <f t="shared" si="1"/>
        <v>0</v>
      </c>
      <c r="H64" s="289">
        <f t="shared" si="3"/>
        <v>1465.3333333333335</v>
      </c>
      <c r="I64" s="257">
        <f t="shared" si="4"/>
        <v>6570</v>
      </c>
      <c r="J64" s="59">
        <f>H64/I64</f>
        <v>0.22303399289700662</v>
      </c>
    </row>
    <row r="65" spans="1:10">
      <c r="A65" s="26">
        <v>33807</v>
      </c>
      <c r="B65" s="52">
        <v>7</v>
      </c>
      <c r="C65" s="52">
        <v>6.875</v>
      </c>
      <c r="D65" s="52">
        <v>7</v>
      </c>
      <c r="E65" s="255">
        <v>948</v>
      </c>
      <c r="F65" s="276">
        <f t="shared" si="0"/>
        <v>1</v>
      </c>
      <c r="G65" s="255">
        <f t="shared" si="1"/>
        <v>948</v>
      </c>
      <c r="H65" s="276">
        <f t="shared" si="3"/>
        <v>1019.3333333333334</v>
      </c>
      <c r="I65" s="255">
        <f t="shared" si="4"/>
        <v>6124</v>
      </c>
      <c r="J65" s="58">
        <f>H65/I65</f>
        <v>0.16644894404528632</v>
      </c>
    </row>
    <row r="66" spans="1:10">
      <c r="A66" s="26">
        <v>33808</v>
      </c>
      <c r="B66" s="52">
        <v>7</v>
      </c>
      <c r="C66" s="52">
        <v>6.875</v>
      </c>
      <c r="D66" s="52">
        <v>6.875</v>
      </c>
      <c r="E66" s="255">
        <v>1246</v>
      </c>
      <c r="F66" s="276">
        <f t="shared" si="0"/>
        <v>-1</v>
      </c>
      <c r="G66" s="255">
        <f t="shared" si="1"/>
        <v>-1246</v>
      </c>
      <c r="H66" s="276">
        <f t="shared" si="3"/>
        <v>-226.66666666666663</v>
      </c>
      <c r="I66" s="255">
        <f t="shared" si="4"/>
        <v>4500</v>
      </c>
      <c r="J66" s="58">
        <f>H66/I66</f>
        <v>-5.0370370370370364E-2</v>
      </c>
    </row>
    <row r="67" spans="1:10">
      <c r="A67" s="2"/>
      <c r="B67" s="4"/>
      <c r="C67" s="4"/>
      <c r="D67" s="4"/>
      <c r="E67" s="5"/>
      <c r="F67" s="5"/>
      <c r="G67" s="5"/>
      <c r="H67" s="5"/>
      <c r="I67" s="5"/>
      <c r="J67" s="3"/>
    </row>
    <row r="68" spans="1:10">
      <c r="A68" s="2"/>
      <c r="B68" s="4"/>
      <c r="C68" s="4"/>
      <c r="D68" s="4"/>
      <c r="E68" s="5"/>
      <c r="F68" s="5"/>
      <c r="G68" s="5"/>
      <c r="H68" s="5"/>
      <c r="I68" s="5"/>
      <c r="J68" s="3"/>
    </row>
    <row r="69" spans="1:10" ht="15">
      <c r="A69" s="241" t="s">
        <v>919</v>
      </c>
      <c r="B69" s="4"/>
      <c r="C69" s="4"/>
      <c r="D69" s="4"/>
      <c r="E69" s="5"/>
      <c r="F69" s="5"/>
      <c r="G69" s="5"/>
      <c r="H69" s="5"/>
      <c r="I69" s="5"/>
      <c r="J69" s="3"/>
    </row>
    <row r="70" spans="1:10" ht="15">
      <c r="A70" s="241" t="s">
        <v>920</v>
      </c>
      <c r="B70" s="4"/>
      <c r="C70" s="4"/>
      <c r="D70" s="4"/>
      <c r="E70" s="5"/>
      <c r="F70" s="5"/>
      <c r="G70" s="5"/>
      <c r="H70" s="5"/>
      <c r="I70" s="5"/>
      <c r="J70" s="3"/>
    </row>
    <row r="71" spans="1:10" ht="15">
      <c r="A71" s="241" t="s">
        <v>921</v>
      </c>
      <c r="B71" s="4"/>
      <c r="C71" s="4"/>
      <c r="D71" s="4"/>
      <c r="E71" s="5"/>
      <c r="F71" s="5"/>
      <c r="G71" s="5"/>
      <c r="H71" s="5"/>
      <c r="I71" s="5"/>
      <c r="J71" s="3"/>
    </row>
    <row r="72" spans="1:10" ht="15">
      <c r="A72" s="241" t="s">
        <v>922</v>
      </c>
      <c r="B72" s="4"/>
      <c r="C72" s="4"/>
      <c r="D72" s="4"/>
      <c r="E72" s="5"/>
      <c r="F72" s="5"/>
      <c r="G72" s="5"/>
      <c r="H72" s="5"/>
      <c r="I72" s="5"/>
      <c r="J72" s="3"/>
    </row>
    <row r="73" spans="1:10" ht="15">
      <c r="A73" s="241" t="s">
        <v>923</v>
      </c>
      <c r="B73" s="4"/>
      <c r="C73" s="4"/>
      <c r="D73" s="4"/>
      <c r="E73" s="5"/>
      <c r="F73" s="5"/>
      <c r="G73" s="5"/>
      <c r="H73" s="5"/>
      <c r="I73" s="5"/>
      <c r="J73" s="3"/>
    </row>
    <row r="74" spans="1:10">
      <c r="A74" s="2"/>
      <c r="B74" s="4"/>
      <c r="C74" s="4"/>
      <c r="D74" s="4"/>
      <c r="E74" s="5"/>
      <c r="F74" s="5"/>
      <c r="G74" s="5"/>
      <c r="H74" s="5"/>
      <c r="I74" s="5"/>
      <c r="J74" s="3"/>
    </row>
    <row r="75" spans="1:10">
      <c r="A75" s="2"/>
      <c r="B75" s="4"/>
      <c r="C75" s="4"/>
      <c r="D75" s="4"/>
      <c r="E75" s="5"/>
      <c r="F75" s="5"/>
      <c r="G75" s="5"/>
      <c r="H75" s="5"/>
      <c r="I75" s="5"/>
      <c r="J75" s="3"/>
    </row>
    <row r="76" spans="1:10">
      <c r="A76" s="2"/>
      <c r="B76" s="4"/>
      <c r="C76" s="4"/>
      <c r="D76" s="4"/>
      <c r="E76" s="5"/>
      <c r="F76" s="5"/>
      <c r="G76" s="5"/>
      <c r="H76" s="5"/>
      <c r="I76" s="5"/>
      <c r="J76" s="3"/>
    </row>
    <row r="77" spans="1:10">
      <c r="A77" s="2"/>
      <c r="B77" s="4"/>
      <c r="C77" s="4"/>
      <c r="D77" s="4"/>
      <c r="E77" s="5"/>
      <c r="F77" s="5"/>
      <c r="G77" s="5"/>
      <c r="H77" s="5"/>
      <c r="I77" s="5"/>
      <c r="J77" s="3"/>
    </row>
    <row r="78" spans="1:10">
      <c r="A78" s="2"/>
      <c r="B78" s="4"/>
      <c r="C78" s="4"/>
      <c r="D78" s="4"/>
      <c r="E78" s="5"/>
      <c r="F78" s="5"/>
      <c r="G78" s="5"/>
      <c r="H78" s="5"/>
      <c r="I78" s="5"/>
      <c r="J78" s="3"/>
    </row>
    <row r="79" spans="1:10">
      <c r="A79" s="2"/>
      <c r="B79" s="4"/>
      <c r="C79" s="4"/>
      <c r="D79" s="4"/>
      <c r="E79" s="5"/>
      <c r="F79" s="5"/>
      <c r="G79" s="5"/>
      <c r="H79" s="5"/>
      <c r="I79" s="5"/>
      <c r="J79" s="3"/>
    </row>
    <row r="80" spans="1:10">
      <c r="A80" s="2"/>
      <c r="B80" s="4"/>
      <c r="C80" s="4"/>
      <c r="D80" s="4"/>
      <c r="E80" s="5"/>
      <c r="F80" s="5"/>
      <c r="G80" s="5"/>
      <c r="H80" s="5"/>
      <c r="I80" s="5"/>
      <c r="J80" s="3"/>
    </row>
    <row r="81" spans="1:10">
      <c r="A81" s="2"/>
      <c r="B81" s="4"/>
      <c r="C81" s="4"/>
      <c r="D81" s="4"/>
      <c r="E81" s="5"/>
      <c r="F81" s="5"/>
      <c r="G81" s="5"/>
      <c r="H81" s="5"/>
      <c r="I81" s="5"/>
      <c r="J81" s="3"/>
    </row>
    <row r="82" spans="1:10">
      <c r="A82" s="2"/>
      <c r="B82" s="4"/>
      <c r="C82" s="4"/>
      <c r="D82" s="4"/>
      <c r="E82" s="5"/>
      <c r="F82" s="5"/>
      <c r="G82" s="5"/>
      <c r="H82" s="5"/>
      <c r="I82" s="5"/>
      <c r="J82" s="3"/>
    </row>
    <row r="83" spans="1:10">
      <c r="A83" s="2"/>
      <c r="B83" s="4"/>
      <c r="C83" s="4"/>
      <c r="D83" s="4"/>
      <c r="E83" s="5"/>
      <c r="F83" s="5"/>
      <c r="G83" s="5"/>
      <c r="H83" s="5"/>
      <c r="I83" s="5"/>
      <c r="J83" s="3"/>
    </row>
    <row r="84" spans="1:10">
      <c r="A84" s="2"/>
      <c r="B84" s="4"/>
      <c r="C84" s="4"/>
      <c r="D84" s="4"/>
      <c r="E84" s="5"/>
      <c r="F84" s="5"/>
      <c r="G84" s="5"/>
      <c r="H84" s="5"/>
      <c r="I84" s="5"/>
      <c r="J84" s="3"/>
    </row>
    <row r="85" spans="1:10">
      <c r="A85" s="2"/>
      <c r="B85" s="4"/>
      <c r="C85" s="4"/>
      <c r="D85" s="4"/>
      <c r="E85" s="5"/>
      <c r="F85" s="5"/>
      <c r="G85" s="5"/>
      <c r="H85" s="5"/>
      <c r="I85" s="5"/>
      <c r="J85" s="3"/>
    </row>
    <row r="86" spans="1:10">
      <c r="A86" s="2"/>
      <c r="B86" s="4"/>
      <c r="C86" s="4"/>
      <c r="D86" s="4"/>
      <c r="E86" s="5"/>
      <c r="F86" s="5"/>
      <c r="G86" s="5"/>
      <c r="H86" s="5"/>
      <c r="I86" s="5"/>
      <c r="J86" s="3"/>
    </row>
    <row r="87" spans="1:10">
      <c r="A87" s="2"/>
      <c r="B87" s="4"/>
      <c r="C87" s="4"/>
      <c r="D87" s="4"/>
      <c r="E87" s="5"/>
      <c r="F87" s="5"/>
      <c r="G87" s="5"/>
      <c r="H87" s="5"/>
      <c r="I87" s="5"/>
      <c r="J87" s="3"/>
    </row>
    <row r="88" spans="1:10">
      <c r="A88" s="2"/>
      <c r="B88" s="4"/>
      <c r="C88" s="4"/>
      <c r="D88" s="4"/>
      <c r="E88" s="5"/>
      <c r="F88" s="5"/>
      <c r="G88" s="5"/>
      <c r="H88" s="5"/>
      <c r="I88" s="5"/>
      <c r="J88" s="3"/>
    </row>
    <row r="89" spans="1:10">
      <c r="A89" s="2"/>
      <c r="B89" s="4"/>
      <c r="C89" s="4"/>
      <c r="D89" s="4"/>
      <c r="E89" s="5"/>
      <c r="F89" s="5"/>
      <c r="G89" s="5"/>
      <c r="H89" s="5"/>
      <c r="I89" s="5"/>
      <c r="J89" s="3"/>
    </row>
  </sheetData>
  <mergeCells count="1">
    <mergeCell ref="B5:J5"/>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24" r:id="rId3" name="Button 4">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5125"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5126"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5127"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N33"/>
  <sheetViews>
    <sheetView workbookViewId="0"/>
  </sheetViews>
  <sheetFormatPr baseColWidth="10" defaultColWidth="8.83203125" defaultRowHeight="12" x14ac:dyDescent="0"/>
  <cols>
    <col min="1" max="1" width="13.5" customWidth="1"/>
    <col min="4" max="4" width="11.33203125" customWidth="1"/>
    <col min="6" max="6" width="13.5" customWidth="1"/>
    <col min="7" max="7" width="13" customWidth="1"/>
    <col min="8" max="8" width="11.33203125" customWidth="1"/>
    <col min="9" max="9" width="11.66406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1115</v>
      </c>
      <c r="C3" s="21"/>
      <c r="D3" s="21"/>
      <c r="E3" s="21"/>
      <c r="F3" s="21"/>
      <c r="G3" s="21"/>
      <c r="H3" s="21"/>
      <c r="I3" s="21"/>
      <c r="J3" s="21"/>
    </row>
    <row r="4" spans="1:14">
      <c r="A4" s="19" t="s">
        <v>774</v>
      </c>
      <c r="B4" s="20" t="s">
        <v>1095</v>
      </c>
      <c r="C4" s="21"/>
      <c r="D4" s="21"/>
      <c r="E4" s="21"/>
      <c r="F4" s="21"/>
      <c r="G4" s="21"/>
      <c r="H4" s="21"/>
      <c r="I4" s="21"/>
      <c r="J4" s="21"/>
    </row>
    <row r="5" spans="1:14" ht="46.5" customHeight="1">
      <c r="A5" s="118" t="s">
        <v>779</v>
      </c>
      <c r="B5" s="452" t="s">
        <v>1146</v>
      </c>
      <c r="C5" s="453"/>
      <c r="D5" s="453"/>
      <c r="E5" s="453"/>
      <c r="F5" s="453"/>
      <c r="G5" s="453"/>
      <c r="H5" s="453"/>
      <c r="I5" s="453"/>
      <c r="J5" s="453"/>
    </row>
    <row r="6" spans="1:14" ht="39.75" customHeight="1">
      <c r="A6" s="22" t="s">
        <v>1090</v>
      </c>
      <c r="B6" s="22" t="s">
        <v>1096</v>
      </c>
      <c r="C6" s="22" t="s">
        <v>1097</v>
      </c>
      <c r="D6" s="22" t="s">
        <v>1098</v>
      </c>
      <c r="E6" s="22" t="s">
        <v>1099</v>
      </c>
      <c r="F6" s="31" t="s">
        <v>932</v>
      </c>
      <c r="G6" s="31" t="s">
        <v>933</v>
      </c>
      <c r="H6" s="31" t="s">
        <v>934</v>
      </c>
      <c r="I6" s="31" t="s">
        <v>935</v>
      </c>
      <c r="J6" s="22"/>
    </row>
    <row r="7" spans="1:14">
      <c r="A7" s="26">
        <v>34103</v>
      </c>
      <c r="B7" s="120">
        <v>8.625</v>
      </c>
      <c r="C7" s="120">
        <v>8.25</v>
      </c>
      <c r="D7" s="120">
        <v>8.625</v>
      </c>
      <c r="E7" s="77">
        <v>19194</v>
      </c>
      <c r="F7" s="245">
        <f>((D7-C7)-(B7-D7))/(B7-C7) *E7</f>
        <v>19194</v>
      </c>
      <c r="G7" s="260">
        <f>F7</f>
        <v>19194</v>
      </c>
      <c r="H7" s="260">
        <f>F7</f>
        <v>19194</v>
      </c>
      <c r="I7" s="255"/>
      <c r="J7" s="54"/>
    </row>
    <row r="8" spans="1:14">
      <c r="A8" s="26">
        <v>34106</v>
      </c>
      <c r="B8" s="120">
        <v>8.875</v>
      </c>
      <c r="C8" s="120">
        <v>8.375</v>
      </c>
      <c r="D8" s="120">
        <v>8.375</v>
      </c>
      <c r="E8" s="77">
        <v>10768</v>
      </c>
      <c r="F8" s="245">
        <f>F7+((D8-C8)-(B8-D8))/(B8-C8) *E8</f>
        <v>8426</v>
      </c>
      <c r="G8" s="260">
        <f>F8*(2/(3+1)) + G7*(1-(2/(3+1)))</f>
        <v>13810</v>
      </c>
      <c r="H8" s="260">
        <f>F8*(2/(10+1)) + H7*(1-(2/(10+1)))</f>
        <v>17236.181818181816</v>
      </c>
      <c r="I8" s="255"/>
      <c r="J8" s="54"/>
    </row>
    <row r="9" spans="1:14">
      <c r="A9" s="27">
        <v>34107</v>
      </c>
      <c r="B9" s="121">
        <v>9.375</v>
      </c>
      <c r="C9" s="121">
        <v>8.375</v>
      </c>
      <c r="D9" s="121">
        <v>9.375</v>
      </c>
      <c r="E9" s="79">
        <v>20032</v>
      </c>
      <c r="F9" s="246">
        <f t="shared" ref="F9:F24" si="0">F8+((D9-C9)-(B9-D9))/(B9-C9) *E9</f>
        <v>28458</v>
      </c>
      <c r="G9" s="261">
        <f t="shared" ref="G9:G24" si="1">F9*(2/(3+1)) + G8*(1-(2/(3+1)))</f>
        <v>21134</v>
      </c>
      <c r="H9" s="262">
        <f t="shared" ref="H9:H24" si="2">F9*(2/(10+1)) + H8*(1-(2/(10+1)))</f>
        <v>19276.512396694212</v>
      </c>
      <c r="I9" s="257"/>
      <c r="J9" s="57"/>
    </row>
    <row r="10" spans="1:14">
      <c r="A10" s="27">
        <v>34108</v>
      </c>
      <c r="B10" s="121">
        <v>10.125</v>
      </c>
      <c r="C10" s="121">
        <v>8.75</v>
      </c>
      <c r="D10" s="121">
        <v>8.75</v>
      </c>
      <c r="E10" s="79">
        <v>55218</v>
      </c>
      <c r="F10" s="246">
        <f t="shared" si="0"/>
        <v>-26760</v>
      </c>
      <c r="G10" s="261">
        <f t="shared" si="1"/>
        <v>-2813</v>
      </c>
      <c r="H10" s="262">
        <f t="shared" si="2"/>
        <v>10906.237415477081</v>
      </c>
      <c r="I10" s="257"/>
      <c r="J10" s="57"/>
    </row>
    <row r="11" spans="1:14">
      <c r="A11" s="26">
        <v>34109</v>
      </c>
      <c r="B11" s="120">
        <v>9.375</v>
      </c>
      <c r="C11" s="120">
        <v>8.75</v>
      </c>
      <c r="D11" s="120">
        <v>9.375</v>
      </c>
      <c r="E11" s="77">
        <v>13172</v>
      </c>
      <c r="F11" s="245">
        <f t="shared" si="0"/>
        <v>-13588</v>
      </c>
      <c r="G11" s="263">
        <f t="shared" si="1"/>
        <v>-8200.5</v>
      </c>
      <c r="H11" s="260">
        <f t="shared" si="2"/>
        <v>6452.7397035721569</v>
      </c>
      <c r="I11" s="255"/>
      <c r="J11" s="54"/>
    </row>
    <row r="12" spans="1:14">
      <c r="A12" s="26">
        <v>34110</v>
      </c>
      <c r="B12" s="120">
        <v>10.125</v>
      </c>
      <c r="C12" s="120">
        <v>9.25</v>
      </c>
      <c r="D12" s="120">
        <v>9.875</v>
      </c>
      <c r="E12" s="77">
        <v>22245</v>
      </c>
      <c r="F12" s="245">
        <f t="shared" si="0"/>
        <v>-4054.4285714285725</v>
      </c>
      <c r="G12" s="263">
        <f t="shared" si="1"/>
        <v>-6127.4642857142862</v>
      </c>
      <c r="H12" s="260">
        <f t="shared" si="2"/>
        <v>4542.3454717538425</v>
      </c>
      <c r="I12" s="255"/>
      <c r="J12" s="54"/>
    </row>
    <row r="13" spans="1:14">
      <c r="A13" s="27">
        <v>34113</v>
      </c>
      <c r="B13" s="121">
        <v>10</v>
      </c>
      <c r="C13" s="121">
        <v>9.125</v>
      </c>
      <c r="D13" s="121">
        <v>9.375</v>
      </c>
      <c r="E13" s="79">
        <v>15987</v>
      </c>
      <c r="F13" s="246">
        <f t="shared" si="0"/>
        <v>-10906</v>
      </c>
      <c r="G13" s="261">
        <f t="shared" si="1"/>
        <v>-8516.7321428571431</v>
      </c>
      <c r="H13" s="262">
        <f t="shared" si="2"/>
        <v>1733.5553859804163</v>
      </c>
      <c r="I13" s="257"/>
      <c r="J13" s="57"/>
    </row>
    <row r="14" spans="1:14">
      <c r="A14" s="27">
        <v>34114</v>
      </c>
      <c r="B14" s="121">
        <v>9.75</v>
      </c>
      <c r="C14" s="121">
        <v>9.375</v>
      </c>
      <c r="D14" s="121">
        <v>9.625</v>
      </c>
      <c r="E14" s="79">
        <v>9646</v>
      </c>
      <c r="F14" s="246">
        <f t="shared" si="0"/>
        <v>-7690.666666666667</v>
      </c>
      <c r="G14" s="261">
        <f t="shared" si="1"/>
        <v>-8103.6994047619046</v>
      </c>
      <c r="H14" s="262">
        <f t="shared" si="2"/>
        <v>20.060467317309985</v>
      </c>
      <c r="I14" s="257"/>
      <c r="J14" s="57"/>
    </row>
    <row r="15" spans="1:14">
      <c r="A15" s="26">
        <v>34115</v>
      </c>
      <c r="B15" s="120">
        <v>9.5</v>
      </c>
      <c r="C15" s="120">
        <v>9</v>
      </c>
      <c r="D15" s="120">
        <v>9.125</v>
      </c>
      <c r="E15" s="77">
        <v>10848</v>
      </c>
      <c r="F15" s="245">
        <f t="shared" si="0"/>
        <v>-13114.666666666668</v>
      </c>
      <c r="G15" s="263">
        <f t="shared" si="1"/>
        <v>-10609.183035714286</v>
      </c>
      <c r="H15" s="260">
        <f t="shared" si="2"/>
        <v>-2368.0717388615953</v>
      </c>
      <c r="I15" s="255"/>
      <c r="J15" s="54"/>
    </row>
    <row r="16" spans="1:14">
      <c r="A16" s="26">
        <v>34116</v>
      </c>
      <c r="B16" s="120">
        <v>9.625</v>
      </c>
      <c r="C16" s="120">
        <v>8.875</v>
      </c>
      <c r="D16" s="120">
        <v>9.25</v>
      </c>
      <c r="E16" s="77">
        <v>14470</v>
      </c>
      <c r="F16" s="245">
        <f t="shared" si="0"/>
        <v>-13114.666666666668</v>
      </c>
      <c r="G16" s="263">
        <f t="shared" si="1"/>
        <v>-11861.924851190477</v>
      </c>
      <c r="H16" s="263">
        <f t="shared" si="2"/>
        <v>-4321.9980893716083</v>
      </c>
      <c r="I16" s="255">
        <f t="shared" ref="I16:I23" si="3">G16-H16</f>
        <v>-7539.9267618188687</v>
      </c>
      <c r="J16" s="54"/>
    </row>
    <row r="17" spans="1:10">
      <c r="A17" s="27">
        <v>34117</v>
      </c>
      <c r="B17" s="121">
        <v>10</v>
      </c>
      <c r="C17" s="121">
        <v>9.375</v>
      </c>
      <c r="D17" s="121">
        <v>9.75</v>
      </c>
      <c r="E17" s="79">
        <v>14973</v>
      </c>
      <c r="F17" s="246">
        <f t="shared" si="0"/>
        <v>-10120.066666666668</v>
      </c>
      <c r="G17" s="261">
        <f t="shared" si="1"/>
        <v>-10990.995758928573</v>
      </c>
      <c r="H17" s="261">
        <f t="shared" si="2"/>
        <v>-5376.1923761525277</v>
      </c>
      <c r="I17" s="257">
        <f t="shared" si="3"/>
        <v>-5614.8033827760455</v>
      </c>
      <c r="J17" s="57"/>
    </row>
    <row r="18" spans="1:10">
      <c r="A18" s="27">
        <v>34121</v>
      </c>
      <c r="B18" s="121">
        <v>9.75</v>
      </c>
      <c r="C18" s="121">
        <v>8.75</v>
      </c>
      <c r="D18" s="121">
        <v>8.875</v>
      </c>
      <c r="E18" s="79">
        <v>15799</v>
      </c>
      <c r="F18" s="246">
        <f t="shared" si="0"/>
        <v>-21969.316666666666</v>
      </c>
      <c r="G18" s="261">
        <f t="shared" si="1"/>
        <v>-16480.156212797621</v>
      </c>
      <c r="H18" s="261">
        <f t="shared" si="2"/>
        <v>-8393.1240653369168</v>
      </c>
      <c r="I18" s="257">
        <f t="shared" si="3"/>
        <v>-8087.0321474607044</v>
      </c>
      <c r="J18" s="57"/>
    </row>
    <row r="19" spans="1:10">
      <c r="A19" s="26">
        <v>34122</v>
      </c>
      <c r="B19" s="120">
        <v>9.125</v>
      </c>
      <c r="C19" s="120">
        <v>8.75</v>
      </c>
      <c r="D19" s="120">
        <v>8.875</v>
      </c>
      <c r="E19" s="77">
        <v>16860</v>
      </c>
      <c r="F19" s="245">
        <f t="shared" si="0"/>
        <v>-27589.316666666666</v>
      </c>
      <c r="G19" s="263">
        <f t="shared" si="1"/>
        <v>-22034.736439732143</v>
      </c>
      <c r="H19" s="263">
        <f t="shared" si="2"/>
        <v>-11883.340901942325</v>
      </c>
      <c r="I19" s="255">
        <f t="shared" si="3"/>
        <v>-10151.395537789818</v>
      </c>
      <c r="J19" s="54"/>
    </row>
    <row r="20" spans="1:10">
      <c r="A20" s="26">
        <v>34123</v>
      </c>
      <c r="B20" s="120">
        <v>9.25</v>
      </c>
      <c r="C20" s="120">
        <v>9.125</v>
      </c>
      <c r="D20" s="120">
        <v>9.125</v>
      </c>
      <c r="E20" s="77">
        <v>6568</v>
      </c>
      <c r="F20" s="245">
        <f t="shared" si="0"/>
        <v>-34157.316666666666</v>
      </c>
      <c r="G20" s="263">
        <f t="shared" si="1"/>
        <v>-28096.026553199405</v>
      </c>
      <c r="H20" s="263">
        <f t="shared" si="2"/>
        <v>-15933.154677346749</v>
      </c>
      <c r="I20" s="255">
        <f t="shared" si="3"/>
        <v>-12162.871875852656</v>
      </c>
      <c r="J20" s="54"/>
    </row>
    <row r="21" spans="1:10">
      <c r="A21" s="27">
        <v>34124</v>
      </c>
      <c r="B21" s="121">
        <v>9.375</v>
      </c>
      <c r="C21" s="121">
        <v>9.25</v>
      </c>
      <c r="D21" s="121">
        <v>9.375</v>
      </c>
      <c r="E21" s="79">
        <v>8312</v>
      </c>
      <c r="F21" s="246">
        <f t="shared" si="0"/>
        <v>-25845.316666666666</v>
      </c>
      <c r="G21" s="261">
        <f t="shared" si="1"/>
        <v>-26970.671609933037</v>
      </c>
      <c r="H21" s="261">
        <f t="shared" si="2"/>
        <v>-17735.365948132188</v>
      </c>
      <c r="I21" s="257">
        <f t="shared" si="3"/>
        <v>-9235.3056618008486</v>
      </c>
      <c r="J21" s="57"/>
    </row>
    <row r="22" spans="1:10">
      <c r="A22" s="27">
        <v>34127</v>
      </c>
      <c r="B22" s="121">
        <v>9.375</v>
      </c>
      <c r="C22" s="121">
        <v>9.125</v>
      </c>
      <c r="D22" s="121">
        <v>9.25</v>
      </c>
      <c r="E22" s="79">
        <v>5573</v>
      </c>
      <c r="F22" s="246">
        <f t="shared" si="0"/>
        <v>-25845.316666666666</v>
      </c>
      <c r="G22" s="261">
        <f t="shared" si="1"/>
        <v>-26407.994138299851</v>
      </c>
      <c r="H22" s="261">
        <f t="shared" si="2"/>
        <v>-19209.902442411185</v>
      </c>
      <c r="I22" s="257">
        <f t="shared" si="3"/>
        <v>-7198.0916958886664</v>
      </c>
      <c r="J22" s="57"/>
    </row>
    <row r="23" spans="1:10">
      <c r="A23" s="26">
        <v>34128</v>
      </c>
      <c r="B23" s="120">
        <v>9.375</v>
      </c>
      <c r="C23" s="120">
        <v>8.625</v>
      </c>
      <c r="D23" s="120">
        <v>8.625</v>
      </c>
      <c r="E23" s="77">
        <v>11480</v>
      </c>
      <c r="F23" s="245">
        <f t="shared" si="0"/>
        <v>-37325.316666666666</v>
      </c>
      <c r="G23" s="263">
        <f t="shared" si="1"/>
        <v>-31866.655402483259</v>
      </c>
      <c r="H23" s="263">
        <f t="shared" si="2"/>
        <v>-22503.614119548543</v>
      </c>
      <c r="I23" s="255">
        <f t="shared" si="3"/>
        <v>-9363.0412829347151</v>
      </c>
      <c r="J23" s="54"/>
    </row>
    <row r="24" spans="1:10">
      <c r="A24" s="26">
        <v>34129</v>
      </c>
      <c r="B24" s="120">
        <v>8.625</v>
      </c>
      <c r="C24" s="120">
        <v>8.25</v>
      </c>
      <c r="D24" s="120">
        <v>8.5</v>
      </c>
      <c r="E24" s="77">
        <v>6366</v>
      </c>
      <c r="F24" s="245">
        <f t="shared" si="0"/>
        <v>-35203.316666666666</v>
      </c>
      <c r="G24" s="263">
        <f t="shared" si="1"/>
        <v>-33534.986034574962</v>
      </c>
      <c r="H24" s="263">
        <f t="shared" si="2"/>
        <v>-24812.650946297294</v>
      </c>
      <c r="I24" s="255">
        <f>G24-H24</f>
        <v>-8722.3350882776685</v>
      </c>
      <c r="J24" s="54"/>
    </row>
    <row r="25" spans="1:10">
      <c r="A25" s="27">
        <v>34130</v>
      </c>
      <c r="B25" s="121">
        <v>8.625</v>
      </c>
      <c r="C25" s="121">
        <v>8.25</v>
      </c>
      <c r="D25" s="121">
        <v>8.5</v>
      </c>
      <c r="E25" s="79">
        <v>8394</v>
      </c>
      <c r="F25" s="246">
        <f>F24+((D25-C25)-(B25-D25))/(B25-C25) *E25</f>
        <v>-32405.316666666666</v>
      </c>
      <c r="G25" s="261">
        <f>F25*(2/(3+1)) + G24*(1-(2/(3+1)))</f>
        <v>-32970.151350620814</v>
      </c>
      <c r="H25" s="261">
        <f>F25*(2/(10+1)) + H24*(1-(2/(10+1)))</f>
        <v>-26193.135622728085</v>
      </c>
      <c r="I25" s="257">
        <f>G25-H25</f>
        <v>-6777.015727892729</v>
      </c>
      <c r="J25" s="57"/>
    </row>
    <row r="26" spans="1:10">
      <c r="A26" s="27">
        <v>34131</v>
      </c>
      <c r="B26" s="121">
        <v>8.625</v>
      </c>
      <c r="C26" s="121">
        <v>7.875</v>
      </c>
      <c r="D26" s="121">
        <v>7.875</v>
      </c>
      <c r="E26" s="79">
        <v>12616</v>
      </c>
      <c r="F26" s="246">
        <f>F25+((D26-C26)-(B26-D26))/(B26-C26) *E26</f>
        <v>-45021.316666666666</v>
      </c>
      <c r="G26" s="261">
        <f>F26*(2/(3+1)) + G25*(1-(2/(3+1)))</f>
        <v>-38995.73400864374</v>
      </c>
      <c r="H26" s="261">
        <f>F26*(2/(10+1)) + H25*(1-(2/(10+1)))</f>
        <v>-29616.441267080554</v>
      </c>
      <c r="I26" s="257">
        <f>G26-H26</f>
        <v>-9379.2927415631857</v>
      </c>
      <c r="J26" s="57"/>
    </row>
    <row r="27" spans="1:10">
      <c r="A27" s="26">
        <v>34134</v>
      </c>
      <c r="B27" s="120">
        <v>8.375</v>
      </c>
      <c r="C27" s="120">
        <v>7.625</v>
      </c>
      <c r="D27" s="120">
        <v>8.375</v>
      </c>
      <c r="E27" s="77">
        <v>12287</v>
      </c>
      <c r="F27" s="245">
        <f>F26+((D27-C27)-(B27-D27))/(B27-C27) *E27</f>
        <v>-32734.316666666666</v>
      </c>
      <c r="G27" s="263">
        <f>F27*(2/(3+1)) + G26*(1-(2/(3+1)))</f>
        <v>-35865.025337655199</v>
      </c>
      <c r="H27" s="263">
        <f>F27*(2/(10+1)) + H26*(1-(2/(10+1)))</f>
        <v>-30183.327703368937</v>
      </c>
      <c r="I27" s="255">
        <f>G27-H27</f>
        <v>-5681.6976342862617</v>
      </c>
      <c r="J27" s="54"/>
    </row>
    <row r="28" spans="1:10">
      <c r="A28" s="26">
        <v>34135</v>
      </c>
      <c r="B28" s="120">
        <v>8.75</v>
      </c>
      <c r="C28" s="120">
        <v>8.25</v>
      </c>
      <c r="D28" s="120">
        <v>8.625</v>
      </c>
      <c r="E28" s="77">
        <v>12113</v>
      </c>
      <c r="F28" s="245">
        <f>F27+((D28-C28)-(B28-D28))/(B28-C28) *E28</f>
        <v>-26677.816666666666</v>
      </c>
      <c r="G28" s="263">
        <f>F28*(2/(3+1)) + G27*(1-(2/(3+1)))</f>
        <v>-31271.421002160932</v>
      </c>
      <c r="H28" s="263">
        <f>F28*(2/(10+1)) + H27*(1-(2/(10+1)))</f>
        <v>-29545.96206033216</v>
      </c>
      <c r="I28" s="255">
        <f>G28-H28</f>
        <v>-1725.4589418287724</v>
      </c>
      <c r="J28" s="54"/>
    </row>
    <row r="30" spans="1:10" ht="15">
      <c r="A30" s="241" t="s">
        <v>1147</v>
      </c>
    </row>
    <row r="31" spans="1:10" ht="15">
      <c r="A31" s="241" t="s">
        <v>930</v>
      </c>
    </row>
    <row r="32" spans="1:10" ht="15">
      <c r="A32" s="241" t="s">
        <v>931</v>
      </c>
    </row>
    <row r="33" spans="1:1" ht="15">
      <c r="A33" s="241" t="s">
        <v>929</v>
      </c>
    </row>
  </sheetData>
  <mergeCells count="1">
    <mergeCell ref="B5:J5"/>
  </mergeCells>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74753"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74754"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74755"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74756"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enableFormatConditionsCalculation="0"/>
  <dimension ref="A1:N350"/>
  <sheetViews>
    <sheetView workbookViewId="0"/>
  </sheetViews>
  <sheetFormatPr baseColWidth="10" defaultColWidth="8.83203125" defaultRowHeight="12" x14ac:dyDescent="0"/>
  <cols>
    <col min="1" max="1" width="11.83203125" customWidth="1"/>
    <col min="3" max="3" width="10" customWidth="1"/>
    <col min="4" max="4" width="11.5" customWidth="1"/>
    <col min="5" max="5" width="9.33203125" customWidth="1"/>
    <col min="6" max="6" width="11.33203125" customWidth="1"/>
    <col min="10" max="10" width="12.1640625" customWidth="1"/>
    <col min="11" max="11" width="10.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ht="17.25" customHeight="1">
      <c r="A3" s="39" t="s">
        <v>1045</v>
      </c>
      <c r="B3" s="62" t="s">
        <v>1116</v>
      </c>
      <c r="C3" s="63"/>
      <c r="D3" s="21"/>
      <c r="E3" s="21"/>
      <c r="F3" s="21"/>
      <c r="G3" s="21"/>
      <c r="H3" s="21"/>
      <c r="I3" s="21"/>
      <c r="J3" s="21"/>
      <c r="K3" s="30"/>
    </row>
    <row r="4" spans="1:14">
      <c r="A4" s="39" t="s">
        <v>774</v>
      </c>
      <c r="B4" s="62" t="s">
        <v>773</v>
      </c>
      <c r="C4" s="21"/>
      <c r="D4" s="21"/>
      <c r="E4" s="21"/>
      <c r="F4" s="21"/>
      <c r="G4" s="21"/>
      <c r="H4" s="21"/>
      <c r="I4" s="21"/>
      <c r="J4" s="21"/>
      <c r="K4" s="30"/>
    </row>
    <row r="5" spans="1:14" ht="15">
      <c r="A5" s="66" t="s">
        <v>779</v>
      </c>
      <c r="B5" s="127" t="s">
        <v>1148</v>
      </c>
      <c r="C5" s="21"/>
      <c r="D5" s="21"/>
      <c r="E5" s="21"/>
      <c r="F5" s="21"/>
      <c r="G5" s="21"/>
      <c r="H5" s="21"/>
      <c r="I5" s="21"/>
      <c r="J5" s="21"/>
      <c r="K5" s="30"/>
    </row>
    <row r="6" spans="1:14" ht="55.5" customHeight="1">
      <c r="A6" s="21"/>
      <c r="B6" s="21"/>
      <c r="C6" s="21"/>
      <c r="D6" s="21"/>
      <c r="E6" s="454"/>
      <c r="F6" s="455"/>
      <c r="G6" s="455"/>
      <c r="H6" s="455"/>
      <c r="I6" s="455"/>
      <c r="J6" s="455"/>
      <c r="K6" s="67"/>
    </row>
    <row r="7" spans="1:14" ht="63" customHeight="1">
      <c r="A7" s="21"/>
      <c r="B7" s="454" t="s">
        <v>1149</v>
      </c>
      <c r="C7" s="454"/>
      <c r="D7" s="454"/>
      <c r="E7" s="454"/>
      <c r="F7" s="454"/>
      <c r="G7" s="454"/>
      <c r="H7" s="454"/>
      <c r="I7" s="454"/>
      <c r="J7" s="454"/>
      <c r="K7" s="67"/>
    </row>
    <row r="8" spans="1:14" ht="12" customHeight="1">
      <c r="A8" s="66" t="s">
        <v>415</v>
      </c>
      <c r="B8" s="20" t="s">
        <v>750</v>
      </c>
      <c r="C8" s="21"/>
      <c r="D8" s="21"/>
      <c r="E8" s="344"/>
      <c r="F8" s="343"/>
      <c r="G8" s="343"/>
      <c r="H8" s="343"/>
      <c r="I8" s="343"/>
      <c r="J8" s="343"/>
      <c r="K8" s="67"/>
    </row>
    <row r="9" spans="1:14" s="1" customFormat="1" ht="43.5" customHeight="1">
      <c r="A9" s="22" t="s">
        <v>1090</v>
      </c>
      <c r="B9" s="22" t="s">
        <v>1098</v>
      </c>
      <c r="C9" s="31" t="s">
        <v>944</v>
      </c>
      <c r="D9" s="31" t="s">
        <v>945</v>
      </c>
      <c r="E9" s="31" t="s">
        <v>946</v>
      </c>
      <c r="F9" s="31" t="s">
        <v>947</v>
      </c>
      <c r="G9" s="31" t="s">
        <v>948</v>
      </c>
      <c r="H9" s="31" t="s">
        <v>949</v>
      </c>
      <c r="I9" s="31" t="s">
        <v>950</v>
      </c>
      <c r="J9" s="31" t="s">
        <v>951</v>
      </c>
      <c r="K9"/>
    </row>
    <row r="10" spans="1:14">
      <c r="A10" s="26">
        <v>35492</v>
      </c>
      <c r="B10" s="52">
        <v>51.0625</v>
      </c>
      <c r="C10" s="52"/>
      <c r="D10" s="52"/>
      <c r="E10" s="52"/>
      <c r="F10" s="28"/>
      <c r="G10" s="28"/>
      <c r="H10" s="54"/>
      <c r="I10" s="54"/>
      <c r="J10" s="54"/>
    </row>
    <row r="11" spans="1:14">
      <c r="A11" s="26">
        <v>35493</v>
      </c>
      <c r="B11" s="52">
        <v>50.125</v>
      </c>
      <c r="C11" s="52">
        <f>B11-B10</f>
        <v>-0.9375</v>
      </c>
      <c r="D11" s="52" t="str">
        <f>IF(C11&gt;0,C11,"")</f>
        <v/>
      </c>
      <c r="E11" s="52"/>
      <c r="F11" s="52">
        <f>IF(C11&lt;0,ABS(C11),"")</f>
        <v>0.9375</v>
      </c>
      <c r="G11" s="28"/>
      <c r="H11" s="54"/>
      <c r="I11" s="54"/>
      <c r="J11" s="54"/>
    </row>
    <row r="12" spans="1:14">
      <c r="A12" s="27">
        <v>35494</v>
      </c>
      <c r="B12" s="55">
        <v>52.3125</v>
      </c>
      <c r="C12" s="55">
        <f t="shared" ref="C12:C27" si="0">B12-B11</f>
        <v>2.1875</v>
      </c>
      <c r="D12" s="55">
        <f t="shared" ref="D12:D59" si="1">IF(C12&gt;0,C12,"")</f>
        <v>2.1875</v>
      </c>
      <c r="E12" s="55"/>
      <c r="F12" s="55" t="str">
        <f>IF(C12&lt;0,ABS(C12),"")</f>
        <v/>
      </c>
      <c r="G12" s="29"/>
      <c r="H12" s="57"/>
      <c r="I12" s="57"/>
      <c r="J12" s="57"/>
    </row>
    <row r="13" spans="1:14">
      <c r="A13" s="27">
        <v>35495</v>
      </c>
      <c r="B13" s="55">
        <v>52.1875</v>
      </c>
      <c r="C13" s="55">
        <f t="shared" si="0"/>
        <v>-0.125</v>
      </c>
      <c r="D13" s="55" t="str">
        <f t="shared" si="1"/>
        <v/>
      </c>
      <c r="E13" s="55"/>
      <c r="F13" s="55">
        <f>IF(C13&lt;0,ABS(C13),"")</f>
        <v>0.125</v>
      </c>
      <c r="G13" s="29"/>
      <c r="H13" s="57"/>
      <c r="I13" s="57"/>
      <c r="J13" s="57"/>
    </row>
    <row r="14" spans="1:14">
      <c r="A14" s="26">
        <v>35496</v>
      </c>
      <c r="B14" s="52">
        <v>53.1875</v>
      </c>
      <c r="C14" s="52">
        <f t="shared" si="0"/>
        <v>1</v>
      </c>
      <c r="D14" s="52">
        <f t="shared" si="1"/>
        <v>1</v>
      </c>
      <c r="E14" s="52"/>
      <c r="F14" s="52" t="str">
        <f>IF(C14&lt;0,ABS(C14),"")</f>
        <v/>
      </c>
      <c r="G14" s="28"/>
      <c r="H14" s="54"/>
      <c r="I14" s="54"/>
      <c r="J14" s="54"/>
    </row>
    <row r="15" spans="1:14">
      <c r="A15" s="26">
        <v>35499</v>
      </c>
      <c r="B15" s="52">
        <v>53.0625</v>
      </c>
      <c r="C15" s="52">
        <f t="shared" si="0"/>
        <v>-0.125</v>
      </c>
      <c r="D15" s="52" t="str">
        <f t="shared" si="1"/>
        <v/>
      </c>
      <c r="E15" s="52">
        <f>SUM(D11:D15)</f>
        <v>3.1875</v>
      </c>
      <c r="F15" s="52">
        <f>IF(C15&lt;0,ABS(C15),"")</f>
        <v>0.125</v>
      </c>
      <c r="G15" s="52">
        <f>SUM(F11:F15)</f>
        <v>1.1875</v>
      </c>
      <c r="H15" s="64">
        <f>E15-G15</f>
        <v>2</v>
      </c>
      <c r="I15" s="64">
        <f>E15+G15</f>
        <v>4.375</v>
      </c>
      <c r="J15" s="64">
        <f>100*(H15/I15)</f>
        <v>45.714285714285715</v>
      </c>
    </row>
    <row r="16" spans="1:14">
      <c r="A16" s="27">
        <v>35500</v>
      </c>
      <c r="B16" s="55">
        <v>54.0625</v>
      </c>
      <c r="C16" s="55">
        <f t="shared" si="0"/>
        <v>1</v>
      </c>
      <c r="D16" s="55">
        <f t="shared" si="1"/>
        <v>1</v>
      </c>
      <c r="E16" s="55">
        <f t="shared" ref="E16:E59" si="2">SUM(D12:D16)</f>
        <v>4.1875</v>
      </c>
      <c r="F16" s="55" t="str">
        <f t="shared" ref="F16:F29" si="3">IF(C16&lt;0,ABS(C16),"")</f>
        <v/>
      </c>
      <c r="G16" s="29">
        <f t="shared" ref="G16:G59" si="4">SUM(F12:F16)</f>
        <v>0.25</v>
      </c>
      <c r="H16" s="57">
        <f t="shared" ref="H16:H29" si="5">E16-G16</f>
        <v>3.9375</v>
      </c>
      <c r="I16" s="57">
        <f t="shared" ref="I16:I29" si="6">E16+G16</f>
        <v>4.4375</v>
      </c>
      <c r="J16" s="65">
        <f t="shared" ref="J16:J29" si="7">100*(H16/I16)</f>
        <v>88.732394366197184</v>
      </c>
    </row>
    <row r="17" spans="1:10">
      <c r="A17" s="27">
        <v>35501</v>
      </c>
      <c r="B17" s="55">
        <v>53.5</v>
      </c>
      <c r="C17" s="55">
        <f t="shared" si="0"/>
        <v>-0.5625</v>
      </c>
      <c r="D17" s="55" t="str">
        <f t="shared" si="1"/>
        <v/>
      </c>
      <c r="E17" s="55">
        <f t="shared" si="2"/>
        <v>2</v>
      </c>
      <c r="F17" s="55">
        <f t="shared" si="3"/>
        <v>0.5625</v>
      </c>
      <c r="G17" s="29">
        <f t="shared" si="4"/>
        <v>0.8125</v>
      </c>
      <c r="H17" s="57">
        <f t="shared" si="5"/>
        <v>1.1875</v>
      </c>
      <c r="I17" s="57">
        <f t="shared" si="6"/>
        <v>2.8125</v>
      </c>
      <c r="J17" s="65">
        <f t="shared" si="7"/>
        <v>42.222222222222221</v>
      </c>
    </row>
    <row r="18" spans="1:10">
      <c r="A18" s="26">
        <v>35502</v>
      </c>
      <c r="B18" s="52">
        <v>51.5625</v>
      </c>
      <c r="C18" s="52">
        <f t="shared" si="0"/>
        <v>-1.9375</v>
      </c>
      <c r="D18" s="52" t="str">
        <f t="shared" si="1"/>
        <v/>
      </c>
      <c r="E18" s="52">
        <f t="shared" si="2"/>
        <v>2</v>
      </c>
      <c r="F18" s="52">
        <f t="shared" si="3"/>
        <v>1.9375</v>
      </c>
      <c r="G18" s="28">
        <f t="shared" si="4"/>
        <v>2.625</v>
      </c>
      <c r="H18" s="54">
        <f t="shared" si="5"/>
        <v>-0.625</v>
      </c>
      <c r="I18" s="54">
        <f t="shared" si="6"/>
        <v>4.625</v>
      </c>
      <c r="J18" s="64">
        <f t="shared" si="7"/>
        <v>-13.513513513513514</v>
      </c>
    </row>
    <row r="19" spans="1:10">
      <c r="A19" s="26">
        <v>35503</v>
      </c>
      <c r="B19" s="52">
        <v>51.5</v>
      </c>
      <c r="C19" s="52">
        <f t="shared" si="0"/>
        <v>-6.25E-2</v>
      </c>
      <c r="D19" s="52" t="str">
        <f t="shared" si="1"/>
        <v/>
      </c>
      <c r="E19" s="52">
        <f t="shared" si="2"/>
        <v>1</v>
      </c>
      <c r="F19" s="52">
        <f t="shared" si="3"/>
        <v>6.25E-2</v>
      </c>
      <c r="G19" s="28">
        <f t="shared" si="4"/>
        <v>2.6875</v>
      </c>
      <c r="H19" s="54">
        <f t="shared" si="5"/>
        <v>-1.6875</v>
      </c>
      <c r="I19" s="54">
        <f t="shared" si="6"/>
        <v>3.6875</v>
      </c>
      <c r="J19" s="64">
        <f t="shared" si="7"/>
        <v>-45.762711864406782</v>
      </c>
    </row>
    <row r="20" spans="1:10">
      <c r="A20" s="27">
        <v>35506</v>
      </c>
      <c r="B20" s="55">
        <v>53.25</v>
      </c>
      <c r="C20" s="55">
        <f t="shared" si="0"/>
        <v>1.75</v>
      </c>
      <c r="D20" s="55">
        <f t="shared" si="1"/>
        <v>1.75</v>
      </c>
      <c r="E20" s="55">
        <f t="shared" si="2"/>
        <v>2.75</v>
      </c>
      <c r="F20" s="55" t="str">
        <f t="shared" si="3"/>
        <v/>
      </c>
      <c r="G20" s="29">
        <f t="shared" si="4"/>
        <v>2.5625</v>
      </c>
      <c r="H20" s="57">
        <f t="shared" si="5"/>
        <v>0.1875</v>
      </c>
      <c r="I20" s="57">
        <f t="shared" si="6"/>
        <v>5.3125</v>
      </c>
      <c r="J20" s="65">
        <f t="shared" si="7"/>
        <v>3.5294117647058822</v>
      </c>
    </row>
    <row r="21" spans="1:10">
      <c r="A21" s="27">
        <v>35507</v>
      </c>
      <c r="B21" s="55">
        <v>51.875</v>
      </c>
      <c r="C21" s="55">
        <f t="shared" si="0"/>
        <v>-1.375</v>
      </c>
      <c r="D21" s="55" t="str">
        <f t="shared" si="1"/>
        <v/>
      </c>
      <c r="E21" s="55">
        <f t="shared" si="2"/>
        <v>1.75</v>
      </c>
      <c r="F21" s="55">
        <f t="shared" si="3"/>
        <v>1.375</v>
      </c>
      <c r="G21" s="29">
        <f t="shared" si="4"/>
        <v>3.9375</v>
      </c>
      <c r="H21" s="57">
        <f t="shared" si="5"/>
        <v>-2.1875</v>
      </c>
      <c r="I21" s="57">
        <f t="shared" si="6"/>
        <v>5.6875</v>
      </c>
      <c r="J21" s="65">
        <f t="shared" si="7"/>
        <v>-38.461538461538467</v>
      </c>
    </row>
    <row r="22" spans="1:10">
      <c r="A22" s="26">
        <v>35508</v>
      </c>
      <c r="B22" s="52">
        <v>52</v>
      </c>
      <c r="C22" s="52">
        <f t="shared" si="0"/>
        <v>0.125</v>
      </c>
      <c r="D22" s="52">
        <f t="shared" si="1"/>
        <v>0.125</v>
      </c>
      <c r="E22" s="52">
        <f t="shared" si="2"/>
        <v>1.875</v>
      </c>
      <c r="F22" s="52" t="str">
        <f t="shared" si="3"/>
        <v/>
      </c>
      <c r="G22" s="28">
        <f t="shared" si="4"/>
        <v>3.375</v>
      </c>
      <c r="H22" s="54">
        <f t="shared" si="5"/>
        <v>-1.5</v>
      </c>
      <c r="I22" s="54">
        <f t="shared" si="6"/>
        <v>5.25</v>
      </c>
      <c r="J22" s="64">
        <f t="shared" si="7"/>
        <v>-28.571428571428569</v>
      </c>
    </row>
    <row r="23" spans="1:10">
      <c r="A23" s="26">
        <v>35509</v>
      </c>
      <c r="B23" s="52">
        <v>52.5</v>
      </c>
      <c r="C23" s="52">
        <f t="shared" si="0"/>
        <v>0.5</v>
      </c>
      <c r="D23" s="52">
        <f t="shared" si="1"/>
        <v>0.5</v>
      </c>
      <c r="E23" s="52">
        <f t="shared" si="2"/>
        <v>2.375</v>
      </c>
      <c r="F23" s="52" t="str">
        <f t="shared" si="3"/>
        <v/>
      </c>
      <c r="G23" s="28">
        <f t="shared" si="4"/>
        <v>1.4375</v>
      </c>
      <c r="H23" s="54">
        <f t="shared" si="5"/>
        <v>0.9375</v>
      </c>
      <c r="I23" s="54">
        <f t="shared" si="6"/>
        <v>3.8125</v>
      </c>
      <c r="J23" s="64">
        <f t="shared" si="7"/>
        <v>24.590163934426229</v>
      </c>
    </row>
    <row r="24" spans="1:10">
      <c r="A24" s="27">
        <v>35510</v>
      </c>
      <c r="B24" s="55">
        <v>52.875</v>
      </c>
      <c r="C24" s="55">
        <f t="shared" si="0"/>
        <v>0.375</v>
      </c>
      <c r="D24" s="55">
        <f t="shared" si="1"/>
        <v>0.375</v>
      </c>
      <c r="E24" s="55">
        <f t="shared" si="2"/>
        <v>2.75</v>
      </c>
      <c r="F24" s="55" t="str">
        <f t="shared" si="3"/>
        <v/>
      </c>
      <c r="G24" s="29">
        <f t="shared" si="4"/>
        <v>1.375</v>
      </c>
      <c r="H24" s="57">
        <f t="shared" si="5"/>
        <v>1.375</v>
      </c>
      <c r="I24" s="57">
        <f t="shared" si="6"/>
        <v>4.125</v>
      </c>
      <c r="J24" s="65">
        <f t="shared" si="7"/>
        <v>33.333333333333329</v>
      </c>
    </row>
    <row r="25" spans="1:10">
      <c r="A25" s="27">
        <v>35513</v>
      </c>
      <c r="B25" s="55">
        <v>52.875</v>
      </c>
      <c r="C25" s="55">
        <f t="shared" si="0"/>
        <v>0</v>
      </c>
      <c r="D25" s="55" t="str">
        <f t="shared" si="1"/>
        <v/>
      </c>
      <c r="E25" s="55">
        <f t="shared" si="2"/>
        <v>1</v>
      </c>
      <c r="F25" s="55" t="str">
        <f t="shared" si="3"/>
        <v/>
      </c>
      <c r="G25" s="29">
        <f t="shared" si="4"/>
        <v>1.375</v>
      </c>
      <c r="H25" s="57">
        <f t="shared" si="5"/>
        <v>-0.375</v>
      </c>
      <c r="I25" s="57">
        <f t="shared" si="6"/>
        <v>2.375</v>
      </c>
      <c r="J25" s="65">
        <f t="shared" si="7"/>
        <v>-15.789473684210526</v>
      </c>
    </row>
    <row r="26" spans="1:10">
      <c r="A26" s="26">
        <v>35514</v>
      </c>
      <c r="B26" s="52">
        <v>52.8125</v>
      </c>
      <c r="C26" s="52">
        <f t="shared" si="0"/>
        <v>-6.25E-2</v>
      </c>
      <c r="D26" s="52" t="str">
        <f t="shared" si="1"/>
        <v/>
      </c>
      <c r="E26" s="52">
        <f t="shared" si="2"/>
        <v>1</v>
      </c>
      <c r="F26" s="52">
        <f t="shared" si="3"/>
        <v>6.25E-2</v>
      </c>
      <c r="G26" s="28">
        <f t="shared" si="4"/>
        <v>6.25E-2</v>
      </c>
      <c r="H26" s="54">
        <f t="shared" si="5"/>
        <v>0.9375</v>
      </c>
      <c r="I26" s="54">
        <f t="shared" si="6"/>
        <v>1.0625</v>
      </c>
      <c r="J26" s="64">
        <f t="shared" si="7"/>
        <v>88.235294117647058</v>
      </c>
    </row>
    <row r="27" spans="1:10">
      <c r="A27" s="26">
        <v>35515</v>
      </c>
      <c r="B27" s="52">
        <v>52.625</v>
      </c>
      <c r="C27" s="52">
        <f t="shared" si="0"/>
        <v>-0.1875</v>
      </c>
      <c r="D27" s="52" t="str">
        <f t="shared" si="1"/>
        <v/>
      </c>
      <c r="E27" s="52">
        <f t="shared" si="2"/>
        <v>0.875</v>
      </c>
      <c r="F27" s="52">
        <f t="shared" si="3"/>
        <v>0.1875</v>
      </c>
      <c r="G27" s="28">
        <f t="shared" si="4"/>
        <v>0.25</v>
      </c>
      <c r="H27" s="54">
        <f t="shared" si="5"/>
        <v>0.625</v>
      </c>
      <c r="I27" s="54">
        <f t="shared" si="6"/>
        <v>1.125</v>
      </c>
      <c r="J27" s="64">
        <f t="shared" si="7"/>
        <v>55.555555555555557</v>
      </c>
    </row>
    <row r="28" spans="1:10">
      <c r="A28" s="27">
        <v>35516</v>
      </c>
      <c r="B28" s="55">
        <v>50.875</v>
      </c>
      <c r="C28" s="55">
        <f t="shared" ref="C28:C43" si="8">B28-B27</f>
        <v>-1.75</v>
      </c>
      <c r="D28" s="55" t="str">
        <f t="shared" si="1"/>
        <v/>
      </c>
      <c r="E28" s="55">
        <f t="shared" si="2"/>
        <v>0.375</v>
      </c>
      <c r="F28" s="55">
        <f t="shared" si="3"/>
        <v>1.75</v>
      </c>
      <c r="G28" s="29">
        <f t="shared" si="4"/>
        <v>2</v>
      </c>
      <c r="H28" s="57">
        <f t="shared" si="5"/>
        <v>-1.625</v>
      </c>
      <c r="I28" s="57">
        <f t="shared" si="6"/>
        <v>2.375</v>
      </c>
      <c r="J28" s="65">
        <f t="shared" si="7"/>
        <v>-68.421052631578945</v>
      </c>
    </row>
    <row r="29" spans="1:10">
      <c r="A29" s="27">
        <v>35520</v>
      </c>
      <c r="B29" s="55">
        <v>49.3125</v>
      </c>
      <c r="C29" s="55">
        <f t="shared" si="8"/>
        <v>-1.5625</v>
      </c>
      <c r="D29" s="55" t="str">
        <f t="shared" si="1"/>
        <v/>
      </c>
      <c r="E29" s="55">
        <f t="shared" si="2"/>
        <v>0</v>
      </c>
      <c r="F29" s="55">
        <f t="shared" si="3"/>
        <v>1.5625</v>
      </c>
      <c r="G29" s="29">
        <f t="shared" si="4"/>
        <v>3.5625</v>
      </c>
      <c r="H29" s="57">
        <f t="shared" si="5"/>
        <v>-3.5625</v>
      </c>
      <c r="I29" s="57">
        <f t="shared" si="6"/>
        <v>3.5625</v>
      </c>
      <c r="J29" s="65">
        <f t="shared" si="7"/>
        <v>-100</v>
      </c>
    </row>
    <row r="30" spans="1:10">
      <c r="A30" s="26">
        <v>35521</v>
      </c>
      <c r="B30" s="52">
        <v>50</v>
      </c>
      <c r="C30" s="52">
        <f t="shared" si="8"/>
        <v>0.6875</v>
      </c>
      <c r="D30" s="52">
        <f t="shared" si="1"/>
        <v>0.6875</v>
      </c>
      <c r="E30" s="52">
        <f t="shared" si="2"/>
        <v>0.6875</v>
      </c>
      <c r="F30" s="52" t="str">
        <f t="shared" ref="F30:F59" si="9">IF(C30&lt;0,ABS(C30),"")</f>
        <v/>
      </c>
      <c r="G30" s="52">
        <f t="shared" si="4"/>
        <v>3.5625</v>
      </c>
      <c r="H30" s="64">
        <f t="shared" ref="H30:H59" si="10">E30-G30</f>
        <v>-2.875</v>
      </c>
      <c r="I30" s="64">
        <f t="shared" ref="I30:I59" si="11">E30+G30</f>
        <v>4.25</v>
      </c>
      <c r="J30" s="64">
        <f t="shared" ref="J30:J59" si="12">100*(H30/I30)</f>
        <v>-67.64705882352942</v>
      </c>
    </row>
    <row r="31" spans="1:10">
      <c r="A31" s="26">
        <v>35522</v>
      </c>
      <c r="B31" s="52">
        <v>49.125</v>
      </c>
      <c r="C31" s="52">
        <f t="shared" si="8"/>
        <v>-0.875</v>
      </c>
      <c r="D31" s="52" t="str">
        <f t="shared" si="1"/>
        <v/>
      </c>
      <c r="E31" s="52">
        <f t="shared" si="2"/>
        <v>0.6875</v>
      </c>
      <c r="F31" s="52">
        <f t="shared" si="9"/>
        <v>0.875</v>
      </c>
      <c r="G31" s="52">
        <f t="shared" si="4"/>
        <v>4.375</v>
      </c>
      <c r="H31" s="64">
        <f t="shared" si="10"/>
        <v>-3.6875</v>
      </c>
      <c r="I31" s="64">
        <f t="shared" si="11"/>
        <v>5.0625</v>
      </c>
      <c r="J31" s="64">
        <f t="shared" si="12"/>
        <v>-72.839506172839506</v>
      </c>
    </row>
    <row r="32" spans="1:10">
      <c r="A32" s="27">
        <v>35523</v>
      </c>
      <c r="B32" s="55">
        <v>47.9375</v>
      </c>
      <c r="C32" s="55">
        <f t="shared" si="8"/>
        <v>-1.1875</v>
      </c>
      <c r="D32" s="55" t="str">
        <f t="shared" si="1"/>
        <v/>
      </c>
      <c r="E32" s="55">
        <f t="shared" si="2"/>
        <v>0.6875</v>
      </c>
      <c r="F32" s="55">
        <f t="shared" si="9"/>
        <v>1.1875</v>
      </c>
      <c r="G32" s="55">
        <f t="shared" si="4"/>
        <v>5.375</v>
      </c>
      <c r="H32" s="65">
        <f t="shared" si="10"/>
        <v>-4.6875</v>
      </c>
      <c r="I32" s="65">
        <f t="shared" si="11"/>
        <v>6.0625</v>
      </c>
      <c r="J32" s="65">
        <f t="shared" si="12"/>
        <v>-77.319587628865989</v>
      </c>
    </row>
    <row r="33" spans="1:10">
      <c r="A33" s="27">
        <v>35524</v>
      </c>
      <c r="B33" s="55">
        <v>49</v>
      </c>
      <c r="C33" s="55">
        <f t="shared" si="8"/>
        <v>1.0625</v>
      </c>
      <c r="D33" s="55">
        <f t="shared" si="1"/>
        <v>1.0625</v>
      </c>
      <c r="E33" s="55">
        <f t="shared" si="2"/>
        <v>1.75</v>
      </c>
      <c r="F33" s="55" t="str">
        <f t="shared" si="9"/>
        <v/>
      </c>
      <c r="G33" s="55">
        <f t="shared" si="4"/>
        <v>3.625</v>
      </c>
      <c r="H33" s="65">
        <f t="shared" si="10"/>
        <v>-1.875</v>
      </c>
      <c r="I33" s="65">
        <f t="shared" si="11"/>
        <v>5.375</v>
      </c>
      <c r="J33" s="65">
        <f t="shared" si="12"/>
        <v>-34.883720930232556</v>
      </c>
    </row>
    <row r="34" spans="1:10">
      <c r="A34" s="26">
        <v>35527</v>
      </c>
      <c r="B34" s="52">
        <v>50.0625</v>
      </c>
      <c r="C34" s="52">
        <f t="shared" si="8"/>
        <v>1.0625</v>
      </c>
      <c r="D34" s="52">
        <f t="shared" si="1"/>
        <v>1.0625</v>
      </c>
      <c r="E34" s="52">
        <f t="shared" si="2"/>
        <v>2.8125</v>
      </c>
      <c r="F34" s="52" t="str">
        <f t="shared" si="9"/>
        <v/>
      </c>
      <c r="G34" s="52">
        <f t="shared" si="4"/>
        <v>2.0625</v>
      </c>
      <c r="H34" s="64">
        <f t="shared" si="10"/>
        <v>0.75</v>
      </c>
      <c r="I34" s="64">
        <f t="shared" si="11"/>
        <v>4.875</v>
      </c>
      <c r="J34" s="64">
        <f t="shared" si="12"/>
        <v>15.384615384615385</v>
      </c>
    </row>
    <row r="35" spans="1:10">
      <c r="A35" s="26">
        <v>35528</v>
      </c>
      <c r="B35" s="52">
        <v>50.75</v>
      </c>
      <c r="C35" s="52">
        <f t="shared" si="8"/>
        <v>0.6875</v>
      </c>
      <c r="D35" s="52">
        <f t="shared" si="1"/>
        <v>0.6875</v>
      </c>
      <c r="E35" s="52">
        <f t="shared" si="2"/>
        <v>2.8125</v>
      </c>
      <c r="F35" s="52" t="str">
        <f t="shared" si="9"/>
        <v/>
      </c>
      <c r="G35" s="52">
        <f t="shared" si="4"/>
        <v>2.0625</v>
      </c>
      <c r="H35" s="64">
        <f t="shared" si="10"/>
        <v>0.75</v>
      </c>
      <c r="I35" s="64">
        <f t="shared" si="11"/>
        <v>4.875</v>
      </c>
      <c r="J35" s="64">
        <f t="shared" si="12"/>
        <v>15.384615384615385</v>
      </c>
    </row>
    <row r="36" spans="1:10">
      <c r="A36" s="27">
        <v>35529</v>
      </c>
      <c r="B36" s="55">
        <v>50.75</v>
      </c>
      <c r="C36" s="55">
        <f t="shared" si="8"/>
        <v>0</v>
      </c>
      <c r="D36" s="55" t="str">
        <f t="shared" si="1"/>
        <v/>
      </c>
      <c r="E36" s="55">
        <f t="shared" si="2"/>
        <v>2.8125</v>
      </c>
      <c r="F36" s="55" t="str">
        <f t="shared" si="9"/>
        <v/>
      </c>
      <c r="G36" s="55">
        <f t="shared" si="4"/>
        <v>1.1875</v>
      </c>
      <c r="H36" s="65">
        <f t="shared" si="10"/>
        <v>1.625</v>
      </c>
      <c r="I36" s="65">
        <f t="shared" si="11"/>
        <v>4</v>
      </c>
      <c r="J36" s="65">
        <f t="shared" si="12"/>
        <v>40.625</v>
      </c>
    </row>
    <row r="37" spans="1:10">
      <c r="A37" s="27">
        <v>35530</v>
      </c>
      <c r="B37" s="55">
        <v>51.0625</v>
      </c>
      <c r="C37" s="55">
        <f t="shared" si="8"/>
        <v>0.3125</v>
      </c>
      <c r="D37" s="55">
        <f t="shared" si="1"/>
        <v>0.3125</v>
      </c>
      <c r="E37" s="55">
        <f t="shared" si="2"/>
        <v>3.125</v>
      </c>
      <c r="F37" s="55" t="str">
        <f t="shared" si="9"/>
        <v/>
      </c>
      <c r="G37" s="55">
        <f t="shared" si="4"/>
        <v>0</v>
      </c>
      <c r="H37" s="65">
        <f t="shared" si="10"/>
        <v>3.125</v>
      </c>
      <c r="I37" s="65">
        <f t="shared" si="11"/>
        <v>3.125</v>
      </c>
      <c r="J37" s="65">
        <f t="shared" si="12"/>
        <v>100</v>
      </c>
    </row>
    <row r="38" spans="1:10">
      <c r="A38" s="26">
        <v>35531</v>
      </c>
      <c r="B38" s="52">
        <v>50.1875</v>
      </c>
      <c r="C38" s="52">
        <f t="shared" si="8"/>
        <v>-0.875</v>
      </c>
      <c r="D38" s="52" t="str">
        <f t="shared" si="1"/>
        <v/>
      </c>
      <c r="E38" s="52">
        <f t="shared" si="2"/>
        <v>2.0625</v>
      </c>
      <c r="F38" s="52">
        <f t="shared" si="9"/>
        <v>0.875</v>
      </c>
      <c r="G38" s="52">
        <f t="shared" si="4"/>
        <v>0.875</v>
      </c>
      <c r="H38" s="64">
        <f t="shared" si="10"/>
        <v>1.1875</v>
      </c>
      <c r="I38" s="64">
        <f t="shared" si="11"/>
        <v>2.9375</v>
      </c>
      <c r="J38" s="64">
        <f t="shared" si="12"/>
        <v>40.425531914893611</v>
      </c>
    </row>
    <row r="39" spans="1:10">
      <c r="A39" s="26">
        <v>35534</v>
      </c>
      <c r="B39" s="52">
        <v>50.375</v>
      </c>
      <c r="C39" s="52">
        <f t="shared" si="8"/>
        <v>0.1875</v>
      </c>
      <c r="D39" s="52">
        <f t="shared" si="1"/>
        <v>0.1875</v>
      </c>
      <c r="E39" s="52">
        <f t="shared" si="2"/>
        <v>1.1875</v>
      </c>
      <c r="F39" s="52" t="str">
        <f t="shared" si="9"/>
        <v/>
      </c>
      <c r="G39" s="52">
        <f t="shared" si="4"/>
        <v>0.875</v>
      </c>
      <c r="H39" s="64">
        <f t="shared" si="10"/>
        <v>0.3125</v>
      </c>
      <c r="I39" s="64">
        <f t="shared" si="11"/>
        <v>2.0625</v>
      </c>
      <c r="J39" s="64">
        <f t="shared" si="12"/>
        <v>15.151515151515152</v>
      </c>
    </row>
    <row r="40" spans="1:10">
      <c r="A40" s="27">
        <v>35535</v>
      </c>
      <c r="B40" s="55">
        <v>50.4375</v>
      </c>
      <c r="C40" s="55">
        <f t="shared" si="8"/>
        <v>6.25E-2</v>
      </c>
      <c r="D40" s="55">
        <f t="shared" si="1"/>
        <v>6.25E-2</v>
      </c>
      <c r="E40" s="55">
        <f t="shared" si="2"/>
        <v>0.5625</v>
      </c>
      <c r="F40" s="55" t="str">
        <f t="shared" si="9"/>
        <v/>
      </c>
      <c r="G40" s="55">
        <f t="shared" si="4"/>
        <v>0.875</v>
      </c>
      <c r="H40" s="65">
        <f t="shared" si="10"/>
        <v>-0.3125</v>
      </c>
      <c r="I40" s="65">
        <f t="shared" si="11"/>
        <v>1.4375</v>
      </c>
      <c r="J40" s="65">
        <f t="shared" si="12"/>
        <v>-21.739130434782609</v>
      </c>
    </row>
    <row r="41" spans="1:10">
      <c r="A41" s="27">
        <v>35536</v>
      </c>
      <c r="B41" s="55">
        <v>49.8125</v>
      </c>
      <c r="C41" s="55">
        <f t="shared" si="8"/>
        <v>-0.625</v>
      </c>
      <c r="D41" s="55" t="str">
        <f t="shared" si="1"/>
        <v/>
      </c>
      <c r="E41" s="55">
        <f t="shared" si="2"/>
        <v>0.5625</v>
      </c>
      <c r="F41" s="55">
        <f t="shared" si="9"/>
        <v>0.625</v>
      </c>
      <c r="G41" s="55">
        <f t="shared" si="4"/>
        <v>1.5</v>
      </c>
      <c r="H41" s="65">
        <f t="shared" si="10"/>
        <v>-0.9375</v>
      </c>
      <c r="I41" s="65">
        <f t="shared" si="11"/>
        <v>2.0625</v>
      </c>
      <c r="J41" s="65">
        <f t="shared" si="12"/>
        <v>-45.454545454545453</v>
      </c>
    </row>
    <row r="42" spans="1:10">
      <c r="A42" s="26">
        <v>35537</v>
      </c>
      <c r="B42" s="52">
        <v>49.6875</v>
      </c>
      <c r="C42" s="52">
        <f t="shared" si="8"/>
        <v>-0.125</v>
      </c>
      <c r="D42" s="52" t="str">
        <f t="shared" si="1"/>
        <v/>
      </c>
      <c r="E42" s="52">
        <f t="shared" si="2"/>
        <v>0.25</v>
      </c>
      <c r="F42" s="52">
        <f t="shared" si="9"/>
        <v>0.125</v>
      </c>
      <c r="G42" s="52">
        <f t="shared" si="4"/>
        <v>1.625</v>
      </c>
      <c r="H42" s="64">
        <f t="shared" si="10"/>
        <v>-1.375</v>
      </c>
      <c r="I42" s="64">
        <f t="shared" si="11"/>
        <v>1.875</v>
      </c>
      <c r="J42" s="64">
        <f t="shared" si="12"/>
        <v>-73.333333333333329</v>
      </c>
    </row>
    <row r="43" spans="1:10">
      <c r="A43" s="26">
        <v>35538</v>
      </c>
      <c r="B43" s="52">
        <v>49.8125</v>
      </c>
      <c r="C43" s="52">
        <f t="shared" si="8"/>
        <v>0.125</v>
      </c>
      <c r="D43" s="52">
        <f t="shared" si="1"/>
        <v>0.125</v>
      </c>
      <c r="E43" s="52">
        <f t="shared" si="2"/>
        <v>0.375</v>
      </c>
      <c r="F43" s="52" t="str">
        <f t="shared" si="9"/>
        <v/>
      </c>
      <c r="G43" s="52">
        <f t="shared" si="4"/>
        <v>0.75</v>
      </c>
      <c r="H43" s="64">
        <f t="shared" si="10"/>
        <v>-0.375</v>
      </c>
      <c r="I43" s="64">
        <f t="shared" si="11"/>
        <v>1.125</v>
      </c>
      <c r="J43" s="64">
        <f t="shared" si="12"/>
        <v>-33.333333333333329</v>
      </c>
    </row>
    <row r="44" spans="1:10">
      <c r="A44" s="27">
        <v>35541</v>
      </c>
      <c r="B44" s="55">
        <v>49.375</v>
      </c>
      <c r="C44" s="55">
        <f t="shared" ref="C44:C59" si="13">B44-B43</f>
        <v>-0.4375</v>
      </c>
      <c r="D44" s="55" t="str">
        <f t="shared" si="1"/>
        <v/>
      </c>
      <c r="E44" s="55">
        <f t="shared" si="2"/>
        <v>0.1875</v>
      </c>
      <c r="F44" s="55">
        <f t="shared" si="9"/>
        <v>0.4375</v>
      </c>
      <c r="G44" s="55">
        <f t="shared" si="4"/>
        <v>1.1875</v>
      </c>
      <c r="H44" s="65">
        <f t="shared" si="10"/>
        <v>-1</v>
      </c>
      <c r="I44" s="65">
        <f t="shared" si="11"/>
        <v>1.375</v>
      </c>
      <c r="J44" s="65">
        <f t="shared" si="12"/>
        <v>-72.727272727272734</v>
      </c>
    </row>
    <row r="45" spans="1:10">
      <c r="A45" s="27">
        <v>35542</v>
      </c>
      <c r="B45" s="55">
        <v>50.4375</v>
      </c>
      <c r="C45" s="55">
        <f t="shared" si="13"/>
        <v>1.0625</v>
      </c>
      <c r="D45" s="55">
        <f t="shared" si="1"/>
        <v>1.0625</v>
      </c>
      <c r="E45" s="55">
        <f t="shared" si="2"/>
        <v>1.1875</v>
      </c>
      <c r="F45" s="55" t="str">
        <f t="shared" si="9"/>
        <v/>
      </c>
      <c r="G45" s="55">
        <f t="shared" si="4"/>
        <v>1.1875</v>
      </c>
      <c r="H45" s="65">
        <f t="shared" si="10"/>
        <v>0</v>
      </c>
      <c r="I45" s="65">
        <f t="shared" si="11"/>
        <v>2.375</v>
      </c>
      <c r="J45" s="65">
        <f t="shared" si="12"/>
        <v>0</v>
      </c>
    </row>
    <row r="46" spans="1:10">
      <c r="A46" s="26">
        <v>35543</v>
      </c>
      <c r="B46" s="52">
        <v>50.75</v>
      </c>
      <c r="C46" s="52">
        <f t="shared" si="13"/>
        <v>0.3125</v>
      </c>
      <c r="D46" s="52">
        <f t="shared" si="1"/>
        <v>0.3125</v>
      </c>
      <c r="E46" s="52">
        <f t="shared" si="2"/>
        <v>1.5</v>
      </c>
      <c r="F46" s="52" t="str">
        <f t="shared" si="9"/>
        <v/>
      </c>
      <c r="G46" s="52">
        <f t="shared" si="4"/>
        <v>0.5625</v>
      </c>
      <c r="H46" s="64">
        <f t="shared" si="10"/>
        <v>0.9375</v>
      </c>
      <c r="I46" s="64">
        <f t="shared" si="11"/>
        <v>2.0625</v>
      </c>
      <c r="J46" s="64">
        <f t="shared" si="12"/>
        <v>45.454545454545453</v>
      </c>
    </row>
    <row r="47" spans="1:10">
      <c r="A47" s="26">
        <v>35544</v>
      </c>
      <c r="B47" s="52">
        <v>50.9375</v>
      </c>
      <c r="C47" s="52">
        <f t="shared" si="13"/>
        <v>0.1875</v>
      </c>
      <c r="D47" s="52">
        <f t="shared" si="1"/>
        <v>0.1875</v>
      </c>
      <c r="E47" s="52">
        <f t="shared" si="2"/>
        <v>1.6875</v>
      </c>
      <c r="F47" s="52" t="str">
        <f t="shared" si="9"/>
        <v/>
      </c>
      <c r="G47" s="52">
        <f t="shared" si="4"/>
        <v>0.4375</v>
      </c>
      <c r="H47" s="64">
        <f t="shared" si="10"/>
        <v>1.25</v>
      </c>
      <c r="I47" s="64">
        <f t="shared" si="11"/>
        <v>2.125</v>
      </c>
      <c r="J47" s="64">
        <f t="shared" si="12"/>
        <v>58.82352941176471</v>
      </c>
    </row>
    <row r="48" spans="1:10">
      <c r="A48" s="27">
        <v>35545</v>
      </c>
      <c r="B48" s="55">
        <v>51</v>
      </c>
      <c r="C48" s="55">
        <f t="shared" si="13"/>
        <v>6.25E-2</v>
      </c>
      <c r="D48" s="55">
        <f t="shared" si="1"/>
        <v>6.25E-2</v>
      </c>
      <c r="E48" s="55">
        <f t="shared" si="2"/>
        <v>1.625</v>
      </c>
      <c r="F48" s="55" t="str">
        <f t="shared" si="9"/>
        <v/>
      </c>
      <c r="G48" s="55">
        <f t="shared" si="4"/>
        <v>0.4375</v>
      </c>
      <c r="H48" s="65">
        <f t="shared" si="10"/>
        <v>1.1875</v>
      </c>
      <c r="I48" s="65">
        <f t="shared" si="11"/>
        <v>2.0625</v>
      </c>
      <c r="J48" s="65">
        <f t="shared" si="12"/>
        <v>57.575757575757578</v>
      </c>
    </row>
    <row r="49" spans="1:10">
      <c r="A49" s="27">
        <v>35548</v>
      </c>
      <c r="B49" s="55">
        <v>47.6875</v>
      </c>
      <c r="C49" s="55">
        <f t="shared" si="13"/>
        <v>-3.3125</v>
      </c>
      <c r="D49" s="55" t="str">
        <f t="shared" si="1"/>
        <v/>
      </c>
      <c r="E49" s="55">
        <f t="shared" si="2"/>
        <v>1.625</v>
      </c>
      <c r="F49" s="55">
        <f t="shared" si="9"/>
        <v>3.3125</v>
      </c>
      <c r="G49" s="55">
        <f t="shared" si="4"/>
        <v>3.3125</v>
      </c>
      <c r="H49" s="65">
        <f t="shared" si="10"/>
        <v>-1.6875</v>
      </c>
      <c r="I49" s="65">
        <f t="shared" si="11"/>
        <v>4.9375</v>
      </c>
      <c r="J49" s="65">
        <f t="shared" si="12"/>
        <v>-34.177215189873415</v>
      </c>
    </row>
    <row r="50" spans="1:10">
      <c r="A50" s="26">
        <v>35549</v>
      </c>
      <c r="B50" s="52">
        <v>48.125</v>
      </c>
      <c r="C50" s="52">
        <f t="shared" si="13"/>
        <v>0.4375</v>
      </c>
      <c r="D50" s="52">
        <f t="shared" si="1"/>
        <v>0.4375</v>
      </c>
      <c r="E50" s="52">
        <f t="shared" si="2"/>
        <v>1</v>
      </c>
      <c r="F50" s="52" t="str">
        <f t="shared" si="9"/>
        <v/>
      </c>
      <c r="G50" s="52">
        <f t="shared" si="4"/>
        <v>3.3125</v>
      </c>
      <c r="H50" s="64">
        <f t="shared" si="10"/>
        <v>-2.3125</v>
      </c>
      <c r="I50" s="64">
        <f t="shared" si="11"/>
        <v>4.3125</v>
      </c>
      <c r="J50" s="64">
        <f t="shared" si="12"/>
        <v>-53.623188405797109</v>
      </c>
    </row>
    <row r="51" spans="1:10">
      <c r="A51" s="26">
        <v>35550</v>
      </c>
      <c r="B51" s="52">
        <v>49.3125</v>
      </c>
      <c r="C51" s="52">
        <f t="shared" si="13"/>
        <v>1.1875</v>
      </c>
      <c r="D51" s="52">
        <f t="shared" si="1"/>
        <v>1.1875</v>
      </c>
      <c r="E51" s="52">
        <f t="shared" si="2"/>
        <v>1.875</v>
      </c>
      <c r="F51" s="52" t="str">
        <f t="shared" si="9"/>
        <v/>
      </c>
      <c r="G51" s="52">
        <f t="shared" si="4"/>
        <v>3.3125</v>
      </c>
      <c r="H51" s="64">
        <f t="shared" si="10"/>
        <v>-1.4375</v>
      </c>
      <c r="I51" s="64">
        <f t="shared" si="11"/>
        <v>5.1875</v>
      </c>
      <c r="J51" s="64">
        <f t="shared" si="12"/>
        <v>-27.710843373493976</v>
      </c>
    </row>
    <row r="52" spans="1:10">
      <c r="A52" s="27">
        <v>35551</v>
      </c>
      <c r="B52" s="55">
        <v>49.5</v>
      </c>
      <c r="C52" s="55">
        <f t="shared" si="13"/>
        <v>0.1875</v>
      </c>
      <c r="D52" s="55">
        <f t="shared" si="1"/>
        <v>0.1875</v>
      </c>
      <c r="E52" s="55">
        <f t="shared" si="2"/>
        <v>1.875</v>
      </c>
      <c r="F52" s="55" t="str">
        <f t="shared" si="9"/>
        <v/>
      </c>
      <c r="G52" s="55">
        <f t="shared" si="4"/>
        <v>3.3125</v>
      </c>
      <c r="H52" s="65">
        <f t="shared" si="10"/>
        <v>-1.4375</v>
      </c>
      <c r="I52" s="65">
        <f t="shared" si="11"/>
        <v>5.1875</v>
      </c>
      <c r="J52" s="65">
        <f t="shared" si="12"/>
        <v>-27.710843373493976</v>
      </c>
    </row>
    <row r="53" spans="1:10">
      <c r="A53" s="27">
        <v>35552</v>
      </c>
      <c r="B53" s="55">
        <v>50.25</v>
      </c>
      <c r="C53" s="55">
        <f t="shared" si="13"/>
        <v>0.75</v>
      </c>
      <c r="D53" s="55">
        <f t="shared" si="1"/>
        <v>0.75</v>
      </c>
      <c r="E53" s="55">
        <f t="shared" si="2"/>
        <v>2.5625</v>
      </c>
      <c r="F53" s="55" t="str">
        <f t="shared" si="9"/>
        <v/>
      </c>
      <c r="G53" s="55">
        <f t="shared" si="4"/>
        <v>3.3125</v>
      </c>
      <c r="H53" s="65">
        <f t="shared" si="10"/>
        <v>-0.75</v>
      </c>
      <c r="I53" s="65">
        <f t="shared" si="11"/>
        <v>5.875</v>
      </c>
      <c r="J53" s="65">
        <f t="shared" si="12"/>
        <v>-12.76595744680851</v>
      </c>
    </row>
    <row r="54" spans="1:10">
      <c r="A54" s="26">
        <v>35555</v>
      </c>
      <c r="B54" s="52">
        <v>50</v>
      </c>
      <c r="C54" s="52">
        <f t="shared" si="13"/>
        <v>-0.25</v>
      </c>
      <c r="D54" s="52" t="str">
        <f t="shared" si="1"/>
        <v/>
      </c>
      <c r="E54" s="52">
        <f t="shared" si="2"/>
        <v>2.5625</v>
      </c>
      <c r="F54" s="52">
        <f t="shared" si="9"/>
        <v>0.25</v>
      </c>
      <c r="G54" s="52">
        <f t="shared" si="4"/>
        <v>0.25</v>
      </c>
      <c r="H54" s="64">
        <f t="shared" si="10"/>
        <v>2.3125</v>
      </c>
      <c r="I54" s="64">
        <f t="shared" si="11"/>
        <v>2.8125</v>
      </c>
      <c r="J54" s="64">
        <f t="shared" si="12"/>
        <v>82.222222222222214</v>
      </c>
    </row>
    <row r="55" spans="1:10">
      <c r="A55" s="26">
        <v>35556</v>
      </c>
      <c r="B55" s="52">
        <v>50.375</v>
      </c>
      <c r="C55" s="52">
        <f t="shared" si="13"/>
        <v>0.375</v>
      </c>
      <c r="D55" s="52">
        <f t="shared" si="1"/>
        <v>0.375</v>
      </c>
      <c r="E55" s="52">
        <f t="shared" si="2"/>
        <v>2.5</v>
      </c>
      <c r="F55" s="52" t="str">
        <f t="shared" si="9"/>
        <v/>
      </c>
      <c r="G55" s="52">
        <f t="shared" si="4"/>
        <v>0.25</v>
      </c>
      <c r="H55" s="64">
        <f t="shared" si="10"/>
        <v>2.25</v>
      </c>
      <c r="I55" s="64">
        <f t="shared" si="11"/>
        <v>2.75</v>
      </c>
      <c r="J55" s="64">
        <f t="shared" si="12"/>
        <v>81.818181818181827</v>
      </c>
    </row>
    <row r="56" spans="1:10">
      <c r="A56" s="27">
        <v>35557</v>
      </c>
      <c r="B56" s="55">
        <v>49</v>
      </c>
      <c r="C56" s="55">
        <f t="shared" si="13"/>
        <v>-1.375</v>
      </c>
      <c r="D56" s="55" t="str">
        <f t="shared" si="1"/>
        <v/>
      </c>
      <c r="E56" s="55">
        <f t="shared" si="2"/>
        <v>1.3125</v>
      </c>
      <c r="F56" s="55">
        <f t="shared" si="9"/>
        <v>1.375</v>
      </c>
      <c r="G56" s="55">
        <f t="shared" si="4"/>
        <v>1.625</v>
      </c>
      <c r="H56" s="65">
        <f t="shared" si="10"/>
        <v>-0.3125</v>
      </c>
      <c r="I56" s="65">
        <f t="shared" si="11"/>
        <v>2.9375</v>
      </c>
      <c r="J56" s="65">
        <f t="shared" si="12"/>
        <v>-10.638297872340425</v>
      </c>
    </row>
    <row r="57" spans="1:10">
      <c r="A57" s="27">
        <v>35558</v>
      </c>
      <c r="B57" s="55">
        <v>48.6875</v>
      </c>
      <c r="C57" s="55">
        <f t="shared" si="13"/>
        <v>-0.3125</v>
      </c>
      <c r="D57" s="55" t="str">
        <f t="shared" si="1"/>
        <v/>
      </c>
      <c r="E57" s="55">
        <f t="shared" si="2"/>
        <v>1.125</v>
      </c>
      <c r="F57" s="55">
        <f t="shared" si="9"/>
        <v>0.3125</v>
      </c>
      <c r="G57" s="55">
        <f t="shared" si="4"/>
        <v>1.9375</v>
      </c>
      <c r="H57" s="65">
        <f t="shared" si="10"/>
        <v>-0.8125</v>
      </c>
      <c r="I57" s="65">
        <f t="shared" si="11"/>
        <v>3.0625</v>
      </c>
      <c r="J57" s="65">
        <f t="shared" si="12"/>
        <v>-26.530612244897959</v>
      </c>
    </row>
    <row r="58" spans="1:10">
      <c r="A58" s="26">
        <v>35559</v>
      </c>
      <c r="B58" s="52">
        <v>48.9375</v>
      </c>
      <c r="C58" s="52">
        <f t="shared" si="13"/>
        <v>0.25</v>
      </c>
      <c r="D58" s="52">
        <f t="shared" si="1"/>
        <v>0.25</v>
      </c>
      <c r="E58" s="52">
        <f t="shared" si="2"/>
        <v>0.625</v>
      </c>
      <c r="F58" s="52" t="str">
        <f t="shared" si="9"/>
        <v/>
      </c>
      <c r="G58" s="52">
        <f t="shared" si="4"/>
        <v>1.9375</v>
      </c>
      <c r="H58" s="64">
        <f t="shared" si="10"/>
        <v>-1.3125</v>
      </c>
      <c r="I58" s="64">
        <f t="shared" si="11"/>
        <v>2.5625</v>
      </c>
      <c r="J58" s="64">
        <f t="shared" si="12"/>
        <v>-51.219512195121951</v>
      </c>
    </row>
    <row r="59" spans="1:10">
      <c r="A59" s="26">
        <v>35562</v>
      </c>
      <c r="B59" s="52">
        <v>49.75</v>
      </c>
      <c r="C59" s="52">
        <f t="shared" si="13"/>
        <v>0.8125</v>
      </c>
      <c r="D59" s="52">
        <f t="shared" si="1"/>
        <v>0.8125</v>
      </c>
      <c r="E59" s="52">
        <f t="shared" si="2"/>
        <v>1.4375</v>
      </c>
      <c r="F59" s="52" t="str">
        <f t="shared" si="9"/>
        <v/>
      </c>
      <c r="G59" s="52">
        <f t="shared" si="4"/>
        <v>1.6875</v>
      </c>
      <c r="H59" s="64">
        <f t="shared" si="10"/>
        <v>-0.25</v>
      </c>
      <c r="I59" s="64">
        <f t="shared" si="11"/>
        <v>3.125</v>
      </c>
      <c r="J59" s="64">
        <f t="shared" si="12"/>
        <v>-8</v>
      </c>
    </row>
    <row r="60" spans="1:10">
      <c r="A60" s="2"/>
      <c r="B60" s="4"/>
      <c r="C60" s="4"/>
      <c r="D60" s="4"/>
      <c r="E60" s="4"/>
      <c r="F60" s="4"/>
      <c r="G60" s="4"/>
      <c r="H60" s="4"/>
      <c r="I60" s="4"/>
      <c r="J60" s="4"/>
    </row>
    <row r="61" spans="1:10" ht="15">
      <c r="A61" s="241" t="s">
        <v>936</v>
      </c>
      <c r="B61" s="4"/>
      <c r="C61" s="4"/>
      <c r="D61" s="4"/>
      <c r="E61" s="4"/>
      <c r="F61" s="4"/>
      <c r="G61" s="4"/>
      <c r="H61" s="4"/>
      <c r="I61" s="4"/>
      <c r="J61" s="4"/>
    </row>
    <row r="62" spans="1:10" ht="30.75" customHeight="1">
      <c r="A62" s="447" t="s">
        <v>937</v>
      </c>
      <c r="B62" s="447"/>
      <c r="C62" s="447"/>
      <c r="D62" s="447"/>
      <c r="E62" s="447"/>
      <c r="F62" s="447"/>
      <c r="G62" s="447"/>
      <c r="H62" s="447"/>
      <c r="I62" s="447"/>
      <c r="J62" s="447"/>
    </row>
    <row r="63" spans="1:10" ht="15">
      <c r="A63" s="241" t="s">
        <v>938</v>
      </c>
      <c r="B63" s="4"/>
      <c r="C63" s="4"/>
      <c r="D63" s="4"/>
      <c r="E63" s="4"/>
      <c r="F63" s="4"/>
      <c r="G63" s="4"/>
      <c r="H63" s="4"/>
      <c r="I63" s="4"/>
      <c r="J63" s="4"/>
    </row>
    <row r="64" spans="1:10" ht="33" customHeight="1">
      <c r="A64" s="447" t="s">
        <v>939</v>
      </c>
      <c r="B64" s="447"/>
      <c r="C64" s="447"/>
      <c r="D64" s="447"/>
      <c r="E64" s="447"/>
      <c r="F64" s="447"/>
      <c r="G64" s="447"/>
      <c r="H64" s="447"/>
      <c r="I64" s="447"/>
      <c r="J64" s="447"/>
    </row>
    <row r="65" spans="1:10" ht="15">
      <c r="A65" s="241" t="s">
        <v>940</v>
      </c>
      <c r="B65" s="4"/>
      <c r="C65" s="4"/>
      <c r="D65" s="4"/>
      <c r="E65" s="4"/>
      <c r="F65" s="4"/>
      <c r="G65" s="4"/>
      <c r="H65" s="4"/>
      <c r="I65" s="4"/>
      <c r="J65" s="4"/>
    </row>
    <row r="66" spans="1:10" ht="15">
      <c r="A66" s="241" t="s">
        <v>941</v>
      </c>
      <c r="B66" s="4"/>
      <c r="C66" s="4"/>
      <c r="D66" s="4"/>
      <c r="E66" s="4"/>
      <c r="F66" s="4"/>
      <c r="G66" s="4"/>
      <c r="H66" s="4"/>
      <c r="I66" s="4"/>
      <c r="J66" s="4"/>
    </row>
    <row r="67" spans="1:10" ht="15">
      <c r="A67" s="241" t="s">
        <v>942</v>
      </c>
      <c r="B67" s="4"/>
      <c r="C67" s="4"/>
      <c r="D67" s="4"/>
      <c r="E67" s="4"/>
      <c r="F67" s="4"/>
      <c r="G67" s="4"/>
      <c r="H67" s="4"/>
      <c r="I67" s="4"/>
      <c r="J67" s="4"/>
    </row>
    <row r="68" spans="1:10" ht="15">
      <c r="A68" s="241" t="s">
        <v>943</v>
      </c>
      <c r="B68" s="4"/>
      <c r="C68" s="4"/>
      <c r="D68" s="4"/>
      <c r="E68" s="4"/>
      <c r="F68" s="4"/>
      <c r="G68" s="4"/>
      <c r="H68" s="4"/>
      <c r="I68" s="4"/>
      <c r="J68" s="4"/>
    </row>
    <row r="69" spans="1:10">
      <c r="A69" s="2"/>
      <c r="B69" s="4"/>
      <c r="C69" s="4"/>
      <c r="D69" s="4"/>
      <c r="E69" s="4"/>
      <c r="F69" s="4"/>
      <c r="G69" s="4"/>
      <c r="H69" s="4"/>
      <c r="I69" s="4"/>
      <c r="J69" s="4"/>
    </row>
    <row r="70" spans="1:10">
      <c r="A70" s="2"/>
      <c r="B70" s="4"/>
      <c r="C70" s="4"/>
      <c r="D70" s="4"/>
      <c r="E70" s="4"/>
      <c r="F70" s="4"/>
      <c r="G70" s="4"/>
      <c r="H70" s="4"/>
      <c r="I70" s="4"/>
      <c r="J70" s="4"/>
    </row>
    <row r="71" spans="1:10">
      <c r="A71" s="2"/>
      <c r="B71" s="4"/>
      <c r="C71" s="4"/>
      <c r="D71" s="4"/>
      <c r="E71" s="4"/>
      <c r="F71" s="4"/>
      <c r="G71" s="4"/>
      <c r="H71" s="4"/>
      <c r="I71" s="4"/>
      <c r="J71" s="4"/>
    </row>
    <row r="72" spans="1:10">
      <c r="A72" s="2"/>
      <c r="B72" s="4"/>
      <c r="C72" s="4"/>
      <c r="D72" s="4"/>
      <c r="E72" s="4"/>
      <c r="F72" s="4"/>
      <c r="G72" s="4"/>
      <c r="H72" s="4"/>
      <c r="I72" s="4"/>
      <c r="J72" s="4"/>
    </row>
    <row r="73" spans="1:10">
      <c r="A73" s="2"/>
      <c r="B73" s="4"/>
      <c r="C73" s="4"/>
      <c r="D73" s="4"/>
      <c r="E73" s="4"/>
      <c r="F73" s="4"/>
      <c r="G73" s="4"/>
      <c r="H73" s="4"/>
      <c r="I73" s="4"/>
      <c r="J73" s="4"/>
    </row>
    <row r="74" spans="1:10">
      <c r="A74" s="2"/>
      <c r="B74" s="4"/>
      <c r="C74" s="4"/>
      <c r="D74" s="4"/>
      <c r="E74" s="4"/>
      <c r="F74" s="4"/>
      <c r="G74" s="4"/>
      <c r="H74" s="4"/>
      <c r="I74" s="4"/>
      <c r="J74" s="4"/>
    </row>
    <row r="75" spans="1:10">
      <c r="A75" s="2"/>
      <c r="B75" s="4"/>
      <c r="C75" s="4"/>
      <c r="D75" s="4"/>
      <c r="E75" s="4"/>
      <c r="F75" s="4"/>
      <c r="G75" s="4"/>
      <c r="H75" s="4"/>
      <c r="I75" s="4"/>
      <c r="J75" s="4"/>
    </row>
    <row r="76" spans="1:10">
      <c r="A76" s="2"/>
      <c r="B76" s="4"/>
      <c r="C76" s="4"/>
      <c r="D76" s="4"/>
      <c r="E76" s="4"/>
      <c r="F76" s="4"/>
      <c r="G76" s="4"/>
      <c r="H76" s="4"/>
      <c r="I76" s="4"/>
      <c r="J76" s="4"/>
    </row>
    <row r="77" spans="1:10">
      <c r="A77" s="2"/>
      <c r="B77" s="4"/>
      <c r="C77" s="4"/>
      <c r="D77" s="4"/>
      <c r="E77" s="4"/>
      <c r="F77" s="4"/>
      <c r="G77" s="4"/>
      <c r="H77" s="4"/>
      <c r="I77" s="4"/>
      <c r="J77" s="4"/>
    </row>
    <row r="78" spans="1:10">
      <c r="A78" s="2"/>
      <c r="B78" s="4"/>
      <c r="C78" s="4"/>
      <c r="D78" s="4"/>
      <c r="E78" s="4"/>
      <c r="F78" s="4"/>
      <c r="G78" s="4"/>
      <c r="H78" s="4"/>
      <c r="I78" s="4"/>
      <c r="J78" s="4"/>
    </row>
    <row r="79" spans="1:10">
      <c r="A79" s="2"/>
      <c r="B79" s="4"/>
      <c r="C79" s="4"/>
      <c r="D79" s="4"/>
      <c r="E79" s="4"/>
      <c r="F79" s="4"/>
      <c r="G79" s="4"/>
      <c r="H79" s="4"/>
      <c r="I79" s="4"/>
      <c r="J79" s="4"/>
    </row>
    <row r="80" spans="1:10">
      <c r="A80" s="2"/>
      <c r="B80" s="4"/>
      <c r="C80" s="4"/>
      <c r="D80" s="4"/>
      <c r="E80" s="4"/>
      <c r="F80" s="4"/>
      <c r="G80" s="4"/>
      <c r="H80" s="4"/>
      <c r="I80" s="4"/>
      <c r="J80" s="4"/>
    </row>
    <row r="81" spans="1:10">
      <c r="A81" s="2"/>
      <c r="B81" s="4"/>
      <c r="C81" s="4"/>
      <c r="D81" s="4"/>
      <c r="E81" s="4"/>
      <c r="F81" s="4"/>
      <c r="G81" s="4"/>
      <c r="H81" s="4"/>
      <c r="I81" s="4"/>
      <c r="J81" s="4"/>
    </row>
    <row r="82" spans="1:10">
      <c r="A82" s="2"/>
      <c r="B82" s="4"/>
      <c r="C82" s="4"/>
      <c r="D82" s="4"/>
      <c r="E82" s="4"/>
      <c r="F82" s="4"/>
      <c r="G82" s="4"/>
      <c r="H82" s="4"/>
      <c r="I82" s="4"/>
      <c r="J82" s="4"/>
    </row>
    <row r="83" spans="1:10">
      <c r="A83" s="2"/>
      <c r="B83" s="4"/>
      <c r="C83" s="4"/>
      <c r="D83" s="4"/>
      <c r="E83" s="4"/>
      <c r="F83" s="4"/>
      <c r="G83" s="4"/>
      <c r="H83" s="4"/>
      <c r="I83" s="4"/>
      <c r="J83" s="4"/>
    </row>
    <row r="84" spans="1:10">
      <c r="A84" s="2"/>
      <c r="B84" s="4"/>
      <c r="C84" s="4"/>
      <c r="D84" s="4"/>
      <c r="E84" s="4"/>
      <c r="F84" s="4"/>
      <c r="G84" s="4"/>
      <c r="H84" s="4"/>
      <c r="I84" s="4"/>
      <c r="J84" s="4"/>
    </row>
    <row r="85" spans="1:10">
      <c r="A85" s="2"/>
      <c r="B85" s="4"/>
      <c r="C85" s="4"/>
      <c r="D85" s="4"/>
      <c r="E85" s="4"/>
      <c r="F85" s="4"/>
      <c r="G85" s="4"/>
      <c r="H85" s="4"/>
      <c r="I85" s="4"/>
      <c r="J85" s="4"/>
    </row>
    <row r="86" spans="1:10">
      <c r="A86" s="2"/>
      <c r="B86" s="4"/>
      <c r="C86" s="4"/>
      <c r="D86" s="4"/>
      <c r="E86" s="4"/>
      <c r="F86" s="4"/>
      <c r="G86" s="4"/>
      <c r="H86" s="4"/>
      <c r="I86" s="4"/>
      <c r="J86" s="4"/>
    </row>
    <row r="87" spans="1:10">
      <c r="A87" s="2"/>
      <c r="B87" s="4"/>
      <c r="C87" s="4"/>
      <c r="D87" s="4"/>
      <c r="E87" s="4"/>
      <c r="F87" s="4"/>
      <c r="G87" s="4"/>
      <c r="H87" s="4"/>
      <c r="I87" s="4"/>
      <c r="J87" s="4"/>
    </row>
    <row r="88" spans="1:10">
      <c r="A88" s="2"/>
      <c r="B88" s="4"/>
      <c r="C88" s="4"/>
      <c r="D88" s="4"/>
      <c r="E88" s="4"/>
      <c r="F88" s="4"/>
      <c r="G88" s="4"/>
      <c r="H88" s="4"/>
      <c r="I88" s="4"/>
      <c r="J88" s="4"/>
    </row>
    <row r="89" spans="1:10">
      <c r="A89" s="2"/>
      <c r="B89" s="4"/>
      <c r="C89" s="4"/>
      <c r="D89" s="4"/>
      <c r="E89" s="4"/>
      <c r="F89" s="4"/>
      <c r="G89" s="4"/>
      <c r="H89" s="4"/>
      <c r="I89" s="4"/>
      <c r="J89" s="4"/>
    </row>
    <row r="90" spans="1:10">
      <c r="A90" s="2"/>
      <c r="B90" s="4"/>
      <c r="C90" s="4"/>
      <c r="D90" s="4"/>
      <c r="E90" s="4"/>
      <c r="F90" s="4"/>
      <c r="G90" s="4"/>
      <c r="H90" s="4"/>
      <c r="I90" s="4"/>
      <c r="J90" s="4"/>
    </row>
    <row r="91" spans="1:10">
      <c r="A91" s="2"/>
      <c r="B91" s="4"/>
      <c r="C91" s="4"/>
      <c r="D91" s="4"/>
      <c r="E91" s="4"/>
      <c r="F91" s="4"/>
      <c r="G91" s="4"/>
      <c r="H91" s="4"/>
      <c r="I91" s="4"/>
      <c r="J91" s="4"/>
    </row>
    <row r="92" spans="1:10">
      <c r="A92" s="2"/>
      <c r="B92" s="4"/>
      <c r="C92" s="4"/>
      <c r="D92" s="4"/>
      <c r="E92" s="4"/>
      <c r="F92" s="4"/>
      <c r="G92" s="4"/>
      <c r="H92" s="4"/>
      <c r="I92" s="4"/>
      <c r="J92" s="4"/>
    </row>
    <row r="93" spans="1:10">
      <c r="A93" s="2"/>
      <c r="B93" s="4"/>
      <c r="C93" s="4"/>
      <c r="D93" s="4"/>
      <c r="E93" s="4"/>
      <c r="F93" s="4"/>
      <c r="G93" s="4"/>
      <c r="H93" s="4"/>
      <c r="I93" s="4"/>
      <c r="J93" s="4"/>
    </row>
    <row r="94" spans="1:10">
      <c r="A94" s="2"/>
      <c r="B94" s="4"/>
      <c r="C94" s="4"/>
      <c r="D94" s="4"/>
      <c r="E94" s="4"/>
      <c r="F94" s="4"/>
      <c r="G94" s="4"/>
      <c r="H94" s="4"/>
      <c r="I94" s="4"/>
      <c r="J94" s="4"/>
    </row>
    <row r="95" spans="1:10">
      <c r="A95" s="2"/>
      <c r="B95" s="4"/>
      <c r="C95" s="4"/>
      <c r="D95" s="4"/>
      <c r="E95" s="4"/>
      <c r="F95" s="4"/>
      <c r="G95" s="4"/>
      <c r="H95" s="4"/>
      <c r="I95" s="4"/>
      <c r="J95" s="4"/>
    </row>
    <row r="96" spans="1:10">
      <c r="A96" s="2"/>
      <c r="B96" s="4"/>
      <c r="C96" s="4"/>
      <c r="D96" s="4"/>
      <c r="E96" s="4"/>
      <c r="F96" s="4"/>
      <c r="G96" s="4"/>
      <c r="H96" s="4"/>
      <c r="I96" s="4"/>
      <c r="J96" s="4"/>
    </row>
    <row r="97" spans="1:10">
      <c r="A97" s="2"/>
      <c r="B97" s="4"/>
      <c r="C97" s="4"/>
      <c r="D97" s="4"/>
      <c r="E97" s="4"/>
      <c r="F97" s="4"/>
      <c r="G97" s="4"/>
      <c r="H97" s="4"/>
      <c r="I97" s="4"/>
      <c r="J97" s="4"/>
    </row>
    <row r="98" spans="1:10">
      <c r="A98" s="2"/>
      <c r="B98" s="4"/>
      <c r="C98" s="4"/>
      <c r="D98" s="4"/>
      <c r="E98" s="4"/>
      <c r="F98" s="4"/>
      <c r="G98" s="4"/>
      <c r="H98" s="4"/>
      <c r="I98" s="4"/>
      <c r="J98" s="4"/>
    </row>
    <row r="99" spans="1:10">
      <c r="A99" s="2"/>
      <c r="B99" s="4"/>
      <c r="C99" s="4"/>
      <c r="D99" s="4"/>
      <c r="E99" s="4"/>
      <c r="F99" s="4"/>
      <c r="G99" s="4"/>
      <c r="H99" s="4"/>
      <c r="I99" s="4"/>
      <c r="J99" s="4"/>
    </row>
    <row r="100" spans="1:10">
      <c r="A100" s="2"/>
      <c r="B100" s="4"/>
      <c r="C100" s="4"/>
      <c r="D100" s="4"/>
      <c r="E100" s="4"/>
      <c r="F100" s="4"/>
      <c r="G100" s="4"/>
      <c r="H100" s="4"/>
      <c r="I100" s="4"/>
      <c r="J100" s="4"/>
    </row>
    <row r="101" spans="1:10">
      <c r="A101" s="2"/>
      <c r="B101" s="4"/>
      <c r="C101" s="4"/>
      <c r="D101" s="4"/>
      <c r="E101" s="4"/>
      <c r="F101" s="4"/>
      <c r="G101" s="4"/>
      <c r="H101" s="4"/>
      <c r="I101" s="4"/>
      <c r="J101" s="4"/>
    </row>
    <row r="102" spans="1:10">
      <c r="A102" s="2"/>
      <c r="B102" s="4"/>
      <c r="C102" s="4"/>
      <c r="D102" s="4"/>
      <c r="E102" s="4"/>
      <c r="F102" s="4"/>
      <c r="G102" s="4"/>
      <c r="H102" s="4"/>
      <c r="I102" s="4"/>
      <c r="J102" s="4"/>
    </row>
    <row r="103" spans="1:10">
      <c r="A103" s="2"/>
      <c r="B103" s="4"/>
      <c r="C103" s="4"/>
      <c r="D103" s="4"/>
      <c r="E103" s="4"/>
      <c r="F103" s="4"/>
      <c r="G103" s="4"/>
      <c r="H103" s="4"/>
      <c r="I103" s="4"/>
      <c r="J103" s="4"/>
    </row>
    <row r="104" spans="1:10">
      <c r="A104" s="2"/>
      <c r="B104" s="4"/>
      <c r="C104" s="4"/>
      <c r="D104" s="4"/>
      <c r="E104" s="4"/>
      <c r="F104" s="4"/>
      <c r="G104" s="4"/>
      <c r="H104" s="4"/>
      <c r="I104" s="4"/>
      <c r="J104" s="4"/>
    </row>
    <row r="105" spans="1:10">
      <c r="A105" s="2"/>
      <c r="B105" s="4"/>
      <c r="C105" s="4"/>
      <c r="D105" s="4"/>
      <c r="E105" s="4"/>
      <c r="F105" s="4"/>
      <c r="G105" s="4"/>
      <c r="H105" s="4"/>
      <c r="I105" s="4"/>
      <c r="J105" s="4"/>
    </row>
    <row r="106" spans="1:10">
      <c r="A106" s="2"/>
      <c r="B106" s="4"/>
      <c r="C106" s="4"/>
      <c r="D106" s="4"/>
      <c r="E106" s="4"/>
      <c r="F106" s="4"/>
      <c r="G106" s="4"/>
      <c r="H106" s="4"/>
      <c r="I106" s="4"/>
      <c r="J106" s="4"/>
    </row>
    <row r="107" spans="1:10">
      <c r="A107" s="2"/>
      <c r="B107" s="4"/>
      <c r="C107" s="4"/>
      <c r="D107" s="4"/>
      <c r="E107" s="4"/>
      <c r="F107" s="4"/>
      <c r="G107" s="4"/>
      <c r="H107" s="4"/>
      <c r="I107" s="4"/>
      <c r="J107" s="4"/>
    </row>
    <row r="108" spans="1:10">
      <c r="A108" s="2"/>
      <c r="B108" s="4"/>
      <c r="C108" s="4"/>
      <c r="D108" s="4"/>
      <c r="E108" s="4"/>
      <c r="F108" s="4"/>
      <c r="G108" s="4"/>
      <c r="H108" s="4"/>
      <c r="I108" s="4"/>
      <c r="J108" s="4"/>
    </row>
    <row r="109" spans="1:10">
      <c r="A109" s="2"/>
      <c r="B109" s="4"/>
      <c r="C109" s="4"/>
      <c r="D109" s="4"/>
      <c r="E109" s="4"/>
      <c r="F109" s="4"/>
      <c r="G109" s="4"/>
      <c r="H109" s="4"/>
      <c r="I109" s="4"/>
      <c r="J109" s="4"/>
    </row>
    <row r="110" spans="1:10">
      <c r="A110" s="2"/>
      <c r="B110" s="4"/>
      <c r="C110" s="4"/>
      <c r="D110" s="4"/>
      <c r="E110" s="4"/>
      <c r="F110" s="4"/>
      <c r="G110" s="4"/>
      <c r="H110" s="4"/>
      <c r="I110" s="4"/>
      <c r="J110" s="4"/>
    </row>
    <row r="111" spans="1:10">
      <c r="A111" s="2"/>
      <c r="B111" s="4"/>
      <c r="C111" s="4"/>
      <c r="D111" s="4"/>
      <c r="E111" s="4"/>
      <c r="F111" s="4"/>
      <c r="G111" s="4"/>
      <c r="H111" s="4"/>
      <c r="I111" s="4"/>
      <c r="J111" s="4"/>
    </row>
    <row r="112" spans="1:10">
      <c r="A112" s="2"/>
      <c r="B112" s="4"/>
      <c r="C112" s="4"/>
      <c r="D112" s="4"/>
      <c r="E112" s="4"/>
      <c r="F112" s="4"/>
      <c r="G112" s="4"/>
      <c r="H112" s="4"/>
      <c r="I112" s="4"/>
      <c r="J112" s="4"/>
    </row>
    <row r="113" spans="1:10">
      <c r="A113" s="2"/>
      <c r="B113" s="4"/>
      <c r="C113" s="4"/>
      <c r="D113" s="4"/>
      <c r="E113" s="4"/>
      <c r="F113" s="4"/>
      <c r="G113" s="4"/>
      <c r="H113" s="4"/>
      <c r="I113" s="4"/>
      <c r="J113" s="4"/>
    </row>
    <row r="114" spans="1:10">
      <c r="A114" s="2"/>
      <c r="B114" s="4"/>
      <c r="C114" s="4"/>
      <c r="D114" s="4"/>
      <c r="E114" s="4"/>
      <c r="F114" s="4"/>
      <c r="G114" s="4"/>
      <c r="H114" s="4"/>
      <c r="I114" s="4"/>
      <c r="J114" s="4"/>
    </row>
    <row r="115" spans="1:10">
      <c r="A115" s="2"/>
      <c r="B115" s="4"/>
      <c r="C115" s="4"/>
      <c r="D115" s="4"/>
      <c r="E115" s="4"/>
      <c r="F115" s="4"/>
      <c r="G115" s="4"/>
      <c r="H115" s="4"/>
      <c r="I115" s="4"/>
      <c r="J115" s="4"/>
    </row>
    <row r="116" spans="1:10">
      <c r="A116" s="2"/>
      <c r="B116" s="4"/>
      <c r="C116" s="4"/>
      <c r="D116" s="4"/>
      <c r="E116" s="4"/>
      <c r="F116" s="4"/>
      <c r="G116" s="4"/>
      <c r="H116" s="4"/>
      <c r="I116" s="4"/>
      <c r="J116" s="4"/>
    </row>
    <row r="117" spans="1:10">
      <c r="A117" s="2"/>
      <c r="B117" s="4"/>
      <c r="C117" s="4"/>
      <c r="D117" s="4"/>
      <c r="E117" s="4"/>
      <c r="F117" s="4"/>
      <c r="G117" s="4"/>
      <c r="H117" s="4"/>
      <c r="I117" s="4"/>
      <c r="J117" s="4"/>
    </row>
    <row r="118" spans="1:10">
      <c r="A118" s="2"/>
      <c r="B118" s="4"/>
      <c r="C118" s="4"/>
      <c r="D118" s="4"/>
      <c r="E118" s="4"/>
      <c r="F118" s="4"/>
      <c r="G118" s="4"/>
      <c r="H118" s="4"/>
      <c r="I118" s="4"/>
      <c r="J118" s="4"/>
    </row>
    <row r="119" spans="1:10">
      <c r="A119" s="2"/>
      <c r="B119" s="4"/>
      <c r="C119" s="4"/>
      <c r="D119" s="4"/>
      <c r="E119" s="4"/>
      <c r="F119" s="4"/>
      <c r="G119" s="4"/>
      <c r="H119" s="4"/>
      <c r="I119" s="4"/>
      <c r="J119" s="4"/>
    </row>
    <row r="120" spans="1:10">
      <c r="A120" s="2"/>
      <c r="B120" s="4"/>
      <c r="C120" s="4"/>
      <c r="D120" s="4"/>
      <c r="E120" s="4"/>
      <c r="F120" s="4"/>
      <c r="G120" s="4"/>
      <c r="H120" s="4"/>
      <c r="I120" s="4"/>
      <c r="J120" s="4"/>
    </row>
    <row r="121" spans="1:10">
      <c r="A121" s="2"/>
      <c r="B121" s="4"/>
      <c r="C121" s="4"/>
      <c r="D121" s="4"/>
      <c r="E121" s="4"/>
      <c r="F121" s="4"/>
      <c r="G121" s="4"/>
      <c r="H121" s="4"/>
      <c r="I121" s="4"/>
      <c r="J121" s="4"/>
    </row>
    <row r="122" spans="1:10">
      <c r="A122" s="2"/>
      <c r="B122" s="4"/>
      <c r="C122" s="4"/>
      <c r="D122" s="4"/>
      <c r="E122" s="4"/>
      <c r="F122" s="4"/>
      <c r="G122" s="4"/>
      <c r="H122" s="4"/>
      <c r="I122" s="4"/>
      <c r="J122" s="4"/>
    </row>
    <row r="123" spans="1:10">
      <c r="A123" s="2"/>
      <c r="B123" s="4"/>
      <c r="C123" s="4"/>
      <c r="D123" s="4"/>
      <c r="E123" s="4"/>
      <c r="F123" s="4"/>
      <c r="G123" s="4"/>
      <c r="H123" s="4"/>
      <c r="I123" s="4"/>
      <c r="J123" s="4"/>
    </row>
    <row r="124" spans="1:10">
      <c r="A124" s="2"/>
      <c r="B124" s="4"/>
      <c r="C124" s="4"/>
      <c r="D124" s="4"/>
      <c r="E124" s="4"/>
      <c r="F124" s="4"/>
      <c r="G124" s="4"/>
      <c r="H124" s="4"/>
      <c r="I124" s="4"/>
      <c r="J124" s="4"/>
    </row>
    <row r="125" spans="1:10">
      <c r="A125" s="2"/>
      <c r="B125" s="4"/>
      <c r="C125" s="4"/>
      <c r="D125" s="4"/>
      <c r="E125" s="4"/>
      <c r="F125" s="4"/>
      <c r="G125" s="4"/>
      <c r="H125" s="4"/>
      <c r="I125" s="4"/>
      <c r="J125" s="4"/>
    </row>
    <row r="126" spans="1:10">
      <c r="A126" s="2"/>
      <c r="B126" s="4"/>
      <c r="C126" s="4"/>
      <c r="D126" s="4"/>
      <c r="E126" s="4"/>
      <c r="F126" s="4"/>
      <c r="G126" s="4"/>
      <c r="H126" s="4"/>
      <c r="I126" s="4"/>
      <c r="J126" s="4"/>
    </row>
    <row r="127" spans="1:10">
      <c r="A127" s="2"/>
      <c r="B127" s="4"/>
      <c r="C127" s="4"/>
      <c r="D127" s="4"/>
      <c r="E127" s="4"/>
      <c r="F127" s="4"/>
      <c r="G127" s="4"/>
      <c r="H127" s="4"/>
      <c r="I127" s="4"/>
      <c r="J127" s="4"/>
    </row>
    <row r="128" spans="1:10">
      <c r="A128" s="2"/>
      <c r="B128" s="4"/>
      <c r="C128" s="4"/>
      <c r="D128" s="4"/>
      <c r="E128" s="4"/>
      <c r="F128" s="4"/>
      <c r="G128" s="4"/>
      <c r="H128" s="4"/>
      <c r="I128" s="4"/>
      <c r="J128" s="4"/>
    </row>
    <row r="129" spans="1:10">
      <c r="A129" s="2"/>
      <c r="B129" s="4"/>
      <c r="C129" s="4"/>
      <c r="D129" s="4"/>
      <c r="E129" s="4"/>
      <c r="F129" s="4"/>
      <c r="G129" s="4"/>
      <c r="H129" s="4"/>
      <c r="I129" s="4"/>
      <c r="J129" s="4"/>
    </row>
    <row r="130" spans="1:10">
      <c r="A130" s="2"/>
      <c r="B130" s="4"/>
      <c r="C130" s="4"/>
      <c r="D130" s="4"/>
      <c r="E130" s="4"/>
      <c r="F130" s="4"/>
      <c r="G130" s="4"/>
      <c r="H130" s="4"/>
      <c r="I130" s="4"/>
      <c r="J130" s="4"/>
    </row>
    <row r="131" spans="1:10">
      <c r="A131" s="2"/>
      <c r="B131" s="4"/>
      <c r="C131" s="4"/>
      <c r="D131" s="4"/>
      <c r="E131" s="4"/>
      <c r="F131" s="4"/>
      <c r="G131" s="4"/>
      <c r="H131" s="4"/>
      <c r="I131" s="4"/>
      <c r="J131" s="4"/>
    </row>
    <row r="132" spans="1:10">
      <c r="A132" s="2"/>
      <c r="B132" s="4"/>
      <c r="C132" s="4"/>
      <c r="D132" s="4"/>
      <c r="E132" s="4"/>
      <c r="F132" s="4"/>
      <c r="G132" s="4"/>
      <c r="H132" s="4"/>
      <c r="I132" s="4"/>
      <c r="J132" s="4"/>
    </row>
    <row r="133" spans="1:10">
      <c r="A133" s="2"/>
      <c r="B133" s="4"/>
      <c r="C133" s="4"/>
      <c r="D133" s="4"/>
      <c r="E133" s="4"/>
      <c r="F133" s="4"/>
      <c r="G133" s="4"/>
      <c r="H133" s="4"/>
      <c r="I133" s="4"/>
      <c r="J133" s="4"/>
    </row>
    <row r="134" spans="1:10">
      <c r="A134" s="2"/>
      <c r="B134" s="4"/>
      <c r="C134" s="4"/>
      <c r="D134" s="4"/>
      <c r="E134" s="4"/>
      <c r="F134" s="4"/>
      <c r="G134" s="4"/>
      <c r="H134" s="4"/>
      <c r="I134" s="4"/>
      <c r="J134" s="4"/>
    </row>
    <row r="135" spans="1:10">
      <c r="A135" s="2"/>
      <c r="B135" s="4"/>
      <c r="C135" s="4"/>
      <c r="D135" s="4"/>
      <c r="E135" s="4"/>
      <c r="F135" s="4"/>
      <c r="G135" s="4"/>
      <c r="H135" s="4"/>
      <c r="I135" s="4"/>
      <c r="J135" s="4"/>
    </row>
    <row r="136" spans="1:10">
      <c r="A136" s="2"/>
      <c r="B136" s="4"/>
      <c r="C136" s="4"/>
      <c r="D136" s="4"/>
      <c r="E136" s="4"/>
      <c r="F136" s="4"/>
      <c r="G136" s="4"/>
      <c r="H136" s="4"/>
      <c r="I136" s="4"/>
      <c r="J136" s="4"/>
    </row>
    <row r="137" spans="1:10">
      <c r="A137" s="2"/>
      <c r="B137" s="4"/>
      <c r="C137" s="4"/>
      <c r="D137" s="4"/>
      <c r="E137" s="4"/>
      <c r="F137" s="4"/>
      <c r="G137" s="4"/>
      <c r="H137" s="4"/>
      <c r="I137" s="4"/>
      <c r="J137" s="4"/>
    </row>
    <row r="138" spans="1:10">
      <c r="A138" s="2"/>
      <c r="B138" s="4"/>
      <c r="C138" s="4"/>
      <c r="D138" s="4"/>
      <c r="E138" s="4"/>
      <c r="F138" s="4"/>
      <c r="G138" s="4"/>
      <c r="H138" s="4"/>
      <c r="I138" s="4"/>
      <c r="J138" s="4"/>
    </row>
    <row r="139" spans="1:10">
      <c r="A139" s="2"/>
      <c r="B139" s="4"/>
      <c r="C139" s="4"/>
      <c r="D139" s="4"/>
      <c r="E139" s="4"/>
      <c r="F139" s="4"/>
      <c r="G139" s="4"/>
      <c r="H139" s="4"/>
      <c r="I139" s="4"/>
      <c r="J139" s="4"/>
    </row>
    <row r="140" spans="1:10">
      <c r="A140" s="2"/>
      <c r="B140" s="4"/>
      <c r="C140" s="4"/>
      <c r="D140" s="4"/>
      <c r="E140" s="4"/>
      <c r="F140" s="4"/>
      <c r="G140" s="4"/>
      <c r="H140" s="4"/>
      <c r="I140" s="4"/>
      <c r="J140" s="4"/>
    </row>
    <row r="141" spans="1:10">
      <c r="A141" s="2"/>
      <c r="B141" s="4"/>
      <c r="C141" s="4"/>
      <c r="D141" s="4"/>
      <c r="E141" s="4"/>
      <c r="F141" s="4"/>
      <c r="G141" s="4"/>
      <c r="H141" s="4"/>
      <c r="I141" s="4"/>
      <c r="J141" s="4"/>
    </row>
    <row r="142" spans="1:10">
      <c r="A142" s="2"/>
      <c r="B142" s="4"/>
      <c r="C142" s="4"/>
      <c r="D142" s="4"/>
      <c r="E142" s="4"/>
      <c r="F142" s="4"/>
      <c r="G142" s="4"/>
      <c r="H142" s="4"/>
      <c r="I142" s="4"/>
      <c r="J142" s="4"/>
    </row>
    <row r="143" spans="1:10">
      <c r="A143" s="2"/>
      <c r="B143" s="4"/>
      <c r="C143" s="4"/>
      <c r="D143" s="4"/>
      <c r="E143" s="4"/>
      <c r="F143" s="4"/>
      <c r="G143" s="4"/>
      <c r="H143" s="4"/>
      <c r="I143" s="4"/>
      <c r="J143" s="4"/>
    </row>
    <row r="144" spans="1:10">
      <c r="A144" s="2"/>
      <c r="B144" s="4"/>
      <c r="C144" s="4"/>
      <c r="D144" s="4"/>
      <c r="E144" s="4"/>
      <c r="F144" s="4"/>
      <c r="G144" s="4"/>
      <c r="H144" s="4"/>
      <c r="I144" s="4"/>
      <c r="J144" s="4"/>
    </row>
    <row r="145" spans="1:10">
      <c r="A145" s="2"/>
      <c r="B145" s="4"/>
      <c r="C145" s="4"/>
      <c r="D145" s="4"/>
      <c r="E145" s="4"/>
      <c r="F145" s="4"/>
      <c r="G145" s="4"/>
      <c r="H145" s="4"/>
      <c r="I145" s="4"/>
      <c r="J145" s="4"/>
    </row>
    <row r="146" spans="1:10">
      <c r="A146" s="2"/>
      <c r="B146" s="4"/>
      <c r="C146" s="4"/>
      <c r="D146" s="4"/>
      <c r="E146" s="4"/>
      <c r="F146" s="4"/>
      <c r="G146" s="4"/>
      <c r="H146" s="4"/>
      <c r="I146" s="4"/>
      <c r="J146" s="4"/>
    </row>
    <row r="147" spans="1:10">
      <c r="A147" s="2"/>
      <c r="B147" s="4"/>
      <c r="C147" s="4"/>
      <c r="D147" s="4"/>
      <c r="E147" s="4"/>
      <c r="F147" s="4"/>
      <c r="G147" s="4"/>
      <c r="H147" s="4"/>
      <c r="I147" s="4"/>
      <c r="J147" s="4"/>
    </row>
    <row r="148" spans="1:10">
      <c r="A148" s="2"/>
      <c r="B148" s="4"/>
      <c r="C148" s="4"/>
      <c r="D148" s="4"/>
      <c r="E148" s="4"/>
      <c r="F148" s="4"/>
      <c r="G148" s="4"/>
      <c r="H148" s="4"/>
      <c r="I148" s="4"/>
      <c r="J148" s="4"/>
    </row>
    <row r="149" spans="1:10">
      <c r="A149" s="2"/>
      <c r="B149" s="4"/>
      <c r="C149" s="4"/>
      <c r="D149" s="4"/>
      <c r="E149" s="4"/>
      <c r="F149" s="4"/>
      <c r="G149" s="4"/>
      <c r="H149" s="4"/>
      <c r="I149" s="4"/>
      <c r="J149" s="4"/>
    </row>
    <row r="150" spans="1:10">
      <c r="A150" s="2"/>
      <c r="B150" s="4"/>
      <c r="C150" s="4"/>
      <c r="D150" s="4"/>
      <c r="E150" s="4"/>
      <c r="F150" s="4"/>
      <c r="G150" s="4"/>
      <c r="H150" s="4"/>
      <c r="I150" s="4"/>
      <c r="J150" s="4"/>
    </row>
    <row r="151" spans="1:10">
      <c r="A151" s="2"/>
      <c r="B151" s="4"/>
      <c r="C151" s="4"/>
      <c r="D151" s="4"/>
      <c r="E151" s="4"/>
      <c r="F151" s="4"/>
      <c r="G151" s="4"/>
      <c r="H151" s="4"/>
      <c r="I151" s="4"/>
      <c r="J151" s="4"/>
    </row>
    <row r="152" spans="1:10">
      <c r="A152" s="2"/>
      <c r="B152" s="4"/>
      <c r="C152" s="4"/>
      <c r="D152" s="4"/>
      <c r="E152" s="4"/>
      <c r="F152" s="4"/>
      <c r="G152" s="4"/>
      <c r="H152" s="4"/>
      <c r="I152" s="4"/>
      <c r="J152" s="4"/>
    </row>
    <row r="153" spans="1:10">
      <c r="A153" s="2"/>
      <c r="B153" s="4"/>
      <c r="C153" s="4"/>
      <c r="D153" s="4"/>
      <c r="E153" s="4"/>
      <c r="F153" s="4"/>
      <c r="G153" s="4"/>
      <c r="H153" s="4"/>
      <c r="I153" s="4"/>
      <c r="J153" s="4"/>
    </row>
    <row r="154" spans="1:10">
      <c r="A154" s="2"/>
      <c r="B154" s="4"/>
      <c r="C154" s="4"/>
      <c r="D154" s="4"/>
      <c r="E154" s="4"/>
      <c r="F154" s="4"/>
      <c r="G154" s="4"/>
      <c r="H154" s="4"/>
      <c r="I154" s="4"/>
      <c r="J154" s="4"/>
    </row>
    <row r="155" spans="1:10">
      <c r="A155" s="2"/>
      <c r="B155" s="4"/>
      <c r="C155" s="4"/>
      <c r="D155" s="4"/>
      <c r="E155" s="4"/>
      <c r="F155" s="4"/>
      <c r="G155" s="4"/>
      <c r="H155" s="4"/>
      <c r="I155" s="4"/>
      <c r="J155" s="4"/>
    </row>
    <row r="156" spans="1:10">
      <c r="A156" s="2"/>
      <c r="B156" s="4"/>
      <c r="C156" s="4"/>
      <c r="D156" s="4"/>
      <c r="E156" s="4"/>
      <c r="F156" s="4"/>
      <c r="G156" s="4"/>
      <c r="H156" s="4"/>
      <c r="I156" s="4"/>
      <c r="J156" s="4"/>
    </row>
    <row r="157" spans="1:10">
      <c r="A157" s="2"/>
      <c r="B157" s="4"/>
      <c r="C157" s="4"/>
      <c r="D157" s="4"/>
      <c r="E157" s="4"/>
      <c r="F157" s="4"/>
      <c r="G157" s="4"/>
      <c r="H157" s="4"/>
      <c r="I157" s="4"/>
      <c r="J157" s="4"/>
    </row>
    <row r="158" spans="1:10">
      <c r="A158" s="2"/>
      <c r="B158" s="4"/>
      <c r="C158" s="4"/>
      <c r="D158" s="4"/>
      <c r="E158" s="4"/>
      <c r="F158" s="4"/>
      <c r="G158" s="4"/>
      <c r="H158" s="4"/>
      <c r="I158" s="4"/>
      <c r="J158" s="4"/>
    </row>
    <row r="159" spans="1:10">
      <c r="A159" s="2"/>
      <c r="B159" s="4"/>
      <c r="C159" s="4"/>
      <c r="D159" s="4"/>
      <c r="E159" s="4"/>
      <c r="F159" s="4"/>
      <c r="G159" s="4"/>
      <c r="H159" s="4"/>
      <c r="I159" s="4"/>
      <c r="J159" s="4"/>
    </row>
    <row r="160" spans="1:10">
      <c r="A160" s="2"/>
      <c r="B160" s="4"/>
      <c r="C160" s="4"/>
      <c r="D160" s="4"/>
      <c r="E160" s="4"/>
      <c r="F160" s="4"/>
      <c r="G160" s="4"/>
      <c r="H160" s="4"/>
      <c r="I160" s="4"/>
      <c r="J160" s="4"/>
    </row>
    <row r="161" spans="1:10">
      <c r="A161" s="2"/>
      <c r="B161" s="4"/>
      <c r="C161" s="4"/>
      <c r="D161" s="4"/>
      <c r="E161" s="4"/>
      <c r="F161" s="4"/>
      <c r="G161" s="4"/>
      <c r="H161" s="4"/>
      <c r="I161" s="4"/>
      <c r="J161" s="4"/>
    </row>
    <row r="162" spans="1:10">
      <c r="A162" s="2"/>
      <c r="B162" s="4"/>
      <c r="C162" s="4"/>
      <c r="D162" s="4"/>
      <c r="E162" s="4"/>
      <c r="F162" s="4"/>
      <c r="G162" s="4"/>
      <c r="H162" s="4"/>
      <c r="I162" s="4"/>
      <c r="J162" s="4"/>
    </row>
    <row r="163" spans="1:10">
      <c r="A163" s="2"/>
      <c r="B163" s="4"/>
      <c r="C163" s="4"/>
      <c r="D163" s="4"/>
      <c r="E163" s="4"/>
      <c r="F163" s="4"/>
      <c r="G163" s="4"/>
      <c r="H163" s="4"/>
      <c r="I163" s="4"/>
      <c r="J163" s="4"/>
    </row>
    <row r="164" spans="1:10">
      <c r="A164" s="2"/>
      <c r="B164" s="4"/>
      <c r="C164" s="4"/>
      <c r="D164" s="4"/>
      <c r="E164" s="4"/>
      <c r="F164" s="4"/>
      <c r="G164" s="4"/>
      <c r="H164" s="4"/>
      <c r="I164" s="4"/>
      <c r="J164" s="4"/>
    </row>
    <row r="165" spans="1:10">
      <c r="A165" s="2"/>
      <c r="B165" s="4"/>
      <c r="C165" s="4"/>
      <c r="D165" s="4"/>
      <c r="E165" s="4"/>
      <c r="F165" s="4"/>
      <c r="G165" s="4"/>
      <c r="H165" s="4"/>
      <c r="I165" s="4"/>
      <c r="J165" s="4"/>
    </row>
    <row r="166" spans="1:10">
      <c r="A166" s="2"/>
      <c r="B166" s="4"/>
      <c r="C166" s="4"/>
      <c r="D166" s="4"/>
      <c r="E166" s="4"/>
      <c r="F166" s="4"/>
      <c r="G166" s="4"/>
      <c r="H166" s="4"/>
      <c r="I166" s="4"/>
      <c r="J166" s="4"/>
    </row>
    <row r="167" spans="1:10">
      <c r="A167" s="2"/>
      <c r="B167" s="4"/>
      <c r="C167" s="4"/>
      <c r="D167" s="4"/>
      <c r="E167" s="4"/>
      <c r="F167" s="4"/>
      <c r="G167" s="4"/>
      <c r="H167" s="4"/>
      <c r="I167" s="4"/>
      <c r="J167" s="4"/>
    </row>
    <row r="168" spans="1:10">
      <c r="A168" s="2"/>
      <c r="B168" s="4"/>
      <c r="C168" s="4"/>
      <c r="D168" s="4"/>
      <c r="E168" s="4"/>
      <c r="F168" s="4"/>
      <c r="G168" s="4"/>
      <c r="H168" s="4"/>
      <c r="I168" s="4"/>
      <c r="J168" s="4"/>
    </row>
    <row r="169" spans="1:10">
      <c r="A169" s="2"/>
      <c r="B169" s="4"/>
      <c r="C169" s="4"/>
      <c r="D169" s="4"/>
      <c r="E169" s="4"/>
      <c r="F169" s="4"/>
      <c r="G169" s="4"/>
      <c r="H169" s="4"/>
      <c r="I169" s="4"/>
      <c r="J169" s="4"/>
    </row>
    <row r="170" spans="1:10">
      <c r="A170" s="2"/>
      <c r="B170" s="4"/>
      <c r="C170" s="4"/>
      <c r="D170" s="4"/>
      <c r="E170" s="4"/>
      <c r="F170" s="4"/>
      <c r="G170" s="4"/>
      <c r="H170" s="4"/>
      <c r="I170" s="4"/>
      <c r="J170" s="4"/>
    </row>
    <row r="171" spans="1:10">
      <c r="A171" s="2"/>
      <c r="B171" s="4"/>
      <c r="C171" s="4"/>
      <c r="D171" s="4"/>
      <c r="E171" s="4"/>
      <c r="F171" s="4"/>
      <c r="G171" s="4"/>
      <c r="H171" s="4"/>
      <c r="I171" s="4"/>
      <c r="J171" s="4"/>
    </row>
    <row r="172" spans="1:10">
      <c r="A172" s="2"/>
      <c r="B172" s="4"/>
      <c r="C172" s="4"/>
      <c r="D172" s="4"/>
      <c r="E172" s="4"/>
      <c r="F172" s="4"/>
      <c r="G172" s="4"/>
      <c r="H172" s="4"/>
      <c r="I172" s="4"/>
      <c r="J172" s="4"/>
    </row>
    <row r="173" spans="1:10">
      <c r="A173" s="2"/>
      <c r="B173" s="4"/>
      <c r="C173" s="4"/>
      <c r="D173" s="4"/>
      <c r="E173" s="4"/>
      <c r="F173" s="4"/>
      <c r="G173" s="4"/>
      <c r="H173" s="4"/>
      <c r="I173" s="4"/>
      <c r="J173" s="4"/>
    </row>
    <row r="174" spans="1:10">
      <c r="A174" s="2"/>
      <c r="B174" s="4"/>
      <c r="C174" s="4"/>
      <c r="D174" s="4"/>
      <c r="E174" s="4"/>
      <c r="F174" s="4"/>
      <c r="G174" s="4"/>
      <c r="H174" s="4"/>
      <c r="I174" s="4"/>
      <c r="J174" s="4"/>
    </row>
    <row r="175" spans="1:10">
      <c r="A175" s="2"/>
      <c r="B175" s="4"/>
      <c r="C175" s="4"/>
      <c r="D175" s="4"/>
      <c r="E175" s="4"/>
      <c r="F175" s="4"/>
      <c r="G175" s="4"/>
      <c r="H175" s="4"/>
      <c r="I175" s="4"/>
      <c r="J175" s="4"/>
    </row>
    <row r="176" spans="1:10">
      <c r="A176" s="2"/>
      <c r="B176" s="4"/>
      <c r="C176" s="4"/>
      <c r="D176" s="4"/>
      <c r="E176" s="4"/>
      <c r="F176" s="4"/>
      <c r="G176" s="4"/>
      <c r="H176" s="4"/>
      <c r="I176" s="4"/>
      <c r="J176" s="4"/>
    </row>
    <row r="177" spans="1:10">
      <c r="A177" s="2"/>
      <c r="B177" s="4"/>
      <c r="C177" s="4"/>
      <c r="D177" s="4"/>
      <c r="E177" s="4"/>
      <c r="F177" s="4"/>
      <c r="G177" s="4"/>
      <c r="H177" s="4"/>
      <c r="I177" s="4"/>
      <c r="J177" s="4"/>
    </row>
    <row r="178" spans="1:10">
      <c r="A178" s="2"/>
      <c r="B178" s="4"/>
      <c r="C178" s="4"/>
      <c r="D178" s="4"/>
      <c r="E178" s="4"/>
      <c r="F178" s="4"/>
      <c r="G178" s="4"/>
      <c r="H178" s="4"/>
      <c r="I178" s="4"/>
      <c r="J178" s="4"/>
    </row>
    <row r="179" spans="1:10">
      <c r="A179" s="2"/>
      <c r="B179" s="4"/>
      <c r="C179" s="4"/>
      <c r="D179" s="4"/>
      <c r="E179" s="4"/>
      <c r="F179" s="4"/>
      <c r="G179" s="4"/>
      <c r="H179" s="4"/>
      <c r="I179" s="4"/>
      <c r="J179" s="4"/>
    </row>
    <row r="180" spans="1:10">
      <c r="A180" s="2"/>
      <c r="B180" s="4"/>
      <c r="C180" s="4"/>
      <c r="D180" s="4"/>
      <c r="E180" s="4"/>
      <c r="F180" s="4"/>
      <c r="G180" s="4"/>
      <c r="H180" s="4"/>
      <c r="I180" s="4"/>
      <c r="J180" s="4"/>
    </row>
    <row r="181" spans="1:10">
      <c r="A181" s="2"/>
      <c r="B181" s="4"/>
      <c r="C181" s="4"/>
      <c r="D181" s="4"/>
      <c r="E181" s="4"/>
      <c r="F181" s="4"/>
      <c r="G181" s="4"/>
      <c r="H181" s="4"/>
      <c r="I181" s="4"/>
      <c r="J181" s="4"/>
    </row>
    <row r="182" spans="1:10">
      <c r="A182" s="2"/>
      <c r="B182" s="4"/>
      <c r="C182" s="4"/>
      <c r="D182" s="4"/>
      <c r="E182" s="4"/>
      <c r="F182" s="4"/>
      <c r="G182" s="4"/>
      <c r="H182" s="4"/>
      <c r="I182" s="4"/>
      <c r="J182" s="4"/>
    </row>
    <row r="183" spans="1:10">
      <c r="A183" s="2"/>
      <c r="B183" s="4"/>
      <c r="C183" s="4"/>
      <c r="D183" s="4"/>
      <c r="E183" s="4"/>
      <c r="F183" s="4"/>
      <c r="G183" s="4"/>
      <c r="H183" s="4"/>
      <c r="I183" s="4"/>
      <c r="J183" s="4"/>
    </row>
    <row r="184" spans="1:10">
      <c r="A184" s="2"/>
      <c r="B184" s="4"/>
      <c r="C184" s="4"/>
      <c r="D184" s="4"/>
      <c r="E184" s="4"/>
      <c r="F184" s="4"/>
      <c r="G184" s="4"/>
      <c r="H184" s="4"/>
      <c r="I184" s="4"/>
      <c r="J184" s="4"/>
    </row>
    <row r="185" spans="1:10">
      <c r="A185" s="2"/>
      <c r="B185" s="4"/>
      <c r="C185" s="4"/>
      <c r="D185" s="4"/>
      <c r="E185" s="4"/>
      <c r="F185" s="4"/>
      <c r="G185" s="4"/>
      <c r="H185" s="4"/>
      <c r="I185" s="4"/>
      <c r="J185" s="4"/>
    </row>
    <row r="186" spans="1:10">
      <c r="A186" s="2"/>
      <c r="B186" s="4"/>
      <c r="C186" s="4"/>
      <c r="D186" s="4"/>
      <c r="E186" s="4"/>
      <c r="F186" s="4"/>
      <c r="G186" s="4"/>
      <c r="H186" s="4"/>
      <c r="I186" s="4"/>
      <c r="J186" s="4"/>
    </row>
    <row r="187" spans="1:10">
      <c r="A187" s="2"/>
      <c r="B187" s="4"/>
      <c r="C187" s="4"/>
      <c r="D187" s="4"/>
      <c r="E187" s="4"/>
      <c r="F187" s="4"/>
      <c r="G187" s="4"/>
      <c r="H187" s="4"/>
      <c r="I187" s="4"/>
      <c r="J187" s="4"/>
    </row>
    <row r="188" spans="1:10">
      <c r="A188" s="2"/>
      <c r="B188" s="4"/>
      <c r="C188" s="4"/>
      <c r="D188" s="4"/>
      <c r="E188" s="4"/>
      <c r="F188" s="4"/>
      <c r="G188" s="4"/>
      <c r="H188" s="4"/>
      <c r="I188" s="4"/>
      <c r="J188" s="4"/>
    </row>
    <row r="189" spans="1:10">
      <c r="A189" s="2"/>
      <c r="B189" s="4"/>
      <c r="C189" s="4"/>
      <c r="D189" s="4"/>
      <c r="E189" s="4"/>
      <c r="F189" s="4"/>
      <c r="G189" s="4"/>
      <c r="H189" s="4"/>
      <c r="I189" s="4"/>
      <c r="J189" s="4"/>
    </row>
    <row r="190" spans="1:10">
      <c r="A190" s="2"/>
      <c r="B190" s="4"/>
      <c r="C190" s="4"/>
      <c r="D190" s="4"/>
      <c r="E190" s="4"/>
      <c r="F190" s="4"/>
      <c r="G190" s="4"/>
      <c r="H190" s="4"/>
      <c r="I190" s="4"/>
      <c r="J190" s="4"/>
    </row>
    <row r="191" spans="1:10">
      <c r="A191" s="2"/>
      <c r="B191" s="4"/>
      <c r="C191" s="4"/>
      <c r="D191" s="4"/>
      <c r="E191" s="4"/>
      <c r="F191" s="4"/>
      <c r="G191" s="4"/>
      <c r="H191" s="4"/>
      <c r="I191" s="4"/>
      <c r="J191" s="4"/>
    </row>
    <row r="192" spans="1:10">
      <c r="A192" s="2"/>
      <c r="B192" s="4"/>
      <c r="C192" s="4"/>
      <c r="D192" s="4"/>
      <c r="E192" s="4"/>
      <c r="F192" s="4"/>
      <c r="G192" s="4"/>
      <c r="H192" s="4"/>
      <c r="I192" s="4"/>
      <c r="J192" s="4"/>
    </row>
    <row r="193" spans="1:10">
      <c r="A193" s="2"/>
      <c r="B193" s="4"/>
      <c r="C193" s="4"/>
      <c r="D193" s="4"/>
      <c r="E193" s="4"/>
      <c r="F193" s="4"/>
      <c r="G193" s="4"/>
      <c r="H193" s="4"/>
      <c r="I193" s="4"/>
      <c r="J193" s="4"/>
    </row>
    <row r="194" spans="1:10">
      <c r="A194" s="2"/>
      <c r="B194" s="4"/>
      <c r="C194" s="4"/>
      <c r="D194" s="4"/>
      <c r="E194" s="4"/>
      <c r="F194" s="4"/>
      <c r="G194" s="4"/>
      <c r="H194" s="4"/>
      <c r="I194" s="4"/>
      <c r="J194" s="4"/>
    </row>
    <row r="195" spans="1:10">
      <c r="A195" s="2"/>
      <c r="B195" s="4"/>
      <c r="C195" s="4"/>
      <c r="D195" s="4"/>
      <c r="E195" s="4"/>
      <c r="F195" s="4"/>
      <c r="G195" s="4"/>
      <c r="H195" s="4"/>
      <c r="I195" s="4"/>
      <c r="J195" s="4"/>
    </row>
    <row r="196" spans="1:10">
      <c r="A196" s="2"/>
      <c r="B196" s="4"/>
      <c r="C196" s="4"/>
      <c r="D196" s="4"/>
      <c r="E196" s="4"/>
      <c r="F196" s="4"/>
      <c r="G196" s="4"/>
      <c r="H196" s="4"/>
      <c r="I196" s="4"/>
      <c r="J196" s="4"/>
    </row>
    <row r="197" spans="1:10">
      <c r="A197" s="2"/>
      <c r="B197" s="4"/>
      <c r="C197" s="4"/>
      <c r="D197" s="4"/>
      <c r="E197" s="4"/>
      <c r="F197" s="4"/>
      <c r="G197" s="4"/>
      <c r="H197" s="4"/>
      <c r="I197" s="4"/>
      <c r="J197" s="4"/>
    </row>
    <row r="198" spans="1:10">
      <c r="A198" s="2"/>
      <c r="B198" s="4"/>
      <c r="C198" s="4"/>
      <c r="D198" s="4"/>
      <c r="E198" s="4"/>
      <c r="F198" s="4"/>
      <c r="G198" s="4"/>
      <c r="H198" s="4"/>
      <c r="I198" s="4"/>
      <c r="J198" s="4"/>
    </row>
    <row r="199" spans="1:10">
      <c r="A199" s="2"/>
      <c r="B199" s="4"/>
      <c r="C199" s="4"/>
      <c r="D199" s="4"/>
      <c r="E199" s="4"/>
      <c r="F199" s="4"/>
      <c r="G199" s="4"/>
      <c r="H199" s="4"/>
      <c r="I199" s="4"/>
      <c r="J199" s="4"/>
    </row>
    <row r="200" spans="1:10">
      <c r="A200" s="2"/>
      <c r="B200" s="4"/>
      <c r="C200" s="4"/>
      <c r="D200" s="4"/>
      <c r="E200" s="4"/>
      <c r="F200" s="4"/>
      <c r="G200" s="4"/>
      <c r="H200" s="4"/>
      <c r="I200" s="4"/>
      <c r="J200" s="4"/>
    </row>
    <row r="201" spans="1:10">
      <c r="A201" s="2"/>
      <c r="B201" s="4"/>
      <c r="C201" s="4"/>
      <c r="D201" s="4"/>
      <c r="E201" s="4"/>
      <c r="F201" s="4"/>
      <c r="G201" s="4"/>
      <c r="H201" s="4"/>
      <c r="I201" s="4"/>
      <c r="J201" s="4"/>
    </row>
    <row r="202" spans="1:10">
      <c r="A202" s="2"/>
      <c r="B202" s="4"/>
      <c r="C202" s="4"/>
      <c r="D202" s="4"/>
      <c r="E202" s="4"/>
      <c r="F202" s="4"/>
      <c r="G202" s="4"/>
      <c r="H202" s="4"/>
      <c r="I202" s="4"/>
      <c r="J202" s="4"/>
    </row>
    <row r="203" spans="1:10">
      <c r="A203" s="2"/>
      <c r="B203" s="4"/>
      <c r="C203" s="4"/>
      <c r="D203" s="4"/>
      <c r="E203" s="4"/>
      <c r="F203" s="4"/>
      <c r="G203" s="4"/>
      <c r="H203" s="4"/>
      <c r="I203" s="4"/>
      <c r="J203" s="4"/>
    </row>
    <row r="204" spans="1:10">
      <c r="A204" s="2"/>
      <c r="B204" s="4"/>
      <c r="C204" s="4"/>
      <c r="D204" s="4"/>
      <c r="E204" s="4"/>
      <c r="F204" s="4"/>
      <c r="G204" s="4"/>
      <c r="H204" s="4"/>
      <c r="I204" s="4"/>
      <c r="J204" s="4"/>
    </row>
    <row r="205" spans="1:10">
      <c r="A205" s="2"/>
      <c r="B205" s="4"/>
      <c r="C205" s="4"/>
      <c r="D205" s="4"/>
      <c r="E205" s="4"/>
      <c r="F205" s="4"/>
      <c r="G205" s="4"/>
      <c r="H205" s="4"/>
      <c r="I205" s="4"/>
      <c r="J205" s="4"/>
    </row>
    <row r="206" spans="1:10">
      <c r="A206" s="2"/>
      <c r="B206" s="4"/>
      <c r="C206" s="4"/>
      <c r="D206" s="4"/>
      <c r="E206" s="4"/>
      <c r="F206" s="4"/>
      <c r="G206" s="4"/>
      <c r="H206" s="4"/>
      <c r="I206" s="4"/>
      <c r="J206" s="4"/>
    </row>
    <row r="207" spans="1:10">
      <c r="A207" s="2"/>
      <c r="B207" s="4"/>
      <c r="C207" s="4"/>
      <c r="D207" s="4"/>
      <c r="E207" s="4"/>
      <c r="F207" s="4"/>
      <c r="G207" s="4"/>
      <c r="H207" s="4"/>
      <c r="I207" s="4"/>
      <c r="J207" s="4"/>
    </row>
    <row r="208" spans="1:10">
      <c r="A208" s="2"/>
      <c r="B208" s="4"/>
      <c r="C208" s="4"/>
      <c r="D208" s="4"/>
      <c r="E208" s="4"/>
      <c r="F208" s="4"/>
      <c r="G208" s="4"/>
      <c r="H208" s="4"/>
      <c r="I208" s="4"/>
      <c r="J208" s="4"/>
    </row>
    <row r="209" spans="1:10">
      <c r="A209" s="2"/>
      <c r="B209" s="4"/>
      <c r="C209" s="4"/>
      <c r="D209" s="4"/>
      <c r="E209" s="4"/>
      <c r="F209" s="4"/>
      <c r="G209" s="4"/>
      <c r="H209" s="4"/>
      <c r="I209" s="4"/>
      <c r="J209" s="4"/>
    </row>
    <row r="210" spans="1:10">
      <c r="A210" s="2"/>
      <c r="B210" s="4"/>
      <c r="C210" s="4"/>
      <c r="D210" s="4"/>
      <c r="E210" s="4"/>
      <c r="F210" s="4"/>
      <c r="G210" s="4"/>
      <c r="H210" s="4"/>
      <c r="I210" s="4"/>
      <c r="J210" s="4"/>
    </row>
    <row r="211" spans="1:10">
      <c r="A211" s="2"/>
      <c r="B211" s="4"/>
      <c r="C211" s="4"/>
      <c r="D211" s="4"/>
      <c r="E211" s="4"/>
      <c r="F211" s="4"/>
      <c r="G211" s="4"/>
      <c r="H211" s="4"/>
      <c r="I211" s="4"/>
      <c r="J211" s="4"/>
    </row>
    <row r="212" spans="1:10">
      <c r="A212" s="2"/>
      <c r="B212" s="4"/>
      <c r="C212" s="4"/>
      <c r="D212" s="4"/>
      <c r="E212" s="4"/>
      <c r="F212" s="4"/>
      <c r="G212" s="4"/>
      <c r="H212" s="4"/>
      <c r="I212" s="4"/>
      <c r="J212" s="4"/>
    </row>
    <row r="213" spans="1:10">
      <c r="A213" s="2"/>
      <c r="B213" s="4"/>
      <c r="C213" s="4"/>
      <c r="D213" s="4"/>
      <c r="E213" s="4"/>
      <c r="F213" s="4"/>
      <c r="G213" s="4"/>
      <c r="H213" s="4"/>
      <c r="I213" s="4"/>
      <c r="J213" s="4"/>
    </row>
    <row r="214" spans="1:10">
      <c r="A214" s="2"/>
      <c r="B214" s="4"/>
      <c r="C214" s="4"/>
      <c r="D214" s="4"/>
      <c r="E214" s="4"/>
      <c r="F214" s="4"/>
      <c r="G214" s="4"/>
      <c r="H214" s="4"/>
      <c r="I214" s="4"/>
      <c r="J214" s="4"/>
    </row>
    <row r="215" spans="1:10">
      <c r="A215" s="2"/>
      <c r="B215" s="4"/>
      <c r="C215" s="4"/>
      <c r="D215" s="4"/>
      <c r="E215" s="4"/>
      <c r="F215" s="4"/>
      <c r="G215" s="4"/>
      <c r="H215" s="4"/>
      <c r="I215" s="4"/>
      <c r="J215" s="4"/>
    </row>
    <row r="216" spans="1:10">
      <c r="A216" s="2"/>
      <c r="B216" s="4"/>
      <c r="C216" s="4"/>
      <c r="D216" s="4"/>
      <c r="E216" s="4"/>
      <c r="F216" s="4"/>
      <c r="G216" s="4"/>
      <c r="H216" s="4"/>
      <c r="I216" s="4"/>
      <c r="J216" s="4"/>
    </row>
    <row r="217" spans="1:10">
      <c r="A217" s="2"/>
      <c r="B217" s="4"/>
      <c r="C217" s="4"/>
      <c r="D217" s="4"/>
      <c r="E217" s="4"/>
      <c r="F217" s="4"/>
      <c r="G217" s="4"/>
      <c r="H217" s="4"/>
      <c r="I217" s="4"/>
      <c r="J217" s="4"/>
    </row>
    <row r="218" spans="1:10">
      <c r="A218" s="2"/>
      <c r="B218" s="4"/>
      <c r="C218" s="4"/>
      <c r="D218" s="4"/>
      <c r="E218" s="4"/>
      <c r="F218" s="4"/>
      <c r="G218" s="4"/>
      <c r="H218" s="4"/>
      <c r="I218" s="4"/>
      <c r="J218" s="4"/>
    </row>
    <row r="219" spans="1:10">
      <c r="A219" s="2"/>
      <c r="B219" s="4"/>
      <c r="C219" s="4"/>
      <c r="D219" s="4"/>
      <c r="E219" s="4"/>
      <c r="F219" s="4"/>
      <c r="G219" s="4"/>
      <c r="H219" s="4"/>
      <c r="I219" s="4"/>
      <c r="J219" s="4"/>
    </row>
    <row r="220" spans="1:10">
      <c r="A220" s="2"/>
      <c r="B220" s="4"/>
      <c r="C220" s="4"/>
      <c r="D220" s="4"/>
      <c r="E220" s="4"/>
      <c r="F220" s="4"/>
      <c r="G220" s="4"/>
      <c r="H220" s="4"/>
      <c r="I220" s="4"/>
      <c r="J220" s="4"/>
    </row>
    <row r="221" spans="1:10">
      <c r="A221" s="2"/>
      <c r="B221" s="4"/>
      <c r="C221" s="4"/>
      <c r="D221" s="4"/>
      <c r="E221" s="4"/>
      <c r="F221" s="4"/>
      <c r="G221" s="4"/>
      <c r="H221" s="4"/>
      <c r="I221" s="4"/>
      <c r="J221" s="4"/>
    </row>
    <row r="222" spans="1:10">
      <c r="A222" s="2"/>
      <c r="B222" s="4"/>
      <c r="C222" s="4"/>
      <c r="D222" s="4"/>
      <c r="E222" s="4"/>
      <c r="F222" s="4"/>
      <c r="G222" s="4"/>
      <c r="H222" s="4"/>
      <c r="I222" s="4"/>
      <c r="J222" s="4"/>
    </row>
    <row r="223" spans="1:10">
      <c r="A223" s="2"/>
      <c r="B223" s="4"/>
      <c r="C223" s="4"/>
      <c r="D223" s="4"/>
      <c r="E223" s="4"/>
      <c r="F223" s="4"/>
      <c r="G223" s="4"/>
      <c r="H223" s="4"/>
      <c r="I223" s="4"/>
      <c r="J223" s="4"/>
    </row>
    <row r="224" spans="1:10">
      <c r="A224" s="2"/>
      <c r="B224" s="4"/>
      <c r="C224" s="4"/>
      <c r="D224" s="4"/>
      <c r="E224" s="4"/>
      <c r="F224" s="4"/>
      <c r="G224" s="4"/>
      <c r="H224" s="4"/>
      <c r="I224" s="4"/>
      <c r="J224" s="4"/>
    </row>
    <row r="225" spans="1:10">
      <c r="A225" s="2"/>
      <c r="B225" s="4"/>
      <c r="C225" s="4"/>
      <c r="D225" s="4"/>
      <c r="E225" s="4"/>
      <c r="F225" s="4"/>
      <c r="G225" s="4"/>
      <c r="H225" s="4"/>
      <c r="I225" s="4"/>
      <c r="J225" s="4"/>
    </row>
    <row r="226" spans="1:10">
      <c r="A226" s="2"/>
      <c r="B226" s="4"/>
      <c r="C226" s="4"/>
      <c r="D226" s="4"/>
      <c r="E226" s="4"/>
      <c r="F226" s="4"/>
      <c r="G226" s="4"/>
      <c r="H226" s="4"/>
      <c r="I226" s="4"/>
      <c r="J226" s="4"/>
    </row>
    <row r="227" spans="1:10">
      <c r="A227" s="2"/>
      <c r="B227" s="4"/>
      <c r="C227" s="4"/>
      <c r="D227" s="4"/>
      <c r="E227" s="4"/>
      <c r="F227" s="4"/>
      <c r="G227" s="4"/>
      <c r="H227" s="4"/>
      <c r="I227" s="4"/>
      <c r="J227" s="4"/>
    </row>
    <row r="228" spans="1:10">
      <c r="A228" s="2"/>
      <c r="B228" s="4"/>
      <c r="C228" s="4"/>
      <c r="D228" s="4"/>
      <c r="E228" s="4"/>
      <c r="F228" s="4"/>
      <c r="G228" s="4"/>
      <c r="H228" s="4"/>
      <c r="I228" s="4"/>
      <c r="J228" s="4"/>
    </row>
    <row r="229" spans="1:10">
      <c r="A229" s="2"/>
      <c r="B229" s="4"/>
      <c r="C229" s="4"/>
      <c r="D229" s="4"/>
      <c r="E229" s="4"/>
      <c r="F229" s="4"/>
      <c r="G229" s="4"/>
      <c r="H229" s="4"/>
      <c r="I229" s="4"/>
      <c r="J229" s="4"/>
    </row>
    <row r="230" spans="1:10">
      <c r="A230" s="2"/>
      <c r="B230" s="4"/>
      <c r="C230" s="4"/>
      <c r="D230" s="4"/>
      <c r="E230" s="4"/>
      <c r="F230" s="4"/>
      <c r="G230" s="4"/>
      <c r="H230" s="4"/>
      <c r="I230" s="4"/>
      <c r="J230" s="4"/>
    </row>
    <row r="231" spans="1:10">
      <c r="A231" s="2"/>
      <c r="B231" s="4"/>
      <c r="C231" s="4"/>
      <c r="D231" s="4"/>
      <c r="E231" s="4"/>
      <c r="F231" s="4"/>
      <c r="G231" s="4"/>
      <c r="H231" s="4"/>
      <c r="I231" s="4"/>
      <c r="J231" s="4"/>
    </row>
    <row r="232" spans="1:10">
      <c r="A232" s="2"/>
      <c r="B232" s="4"/>
      <c r="C232" s="4"/>
      <c r="D232" s="4"/>
      <c r="E232" s="4"/>
      <c r="F232" s="4"/>
      <c r="G232" s="4"/>
      <c r="H232" s="4"/>
      <c r="I232" s="4"/>
      <c r="J232" s="4"/>
    </row>
    <row r="233" spans="1:10">
      <c r="A233" s="2"/>
      <c r="B233" s="4"/>
      <c r="C233" s="4"/>
      <c r="D233" s="4"/>
      <c r="E233" s="4"/>
      <c r="F233" s="4"/>
      <c r="G233" s="4"/>
      <c r="H233" s="4"/>
      <c r="I233" s="4"/>
      <c r="J233" s="4"/>
    </row>
    <row r="234" spans="1:10">
      <c r="A234" s="2"/>
      <c r="B234" s="4"/>
      <c r="C234" s="4"/>
      <c r="D234" s="4"/>
      <c r="E234" s="4"/>
      <c r="F234" s="4"/>
      <c r="G234" s="4"/>
      <c r="H234" s="4"/>
      <c r="I234" s="4"/>
      <c r="J234" s="4"/>
    </row>
    <row r="235" spans="1:10">
      <c r="A235" s="2"/>
      <c r="B235" s="4"/>
      <c r="C235" s="4"/>
      <c r="D235" s="4"/>
      <c r="E235" s="4"/>
      <c r="F235" s="4"/>
      <c r="G235" s="4"/>
      <c r="H235" s="4"/>
      <c r="I235" s="4"/>
      <c r="J235" s="4"/>
    </row>
    <row r="236" spans="1:10">
      <c r="A236" s="2"/>
      <c r="B236" s="4"/>
      <c r="C236" s="4"/>
      <c r="D236" s="4"/>
      <c r="E236" s="4"/>
      <c r="F236" s="4"/>
      <c r="G236" s="4"/>
      <c r="H236" s="4"/>
      <c r="I236" s="4"/>
      <c r="J236" s="4"/>
    </row>
    <row r="237" spans="1:10">
      <c r="A237" s="2"/>
      <c r="B237" s="4"/>
      <c r="C237" s="4"/>
      <c r="D237" s="4"/>
      <c r="E237" s="4"/>
      <c r="F237" s="4"/>
      <c r="G237" s="4"/>
      <c r="H237" s="4"/>
      <c r="I237" s="4"/>
      <c r="J237" s="4"/>
    </row>
    <row r="238" spans="1:10">
      <c r="A238" s="2"/>
      <c r="B238" s="4"/>
      <c r="C238" s="4"/>
      <c r="D238" s="4"/>
      <c r="E238" s="4"/>
      <c r="F238" s="4"/>
      <c r="G238" s="4"/>
      <c r="H238" s="4"/>
      <c r="I238" s="4"/>
      <c r="J238" s="4"/>
    </row>
    <row r="239" spans="1:10">
      <c r="A239" s="2"/>
      <c r="B239" s="4"/>
      <c r="C239" s="4"/>
      <c r="D239" s="4"/>
      <c r="E239" s="4"/>
      <c r="F239" s="4"/>
      <c r="G239" s="4"/>
      <c r="H239" s="4"/>
      <c r="I239" s="4"/>
      <c r="J239" s="4"/>
    </row>
    <row r="240" spans="1:10">
      <c r="A240" s="2"/>
      <c r="B240" s="4"/>
      <c r="C240" s="4"/>
      <c r="D240" s="4"/>
      <c r="E240" s="4"/>
      <c r="F240" s="4"/>
      <c r="G240" s="4"/>
      <c r="H240" s="4"/>
      <c r="I240" s="4"/>
      <c r="J240" s="4"/>
    </row>
    <row r="241" spans="1:10">
      <c r="A241" s="2"/>
      <c r="B241" s="4"/>
      <c r="C241" s="4"/>
      <c r="D241" s="4"/>
      <c r="E241" s="4"/>
      <c r="F241" s="4"/>
      <c r="G241" s="4"/>
      <c r="H241" s="4"/>
      <c r="I241" s="4"/>
      <c r="J241" s="4"/>
    </row>
    <row r="242" spans="1:10">
      <c r="A242" s="2"/>
      <c r="B242" s="4"/>
      <c r="C242" s="4"/>
      <c r="D242" s="4"/>
      <c r="E242" s="4"/>
      <c r="F242" s="4"/>
      <c r="G242" s="4"/>
      <c r="H242" s="4"/>
      <c r="I242" s="4"/>
      <c r="J242" s="4"/>
    </row>
    <row r="243" spans="1:10">
      <c r="A243" s="2"/>
      <c r="B243" s="4"/>
      <c r="C243" s="4"/>
      <c r="D243" s="4"/>
      <c r="E243" s="4"/>
      <c r="F243" s="4"/>
      <c r="G243" s="4"/>
      <c r="H243" s="4"/>
      <c r="I243" s="4"/>
      <c r="J243" s="4"/>
    </row>
    <row r="244" spans="1:10">
      <c r="A244" s="2"/>
      <c r="B244" s="4"/>
      <c r="C244" s="4"/>
      <c r="D244" s="4"/>
      <c r="E244" s="4"/>
      <c r="F244" s="4"/>
      <c r="G244" s="4"/>
      <c r="H244" s="4"/>
      <c r="I244" s="4"/>
      <c r="J244" s="4"/>
    </row>
    <row r="245" spans="1:10">
      <c r="A245" s="2"/>
      <c r="B245" s="4"/>
      <c r="C245" s="4"/>
      <c r="D245" s="4"/>
      <c r="E245" s="4"/>
      <c r="F245" s="4"/>
      <c r="G245" s="4"/>
      <c r="H245" s="4"/>
      <c r="I245" s="4"/>
      <c r="J245" s="4"/>
    </row>
    <row r="246" spans="1:10">
      <c r="A246" s="2"/>
      <c r="B246" s="4"/>
      <c r="C246" s="4"/>
      <c r="D246" s="4"/>
      <c r="E246" s="4"/>
      <c r="F246" s="4"/>
      <c r="G246" s="4"/>
      <c r="H246" s="4"/>
      <c r="I246" s="4"/>
      <c r="J246" s="4"/>
    </row>
    <row r="247" spans="1:10">
      <c r="A247" s="2"/>
      <c r="B247" s="4"/>
      <c r="C247" s="4"/>
      <c r="D247" s="4"/>
      <c r="E247" s="4"/>
      <c r="F247" s="4"/>
      <c r="G247" s="4"/>
      <c r="H247" s="4"/>
      <c r="I247" s="4"/>
      <c r="J247" s="4"/>
    </row>
    <row r="248" spans="1:10">
      <c r="A248" s="2"/>
      <c r="B248" s="4"/>
      <c r="C248" s="4"/>
      <c r="D248" s="4"/>
      <c r="E248" s="4"/>
      <c r="F248" s="4"/>
      <c r="G248" s="4"/>
      <c r="H248" s="4"/>
      <c r="I248" s="4"/>
      <c r="J248" s="4"/>
    </row>
    <row r="249" spans="1:10">
      <c r="A249" s="2"/>
      <c r="B249" s="4"/>
      <c r="C249" s="4"/>
      <c r="D249" s="4"/>
      <c r="E249" s="4"/>
      <c r="F249" s="4"/>
      <c r="G249" s="4"/>
      <c r="H249" s="4"/>
      <c r="I249" s="4"/>
      <c r="J249" s="4"/>
    </row>
    <row r="250" spans="1:10">
      <c r="A250" s="2"/>
      <c r="B250" s="4"/>
      <c r="C250" s="4"/>
      <c r="D250" s="4"/>
      <c r="E250" s="4"/>
      <c r="F250" s="4"/>
      <c r="G250" s="4"/>
      <c r="H250" s="4"/>
      <c r="I250" s="4"/>
      <c r="J250" s="4"/>
    </row>
    <row r="251" spans="1:10">
      <c r="A251" s="2"/>
      <c r="B251" s="4"/>
      <c r="C251" s="4"/>
      <c r="D251" s="4"/>
      <c r="E251" s="4"/>
      <c r="F251" s="4"/>
      <c r="G251" s="4"/>
      <c r="H251" s="4"/>
      <c r="I251" s="4"/>
      <c r="J251" s="4"/>
    </row>
    <row r="252" spans="1:10">
      <c r="A252" s="2"/>
      <c r="B252" s="4"/>
      <c r="C252" s="4"/>
      <c r="D252" s="4"/>
      <c r="E252" s="4"/>
      <c r="F252" s="4"/>
      <c r="G252" s="4"/>
      <c r="H252" s="4"/>
      <c r="I252" s="4"/>
      <c r="J252" s="4"/>
    </row>
    <row r="253" spans="1:10">
      <c r="A253" s="2"/>
      <c r="B253" s="4"/>
      <c r="C253" s="4"/>
      <c r="D253" s="4"/>
      <c r="E253" s="4"/>
      <c r="F253" s="4"/>
      <c r="G253" s="4"/>
      <c r="H253" s="4"/>
      <c r="I253" s="4"/>
      <c r="J253" s="4"/>
    </row>
    <row r="254" spans="1:10">
      <c r="A254" s="2"/>
      <c r="B254" s="4"/>
      <c r="C254" s="4"/>
      <c r="D254" s="4"/>
      <c r="E254" s="4"/>
      <c r="F254" s="4"/>
      <c r="G254" s="4"/>
      <c r="H254" s="4"/>
      <c r="I254" s="4"/>
      <c r="J254" s="4"/>
    </row>
    <row r="255" spans="1:10">
      <c r="A255" s="2"/>
      <c r="B255" s="4"/>
      <c r="C255" s="4"/>
      <c r="D255" s="4"/>
      <c r="E255" s="4"/>
      <c r="F255" s="4"/>
      <c r="G255" s="4"/>
      <c r="H255" s="4"/>
      <c r="I255" s="4"/>
      <c r="J255" s="4"/>
    </row>
    <row r="256" spans="1:10">
      <c r="A256" s="2"/>
      <c r="B256" s="4"/>
      <c r="C256" s="4"/>
      <c r="D256" s="4"/>
      <c r="E256" s="4"/>
      <c r="F256" s="4"/>
      <c r="G256" s="4"/>
      <c r="H256" s="4"/>
      <c r="I256" s="4"/>
      <c r="J256" s="4"/>
    </row>
    <row r="257" spans="1:10">
      <c r="A257" s="2"/>
      <c r="B257" s="4"/>
      <c r="C257" s="4"/>
      <c r="D257" s="4"/>
      <c r="E257" s="4"/>
      <c r="F257" s="4"/>
      <c r="G257" s="4"/>
      <c r="H257" s="4"/>
      <c r="I257" s="4"/>
      <c r="J257" s="4"/>
    </row>
    <row r="258" spans="1:10">
      <c r="A258" s="2"/>
      <c r="B258" s="4"/>
      <c r="C258" s="4"/>
      <c r="D258" s="4"/>
      <c r="E258" s="4"/>
      <c r="F258" s="4"/>
      <c r="G258" s="4"/>
      <c r="H258" s="4"/>
      <c r="I258" s="4"/>
      <c r="J258" s="4"/>
    </row>
    <row r="259" spans="1:10">
      <c r="A259" s="2"/>
      <c r="B259" s="4"/>
      <c r="C259" s="4"/>
      <c r="D259" s="4"/>
      <c r="E259" s="4"/>
      <c r="F259" s="4"/>
      <c r="G259" s="4"/>
      <c r="H259" s="4"/>
      <c r="I259" s="4"/>
      <c r="J259" s="4"/>
    </row>
    <row r="260" spans="1:10">
      <c r="A260" s="2"/>
      <c r="B260" s="4"/>
      <c r="C260" s="4"/>
      <c r="D260" s="4"/>
      <c r="E260" s="4"/>
      <c r="F260" s="4"/>
      <c r="G260" s="4"/>
      <c r="H260" s="4"/>
      <c r="I260" s="4"/>
      <c r="J260" s="4"/>
    </row>
    <row r="261" spans="1:10">
      <c r="A261" s="2"/>
      <c r="B261" s="4"/>
      <c r="C261" s="4"/>
      <c r="D261" s="4"/>
      <c r="E261" s="4"/>
      <c r="F261" s="4"/>
      <c r="G261" s="4"/>
      <c r="H261" s="4"/>
      <c r="I261" s="4"/>
      <c r="J261" s="4"/>
    </row>
    <row r="262" spans="1:10">
      <c r="A262" s="2"/>
      <c r="B262" s="4"/>
      <c r="C262" s="4"/>
      <c r="D262" s="4"/>
      <c r="E262" s="4"/>
      <c r="F262" s="4"/>
      <c r="G262" s="4"/>
      <c r="H262" s="4"/>
      <c r="I262" s="4"/>
      <c r="J262" s="4"/>
    </row>
    <row r="263" spans="1:10">
      <c r="A263" s="2"/>
      <c r="B263" s="4"/>
      <c r="C263" s="4"/>
      <c r="D263" s="4"/>
      <c r="E263" s="4"/>
      <c r="F263" s="4"/>
      <c r="G263" s="4"/>
      <c r="H263" s="4"/>
      <c r="I263" s="4"/>
      <c r="J263" s="4"/>
    </row>
    <row r="264" spans="1:10">
      <c r="A264" s="2"/>
      <c r="B264" s="4"/>
      <c r="C264" s="4"/>
      <c r="D264" s="4"/>
      <c r="E264" s="4"/>
      <c r="F264" s="4"/>
      <c r="G264" s="4"/>
      <c r="H264" s="4"/>
      <c r="I264" s="4"/>
      <c r="J264" s="4"/>
    </row>
    <row r="265" spans="1:10">
      <c r="A265" s="2"/>
      <c r="B265" s="4"/>
      <c r="C265" s="4"/>
      <c r="D265" s="4"/>
      <c r="E265" s="4"/>
      <c r="F265" s="4"/>
      <c r="G265" s="4"/>
      <c r="H265" s="4"/>
      <c r="I265" s="4"/>
      <c r="J265" s="4"/>
    </row>
    <row r="266" spans="1:10">
      <c r="A266" s="2"/>
      <c r="B266" s="4"/>
      <c r="C266" s="4"/>
      <c r="D266" s="4"/>
      <c r="E266" s="4"/>
      <c r="F266" s="4"/>
      <c r="G266" s="4"/>
      <c r="H266" s="4"/>
      <c r="I266" s="4"/>
      <c r="J266" s="4"/>
    </row>
    <row r="267" spans="1:10">
      <c r="A267" s="2"/>
      <c r="B267" s="4"/>
      <c r="C267" s="4"/>
      <c r="D267" s="4"/>
      <c r="E267" s="4"/>
      <c r="F267" s="4"/>
      <c r="G267" s="4"/>
      <c r="H267" s="4"/>
      <c r="I267" s="4"/>
      <c r="J267" s="4"/>
    </row>
    <row r="268" spans="1:10">
      <c r="A268" s="2"/>
      <c r="B268" s="4"/>
      <c r="C268" s="4"/>
      <c r="D268" s="4"/>
      <c r="E268" s="4"/>
      <c r="F268" s="4"/>
      <c r="G268" s="4"/>
      <c r="H268" s="4"/>
      <c r="I268" s="4"/>
      <c r="J268" s="4"/>
    </row>
    <row r="269" spans="1:10">
      <c r="A269" s="2"/>
      <c r="B269" s="4"/>
      <c r="C269" s="4"/>
      <c r="D269" s="4"/>
      <c r="E269" s="4"/>
      <c r="F269" s="4"/>
      <c r="G269" s="4"/>
      <c r="H269" s="4"/>
      <c r="I269" s="4"/>
      <c r="J269" s="4"/>
    </row>
    <row r="270" spans="1:10">
      <c r="A270" s="2"/>
      <c r="B270" s="4"/>
      <c r="C270" s="4"/>
      <c r="D270" s="4"/>
      <c r="E270" s="4"/>
      <c r="F270" s="4"/>
      <c r="G270" s="4"/>
      <c r="H270" s="4"/>
      <c r="I270" s="4"/>
      <c r="J270" s="4"/>
    </row>
    <row r="271" spans="1:10">
      <c r="A271" s="2"/>
      <c r="B271" s="4"/>
      <c r="C271" s="4"/>
      <c r="D271" s="4"/>
      <c r="E271" s="4"/>
      <c r="F271" s="4"/>
      <c r="G271" s="4"/>
      <c r="H271" s="4"/>
      <c r="I271" s="4"/>
      <c r="J271" s="4"/>
    </row>
    <row r="272" spans="1:10">
      <c r="A272" s="2"/>
      <c r="B272" s="4"/>
      <c r="C272" s="4"/>
      <c r="D272" s="4"/>
      <c r="E272" s="4"/>
      <c r="F272" s="4"/>
      <c r="G272" s="4"/>
      <c r="H272" s="4"/>
      <c r="I272" s="4"/>
      <c r="J272" s="4"/>
    </row>
    <row r="273" spans="1:10">
      <c r="A273" s="2"/>
      <c r="B273" s="4"/>
      <c r="C273" s="4"/>
      <c r="D273" s="4"/>
      <c r="E273" s="4"/>
      <c r="F273" s="4"/>
      <c r="G273" s="4"/>
      <c r="H273" s="4"/>
      <c r="I273" s="4"/>
      <c r="J273" s="4"/>
    </row>
    <row r="274" spans="1:10">
      <c r="A274" s="2"/>
      <c r="B274" s="4"/>
      <c r="C274" s="4"/>
      <c r="D274" s="4"/>
      <c r="E274" s="4"/>
      <c r="F274" s="4"/>
      <c r="G274" s="4"/>
      <c r="H274" s="4"/>
      <c r="I274" s="4"/>
      <c r="J274" s="4"/>
    </row>
    <row r="275" spans="1:10">
      <c r="A275" s="2"/>
      <c r="B275" s="4"/>
      <c r="C275" s="4"/>
      <c r="D275" s="4"/>
      <c r="E275" s="4"/>
      <c r="F275" s="4"/>
      <c r="G275" s="4"/>
      <c r="H275" s="4"/>
      <c r="I275" s="4"/>
      <c r="J275" s="4"/>
    </row>
    <row r="276" spans="1:10">
      <c r="A276" s="2"/>
      <c r="B276" s="4"/>
      <c r="C276" s="4"/>
      <c r="D276" s="4"/>
      <c r="E276" s="4"/>
      <c r="F276" s="4"/>
      <c r="G276" s="4"/>
      <c r="H276" s="4"/>
      <c r="I276" s="4"/>
      <c r="J276" s="4"/>
    </row>
    <row r="277" spans="1:10">
      <c r="A277" s="2"/>
      <c r="B277" s="4"/>
      <c r="C277" s="4"/>
      <c r="D277" s="4"/>
      <c r="E277" s="4"/>
      <c r="F277" s="4"/>
      <c r="G277" s="4"/>
      <c r="H277" s="4"/>
      <c r="I277" s="4"/>
      <c r="J277" s="4"/>
    </row>
    <row r="278" spans="1:10">
      <c r="A278" s="2"/>
      <c r="B278" s="4"/>
      <c r="C278" s="4"/>
      <c r="D278" s="4"/>
      <c r="E278" s="4"/>
      <c r="F278" s="4"/>
      <c r="G278" s="4"/>
      <c r="H278" s="4"/>
      <c r="I278" s="4"/>
      <c r="J278" s="4"/>
    </row>
    <row r="279" spans="1:10">
      <c r="A279" s="2"/>
      <c r="B279" s="4"/>
      <c r="C279" s="4"/>
      <c r="D279" s="4"/>
      <c r="E279" s="4"/>
      <c r="F279" s="4"/>
      <c r="G279" s="4"/>
      <c r="H279" s="4"/>
      <c r="I279" s="4"/>
      <c r="J279" s="4"/>
    </row>
    <row r="280" spans="1:10">
      <c r="A280" s="2"/>
      <c r="B280" s="4"/>
      <c r="C280" s="4"/>
      <c r="D280" s="4"/>
      <c r="E280" s="4"/>
      <c r="F280" s="4"/>
      <c r="G280" s="4"/>
      <c r="H280" s="4"/>
      <c r="I280" s="4"/>
      <c r="J280" s="4"/>
    </row>
    <row r="281" spans="1:10">
      <c r="A281" s="2"/>
      <c r="B281" s="4"/>
      <c r="C281" s="4"/>
      <c r="D281" s="4"/>
      <c r="E281" s="4"/>
      <c r="F281" s="4"/>
      <c r="G281" s="4"/>
      <c r="H281" s="4"/>
      <c r="I281" s="4"/>
      <c r="J281" s="4"/>
    </row>
    <row r="282" spans="1:10">
      <c r="A282" s="2"/>
      <c r="B282" s="4"/>
      <c r="C282" s="4"/>
      <c r="D282" s="4"/>
      <c r="E282" s="4"/>
      <c r="F282" s="4"/>
      <c r="G282" s="4"/>
      <c r="H282" s="4"/>
      <c r="I282" s="4"/>
      <c r="J282" s="4"/>
    </row>
    <row r="283" spans="1:10">
      <c r="A283" s="2"/>
      <c r="B283" s="4"/>
      <c r="C283" s="4"/>
      <c r="D283" s="4"/>
      <c r="E283" s="4"/>
      <c r="F283" s="4"/>
      <c r="G283" s="4"/>
      <c r="H283" s="4"/>
      <c r="I283" s="4"/>
      <c r="J283" s="4"/>
    </row>
    <row r="284" spans="1:10">
      <c r="A284" s="2"/>
      <c r="B284" s="4"/>
      <c r="C284" s="4"/>
      <c r="D284" s="4"/>
      <c r="E284" s="4"/>
      <c r="F284" s="4"/>
      <c r="G284" s="4"/>
      <c r="H284" s="4"/>
      <c r="I284" s="4"/>
      <c r="J284" s="4"/>
    </row>
    <row r="285" spans="1:10">
      <c r="A285" s="2"/>
      <c r="B285" s="4"/>
      <c r="C285" s="4"/>
      <c r="D285" s="4"/>
      <c r="E285" s="4"/>
      <c r="F285" s="4"/>
      <c r="G285" s="4"/>
      <c r="H285" s="4"/>
      <c r="I285" s="4"/>
      <c r="J285" s="4"/>
    </row>
    <row r="286" spans="1:10">
      <c r="A286" s="2"/>
      <c r="B286" s="4"/>
      <c r="C286" s="4"/>
      <c r="D286" s="4"/>
      <c r="E286" s="4"/>
      <c r="F286" s="4"/>
      <c r="G286" s="4"/>
      <c r="H286" s="4"/>
      <c r="I286" s="4"/>
      <c r="J286" s="4"/>
    </row>
    <row r="287" spans="1:10">
      <c r="A287" s="2"/>
      <c r="B287" s="4"/>
      <c r="C287" s="4"/>
      <c r="D287" s="4"/>
      <c r="E287" s="4"/>
      <c r="F287" s="4"/>
      <c r="G287" s="4"/>
      <c r="H287" s="4"/>
      <c r="I287" s="4"/>
      <c r="J287" s="4"/>
    </row>
    <row r="288" spans="1:10">
      <c r="A288" s="2"/>
      <c r="B288" s="4"/>
      <c r="C288" s="4"/>
      <c r="D288" s="4"/>
      <c r="E288" s="4"/>
      <c r="F288" s="4"/>
      <c r="G288" s="4"/>
      <c r="H288" s="4"/>
      <c r="I288" s="4"/>
      <c r="J288" s="4"/>
    </row>
    <row r="289" spans="1:10">
      <c r="A289" s="2"/>
      <c r="B289" s="4"/>
      <c r="C289" s="4"/>
      <c r="D289" s="4"/>
      <c r="E289" s="4"/>
      <c r="F289" s="4"/>
      <c r="G289" s="4"/>
      <c r="H289" s="4"/>
      <c r="I289" s="4"/>
      <c r="J289" s="4"/>
    </row>
    <row r="290" spans="1:10">
      <c r="A290" s="2"/>
      <c r="B290" s="4"/>
      <c r="C290" s="4"/>
      <c r="D290" s="4"/>
      <c r="E290" s="4"/>
      <c r="F290" s="4"/>
      <c r="G290" s="4"/>
      <c r="H290" s="4"/>
      <c r="I290" s="4"/>
      <c r="J290" s="4"/>
    </row>
    <row r="291" spans="1:10">
      <c r="A291" s="2"/>
      <c r="B291" s="4"/>
      <c r="C291" s="4"/>
      <c r="D291" s="4"/>
      <c r="E291" s="4"/>
      <c r="F291" s="4"/>
      <c r="G291" s="4"/>
      <c r="H291" s="4"/>
      <c r="I291" s="4"/>
      <c r="J291" s="4"/>
    </row>
    <row r="292" spans="1:10">
      <c r="A292" s="2"/>
      <c r="B292" s="4"/>
      <c r="C292" s="4"/>
      <c r="D292" s="4"/>
      <c r="E292" s="4"/>
      <c r="F292" s="4"/>
      <c r="G292" s="4"/>
      <c r="H292" s="4"/>
      <c r="I292" s="4"/>
      <c r="J292" s="4"/>
    </row>
    <row r="293" spans="1:10">
      <c r="A293" s="2"/>
      <c r="B293" s="4"/>
      <c r="C293" s="4"/>
      <c r="D293" s="4"/>
      <c r="E293" s="4"/>
      <c r="F293" s="4"/>
      <c r="G293" s="4"/>
      <c r="H293" s="4"/>
      <c r="I293" s="4"/>
      <c r="J293" s="4"/>
    </row>
    <row r="294" spans="1:10">
      <c r="A294" s="2"/>
      <c r="B294" s="4"/>
      <c r="C294" s="4"/>
      <c r="D294" s="4"/>
      <c r="E294" s="4"/>
      <c r="F294" s="4"/>
      <c r="G294" s="4"/>
      <c r="H294" s="4"/>
      <c r="I294" s="4"/>
      <c r="J294" s="4"/>
    </row>
    <row r="295" spans="1:10">
      <c r="A295" s="2"/>
      <c r="B295" s="4"/>
      <c r="C295" s="4"/>
      <c r="D295" s="4"/>
      <c r="E295" s="4"/>
      <c r="F295" s="4"/>
      <c r="G295" s="4"/>
      <c r="H295" s="4"/>
      <c r="I295" s="4"/>
      <c r="J295" s="4"/>
    </row>
    <row r="296" spans="1:10">
      <c r="A296" s="2"/>
      <c r="B296" s="4"/>
      <c r="C296" s="4"/>
      <c r="D296" s="4"/>
      <c r="E296" s="4"/>
      <c r="F296" s="4"/>
      <c r="G296" s="4"/>
      <c r="H296" s="4"/>
      <c r="I296" s="4"/>
      <c r="J296" s="4"/>
    </row>
    <row r="297" spans="1:10">
      <c r="A297" s="2"/>
      <c r="B297" s="4"/>
      <c r="C297" s="4"/>
      <c r="D297" s="4"/>
      <c r="E297" s="4"/>
      <c r="F297" s="4"/>
      <c r="G297" s="4"/>
      <c r="H297" s="4"/>
      <c r="I297" s="4"/>
      <c r="J297" s="4"/>
    </row>
    <row r="298" spans="1:10">
      <c r="A298" s="2"/>
      <c r="B298" s="4"/>
      <c r="C298" s="4"/>
      <c r="D298" s="4"/>
      <c r="E298" s="4"/>
      <c r="F298" s="4"/>
      <c r="G298" s="4"/>
      <c r="H298" s="4"/>
      <c r="I298" s="4"/>
      <c r="J298" s="4"/>
    </row>
    <row r="299" spans="1:10">
      <c r="A299" s="2"/>
      <c r="B299" s="4"/>
      <c r="C299" s="4"/>
      <c r="D299" s="4"/>
      <c r="E299" s="4"/>
      <c r="F299" s="4"/>
      <c r="G299" s="4"/>
      <c r="H299" s="4"/>
      <c r="I299" s="4"/>
      <c r="J299" s="4"/>
    </row>
    <row r="300" spans="1:10">
      <c r="A300" s="2"/>
      <c r="B300" s="4"/>
      <c r="C300" s="4"/>
      <c r="D300" s="4"/>
      <c r="E300" s="4"/>
      <c r="F300" s="4"/>
      <c r="G300" s="4"/>
      <c r="H300" s="4"/>
      <c r="I300" s="4"/>
      <c r="J300" s="4"/>
    </row>
    <row r="301" spans="1:10">
      <c r="A301" s="2"/>
      <c r="B301" s="4"/>
      <c r="C301" s="4"/>
      <c r="D301" s="4"/>
      <c r="E301" s="4"/>
      <c r="F301" s="4"/>
      <c r="G301" s="4"/>
      <c r="H301" s="4"/>
      <c r="I301" s="4"/>
      <c r="J301" s="4"/>
    </row>
    <row r="302" spans="1:10">
      <c r="A302" s="2"/>
      <c r="B302" s="4"/>
      <c r="C302" s="4"/>
      <c r="D302" s="4"/>
      <c r="E302" s="4"/>
      <c r="F302" s="4"/>
      <c r="G302" s="4"/>
      <c r="H302" s="4"/>
      <c r="I302" s="4"/>
      <c r="J302" s="4"/>
    </row>
    <row r="303" spans="1:10">
      <c r="A303" s="2"/>
      <c r="B303" s="4"/>
      <c r="C303" s="4"/>
      <c r="D303" s="4"/>
      <c r="E303" s="4"/>
      <c r="F303" s="4"/>
      <c r="G303" s="4"/>
      <c r="H303" s="4"/>
      <c r="I303" s="4"/>
      <c r="J303" s="4"/>
    </row>
    <row r="304" spans="1:10">
      <c r="A304" s="2"/>
      <c r="B304" s="4"/>
      <c r="C304" s="4"/>
      <c r="D304" s="4"/>
      <c r="E304" s="4"/>
      <c r="F304" s="4"/>
      <c r="G304" s="4"/>
      <c r="H304" s="4"/>
      <c r="I304" s="4"/>
      <c r="J304" s="4"/>
    </row>
    <row r="305" spans="1:10">
      <c r="A305" s="2"/>
      <c r="B305" s="4"/>
      <c r="C305" s="4"/>
      <c r="D305" s="4"/>
      <c r="E305" s="4"/>
      <c r="F305" s="4"/>
      <c r="G305" s="4"/>
      <c r="H305" s="4"/>
      <c r="I305" s="4"/>
      <c r="J305" s="4"/>
    </row>
    <row r="306" spans="1:10">
      <c r="A306" s="2"/>
      <c r="B306" s="4"/>
      <c r="C306" s="4"/>
      <c r="D306" s="4"/>
      <c r="E306" s="4"/>
      <c r="F306" s="4"/>
      <c r="G306" s="4"/>
      <c r="H306" s="4"/>
      <c r="I306" s="4"/>
      <c r="J306" s="4"/>
    </row>
    <row r="307" spans="1:10">
      <c r="A307" s="2"/>
      <c r="B307" s="4"/>
      <c r="C307" s="4"/>
      <c r="D307" s="4"/>
      <c r="E307" s="4"/>
      <c r="F307" s="4"/>
      <c r="G307" s="4"/>
      <c r="H307" s="4"/>
      <c r="I307" s="4"/>
      <c r="J307" s="4"/>
    </row>
    <row r="308" spans="1:10">
      <c r="A308" s="2"/>
      <c r="B308" s="4"/>
      <c r="C308" s="4"/>
      <c r="D308" s="4"/>
      <c r="E308" s="4"/>
      <c r="F308" s="4"/>
      <c r="G308" s="4"/>
      <c r="H308" s="4"/>
      <c r="I308" s="4"/>
      <c r="J308" s="4"/>
    </row>
    <row r="309" spans="1:10">
      <c r="A309" s="2"/>
      <c r="B309" s="4"/>
      <c r="C309" s="4"/>
      <c r="D309" s="4"/>
      <c r="E309" s="4"/>
      <c r="F309" s="4"/>
      <c r="G309" s="4"/>
      <c r="H309" s="4"/>
      <c r="I309" s="4"/>
      <c r="J309" s="4"/>
    </row>
    <row r="310" spans="1:10">
      <c r="A310" s="2"/>
      <c r="B310" s="4"/>
      <c r="C310" s="4"/>
      <c r="D310" s="4"/>
      <c r="E310" s="4"/>
      <c r="F310" s="4"/>
      <c r="G310" s="4"/>
      <c r="H310" s="4"/>
      <c r="I310" s="4"/>
      <c r="J310" s="4"/>
    </row>
    <row r="311" spans="1:10">
      <c r="A311" s="2"/>
      <c r="B311" s="4"/>
      <c r="C311" s="4"/>
      <c r="D311" s="4"/>
      <c r="E311" s="4"/>
      <c r="F311" s="4"/>
      <c r="G311" s="4"/>
      <c r="H311" s="4"/>
      <c r="I311" s="4"/>
      <c r="J311" s="4"/>
    </row>
    <row r="312" spans="1:10">
      <c r="A312" s="2"/>
      <c r="B312" s="4"/>
      <c r="C312" s="4"/>
      <c r="D312" s="4"/>
      <c r="E312" s="4"/>
      <c r="F312" s="4"/>
      <c r="G312" s="4"/>
      <c r="H312" s="4"/>
      <c r="I312" s="4"/>
      <c r="J312" s="4"/>
    </row>
    <row r="313" spans="1:10">
      <c r="A313" s="2"/>
      <c r="B313" s="4"/>
      <c r="C313" s="4"/>
      <c r="D313" s="4"/>
      <c r="E313" s="4"/>
      <c r="F313" s="4"/>
      <c r="G313" s="4"/>
      <c r="H313" s="4"/>
      <c r="I313" s="4"/>
      <c r="J313" s="4"/>
    </row>
    <row r="314" spans="1:10">
      <c r="A314" s="2"/>
      <c r="B314" s="4"/>
      <c r="C314" s="4"/>
      <c r="D314" s="4"/>
      <c r="E314" s="4"/>
      <c r="F314" s="4"/>
      <c r="G314" s="4"/>
      <c r="H314" s="4"/>
      <c r="I314" s="4"/>
      <c r="J314" s="4"/>
    </row>
    <row r="315" spans="1:10">
      <c r="A315" s="2"/>
      <c r="B315" s="4"/>
      <c r="C315" s="4"/>
      <c r="D315" s="4"/>
      <c r="E315" s="4"/>
      <c r="F315" s="4"/>
      <c r="G315" s="4"/>
      <c r="H315" s="4"/>
      <c r="I315" s="4"/>
      <c r="J315" s="4"/>
    </row>
    <row r="316" spans="1:10">
      <c r="A316" s="2"/>
      <c r="B316" s="4"/>
      <c r="C316" s="4"/>
      <c r="D316" s="4"/>
      <c r="E316" s="4"/>
      <c r="F316" s="4"/>
      <c r="G316" s="4"/>
      <c r="H316" s="4"/>
      <c r="I316" s="4"/>
      <c r="J316" s="4"/>
    </row>
    <row r="317" spans="1:10">
      <c r="A317" s="2"/>
      <c r="B317" s="4"/>
      <c r="C317" s="4"/>
      <c r="D317" s="4"/>
      <c r="E317" s="4"/>
      <c r="F317" s="4"/>
      <c r="G317" s="4"/>
      <c r="H317" s="4"/>
      <c r="I317" s="4"/>
      <c r="J317" s="4"/>
    </row>
    <row r="318" spans="1:10">
      <c r="A318" s="2"/>
      <c r="B318" s="4"/>
      <c r="C318" s="4"/>
      <c r="D318" s="4"/>
      <c r="E318" s="4"/>
      <c r="F318" s="4"/>
      <c r="G318" s="4"/>
      <c r="H318" s="4"/>
      <c r="I318" s="4"/>
      <c r="J318" s="4"/>
    </row>
    <row r="319" spans="1:10">
      <c r="A319" s="2"/>
      <c r="B319" s="4"/>
      <c r="C319" s="4"/>
      <c r="D319" s="4"/>
      <c r="E319" s="4"/>
      <c r="F319" s="4"/>
      <c r="G319" s="4"/>
      <c r="H319" s="4"/>
      <c r="I319" s="4"/>
      <c r="J319" s="4"/>
    </row>
    <row r="320" spans="1:10">
      <c r="A320" s="2"/>
      <c r="B320" s="4"/>
      <c r="C320" s="4"/>
      <c r="D320" s="4"/>
      <c r="E320" s="4"/>
      <c r="F320" s="4"/>
      <c r="G320" s="4"/>
      <c r="H320" s="4"/>
      <c r="I320" s="4"/>
      <c r="J320" s="4"/>
    </row>
    <row r="321" spans="1:10">
      <c r="A321" s="2"/>
      <c r="B321" s="4"/>
      <c r="C321" s="4"/>
      <c r="D321" s="4"/>
      <c r="E321" s="4"/>
      <c r="F321" s="4"/>
      <c r="G321" s="4"/>
      <c r="H321" s="4"/>
      <c r="I321" s="4"/>
      <c r="J321" s="4"/>
    </row>
    <row r="322" spans="1:10">
      <c r="A322" s="2"/>
      <c r="B322" s="4"/>
      <c r="C322" s="4"/>
      <c r="D322" s="4"/>
      <c r="E322" s="4"/>
      <c r="F322" s="4"/>
      <c r="G322" s="4"/>
      <c r="H322" s="4"/>
      <c r="I322" s="4"/>
      <c r="J322" s="4"/>
    </row>
    <row r="323" spans="1:10">
      <c r="A323" s="2"/>
      <c r="B323" s="4"/>
      <c r="C323" s="4"/>
      <c r="D323" s="4"/>
      <c r="E323" s="4"/>
      <c r="F323" s="4"/>
      <c r="G323" s="4"/>
      <c r="H323" s="4"/>
      <c r="I323" s="4"/>
      <c r="J323" s="4"/>
    </row>
    <row r="324" spans="1:10">
      <c r="A324" s="2"/>
      <c r="B324" s="4"/>
      <c r="C324" s="4"/>
      <c r="D324" s="4"/>
      <c r="E324" s="4"/>
      <c r="F324" s="4"/>
      <c r="G324" s="4"/>
      <c r="H324" s="4"/>
      <c r="I324" s="4"/>
      <c r="J324" s="4"/>
    </row>
    <row r="325" spans="1:10">
      <c r="A325" s="2"/>
      <c r="B325" s="4"/>
      <c r="C325" s="4"/>
      <c r="D325" s="4"/>
      <c r="E325" s="4"/>
      <c r="F325" s="4"/>
      <c r="G325" s="4"/>
      <c r="H325" s="4"/>
      <c r="I325" s="4"/>
      <c r="J325" s="4"/>
    </row>
    <row r="326" spans="1:10">
      <c r="A326" s="2"/>
      <c r="B326" s="4"/>
      <c r="C326" s="4"/>
      <c r="D326" s="4"/>
      <c r="E326" s="4"/>
      <c r="F326" s="4"/>
      <c r="G326" s="4"/>
      <c r="H326" s="4"/>
      <c r="I326" s="4"/>
      <c r="J326" s="4"/>
    </row>
    <row r="327" spans="1:10">
      <c r="A327" s="2"/>
      <c r="B327" s="4"/>
      <c r="C327" s="4"/>
      <c r="D327" s="4"/>
      <c r="E327" s="4"/>
      <c r="F327" s="4"/>
      <c r="G327" s="4"/>
      <c r="H327" s="4"/>
      <c r="I327" s="4"/>
      <c r="J327" s="4"/>
    </row>
    <row r="328" spans="1:10">
      <c r="A328" s="2"/>
      <c r="B328" s="4"/>
      <c r="C328" s="4"/>
      <c r="D328" s="4"/>
      <c r="E328" s="4"/>
      <c r="F328" s="4"/>
      <c r="G328" s="4"/>
      <c r="H328" s="4"/>
      <c r="I328" s="4"/>
      <c r="J328" s="4"/>
    </row>
    <row r="329" spans="1:10">
      <c r="A329" s="2"/>
      <c r="B329" s="4"/>
      <c r="C329" s="4"/>
      <c r="D329" s="4"/>
      <c r="E329" s="4"/>
      <c r="F329" s="4"/>
      <c r="G329" s="4"/>
      <c r="H329" s="4"/>
      <c r="I329" s="4"/>
      <c r="J329" s="4"/>
    </row>
    <row r="330" spans="1:10">
      <c r="A330" s="2"/>
      <c r="B330" s="4"/>
      <c r="C330" s="4"/>
      <c r="D330" s="4"/>
      <c r="E330" s="4"/>
      <c r="F330" s="4"/>
      <c r="G330" s="4"/>
      <c r="H330" s="4"/>
      <c r="I330" s="4"/>
      <c r="J330" s="4"/>
    </row>
    <row r="331" spans="1:10">
      <c r="A331" s="2"/>
      <c r="B331" s="4"/>
      <c r="C331" s="4"/>
      <c r="D331" s="4"/>
      <c r="E331" s="4"/>
      <c r="F331" s="4"/>
      <c r="G331" s="4"/>
      <c r="H331" s="4"/>
      <c r="I331" s="4"/>
      <c r="J331" s="4"/>
    </row>
    <row r="332" spans="1:10">
      <c r="A332" s="2"/>
      <c r="B332" s="4"/>
      <c r="C332" s="4"/>
      <c r="D332" s="4"/>
      <c r="E332" s="4"/>
      <c r="F332" s="4"/>
      <c r="G332" s="4"/>
      <c r="H332" s="4"/>
      <c r="I332" s="4"/>
      <c r="J332" s="4"/>
    </row>
    <row r="333" spans="1:10">
      <c r="A333" s="2"/>
      <c r="B333" s="4"/>
      <c r="C333" s="4"/>
      <c r="D333" s="4"/>
      <c r="E333" s="4"/>
      <c r="F333" s="4"/>
      <c r="G333" s="4"/>
      <c r="H333" s="4"/>
      <c r="I333" s="4"/>
      <c r="J333" s="4"/>
    </row>
    <row r="334" spans="1:10">
      <c r="A334" s="2"/>
      <c r="B334" s="4"/>
      <c r="C334" s="4"/>
      <c r="D334" s="4"/>
      <c r="E334" s="4"/>
      <c r="F334" s="4"/>
      <c r="G334" s="4"/>
      <c r="H334" s="4"/>
      <c r="I334" s="4"/>
      <c r="J334" s="4"/>
    </row>
    <row r="335" spans="1:10">
      <c r="A335" s="2"/>
      <c r="B335" s="4"/>
      <c r="C335" s="4"/>
      <c r="D335" s="4"/>
      <c r="E335" s="4"/>
      <c r="F335" s="4"/>
      <c r="G335" s="4"/>
      <c r="H335" s="4"/>
      <c r="I335" s="4"/>
      <c r="J335" s="4"/>
    </row>
    <row r="336" spans="1:10">
      <c r="A336" s="2"/>
      <c r="B336" s="4"/>
      <c r="C336" s="4"/>
      <c r="D336" s="4"/>
      <c r="E336" s="4"/>
      <c r="F336" s="4"/>
      <c r="G336" s="4"/>
      <c r="H336" s="4"/>
      <c r="I336" s="4"/>
      <c r="J336" s="4"/>
    </row>
    <row r="337" spans="1:10">
      <c r="A337" s="2"/>
      <c r="B337" s="4"/>
      <c r="C337" s="4"/>
      <c r="D337" s="4"/>
      <c r="E337" s="4"/>
      <c r="F337" s="4"/>
      <c r="G337" s="4"/>
      <c r="H337" s="4"/>
      <c r="I337" s="4"/>
      <c r="J337" s="4"/>
    </row>
    <row r="338" spans="1:10">
      <c r="A338" s="2"/>
      <c r="B338" s="4"/>
      <c r="C338" s="4"/>
      <c r="D338" s="4"/>
      <c r="E338" s="4"/>
      <c r="F338" s="4"/>
      <c r="G338" s="4"/>
      <c r="H338" s="4"/>
      <c r="I338" s="4"/>
      <c r="J338" s="4"/>
    </row>
    <row r="339" spans="1:10">
      <c r="A339" s="2"/>
      <c r="B339" s="4"/>
      <c r="C339" s="4"/>
      <c r="D339" s="4"/>
      <c r="E339" s="4"/>
      <c r="F339" s="4"/>
      <c r="G339" s="4"/>
      <c r="H339" s="4"/>
      <c r="I339" s="4"/>
      <c r="J339" s="4"/>
    </row>
    <row r="340" spans="1:10">
      <c r="A340" s="2"/>
      <c r="B340" s="4"/>
      <c r="C340" s="4"/>
      <c r="D340" s="4"/>
      <c r="E340" s="4"/>
      <c r="F340" s="4"/>
      <c r="G340" s="4"/>
      <c r="H340" s="4"/>
      <c r="I340" s="4"/>
      <c r="J340" s="4"/>
    </row>
    <row r="341" spans="1:10">
      <c r="A341" s="2"/>
      <c r="B341" s="4"/>
      <c r="C341" s="4"/>
      <c r="D341" s="4"/>
      <c r="E341" s="4"/>
      <c r="F341" s="4"/>
      <c r="G341" s="4"/>
      <c r="H341" s="4"/>
      <c r="I341" s="4"/>
      <c r="J341" s="4"/>
    </row>
    <row r="342" spans="1:10">
      <c r="A342" s="2"/>
      <c r="B342" s="4"/>
      <c r="C342" s="4"/>
      <c r="D342" s="4"/>
      <c r="E342" s="4"/>
      <c r="F342" s="4"/>
      <c r="G342" s="4"/>
      <c r="H342" s="4"/>
      <c r="I342" s="4"/>
      <c r="J342" s="4"/>
    </row>
    <row r="343" spans="1:10">
      <c r="A343" s="2"/>
      <c r="B343" s="4"/>
      <c r="C343" s="4"/>
      <c r="D343" s="4"/>
      <c r="E343" s="4"/>
      <c r="F343" s="4"/>
      <c r="G343" s="4"/>
      <c r="H343" s="4"/>
      <c r="I343" s="4"/>
      <c r="J343" s="4"/>
    </row>
    <row r="344" spans="1:10">
      <c r="A344" s="2"/>
      <c r="B344" s="4"/>
      <c r="C344" s="4"/>
      <c r="D344" s="4"/>
      <c r="E344" s="4"/>
      <c r="F344" s="4"/>
      <c r="G344" s="4"/>
      <c r="H344" s="4"/>
      <c r="I344" s="4"/>
      <c r="J344" s="4"/>
    </row>
    <row r="345" spans="1:10">
      <c r="A345" s="2"/>
      <c r="B345" s="4"/>
      <c r="C345" s="4"/>
      <c r="D345" s="4"/>
      <c r="E345" s="4"/>
      <c r="F345" s="4"/>
      <c r="G345" s="4"/>
      <c r="H345" s="4"/>
      <c r="I345" s="4"/>
      <c r="J345" s="4"/>
    </row>
    <row r="346" spans="1:10">
      <c r="A346" s="2"/>
      <c r="B346" s="4"/>
      <c r="C346" s="4"/>
      <c r="D346" s="4"/>
      <c r="E346" s="4"/>
      <c r="F346" s="4"/>
      <c r="G346" s="4"/>
      <c r="H346" s="4"/>
      <c r="I346" s="4"/>
      <c r="J346" s="4"/>
    </row>
    <row r="347" spans="1:10">
      <c r="A347" s="2"/>
      <c r="B347" s="4"/>
      <c r="C347" s="4"/>
      <c r="D347" s="4"/>
      <c r="E347" s="4"/>
      <c r="F347" s="4"/>
      <c r="G347" s="4"/>
      <c r="H347" s="4"/>
      <c r="I347" s="4"/>
      <c r="J347" s="4"/>
    </row>
    <row r="348" spans="1:10">
      <c r="A348" s="2"/>
      <c r="B348" s="4"/>
      <c r="C348" s="4"/>
      <c r="D348" s="4"/>
      <c r="E348" s="4"/>
      <c r="F348" s="4"/>
      <c r="G348" s="4"/>
      <c r="H348" s="4"/>
      <c r="I348" s="4"/>
      <c r="J348" s="4"/>
    </row>
    <row r="349" spans="1:10">
      <c r="A349" s="2"/>
      <c r="B349" s="4"/>
      <c r="C349" s="4"/>
      <c r="D349" s="4"/>
      <c r="E349" s="4"/>
      <c r="F349" s="4"/>
      <c r="G349" s="4"/>
      <c r="H349" s="4"/>
      <c r="I349" s="4"/>
      <c r="J349" s="4"/>
    </row>
    <row r="350" spans="1:10">
      <c r="A350" s="2"/>
      <c r="B350" s="4"/>
      <c r="C350" s="4"/>
      <c r="D350" s="4"/>
      <c r="E350" s="4"/>
      <c r="F350" s="4"/>
      <c r="G350" s="4"/>
      <c r="H350" s="4"/>
      <c r="I350" s="4"/>
      <c r="J350" s="4"/>
    </row>
  </sheetData>
  <mergeCells count="4">
    <mergeCell ref="E6:J6"/>
    <mergeCell ref="B7:J7"/>
    <mergeCell ref="A62:J62"/>
    <mergeCell ref="A64:J64"/>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6148"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6149"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6150"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enableFormatConditionsCalculation="0"/>
  <dimension ref="A1:N114"/>
  <sheetViews>
    <sheetView workbookViewId="0"/>
  </sheetViews>
  <sheetFormatPr baseColWidth="10" defaultColWidth="8.83203125" defaultRowHeight="12" x14ac:dyDescent="0"/>
  <cols>
    <col min="1" max="1" width="12.1640625" customWidth="1"/>
    <col min="4" max="4" width="12.33203125" customWidth="1"/>
    <col min="5" max="5" width="11.5" customWidth="1"/>
    <col min="6" max="6" width="13.5" customWidth="1"/>
    <col min="7" max="7" width="20" customWidth="1"/>
    <col min="8" max="9" width="12.5" bestFit="1" customWidth="1"/>
    <col min="10" max="10" width="11.1640625" bestFit="1" customWidth="1"/>
    <col min="11" max="11" width="13.33203125" bestFit="1" customWidth="1"/>
    <col min="12" max="12" width="11.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39" t="s">
        <v>1045</v>
      </c>
      <c r="B3" s="62" t="s">
        <v>442</v>
      </c>
      <c r="C3" s="21"/>
      <c r="D3" s="21"/>
      <c r="E3" s="21"/>
      <c r="F3" s="21"/>
      <c r="G3" s="266"/>
      <c r="H3" s="21"/>
      <c r="I3" s="21"/>
      <c r="J3" s="21"/>
      <c r="K3" s="21"/>
    </row>
    <row r="4" spans="1:14">
      <c r="A4" s="39" t="s">
        <v>774</v>
      </c>
      <c r="B4" s="62" t="s">
        <v>815</v>
      </c>
      <c r="C4" s="21"/>
      <c r="D4" s="21"/>
      <c r="E4" s="21"/>
      <c r="F4" s="21"/>
      <c r="G4" s="21"/>
      <c r="H4" s="21"/>
      <c r="I4" s="21"/>
      <c r="J4" s="21"/>
      <c r="K4" s="21"/>
    </row>
    <row r="5" spans="1:14">
      <c r="A5" s="299" t="s">
        <v>635</v>
      </c>
      <c r="B5" s="332" t="s">
        <v>750</v>
      </c>
      <c r="C5" s="21"/>
      <c r="D5" s="21"/>
      <c r="E5" s="21"/>
      <c r="F5" s="21"/>
      <c r="G5" s="21"/>
      <c r="H5" s="21"/>
      <c r="I5" s="21"/>
      <c r="J5" s="21"/>
      <c r="K5" s="21"/>
    </row>
    <row r="6" spans="1:14" ht="53.25" customHeight="1">
      <c r="A6" s="22" t="s">
        <v>1090</v>
      </c>
      <c r="B6" s="22" t="s">
        <v>1096</v>
      </c>
      <c r="C6" s="31" t="s">
        <v>1097</v>
      </c>
      <c r="D6" s="22" t="s">
        <v>1098</v>
      </c>
      <c r="E6" s="31" t="s">
        <v>249</v>
      </c>
      <c r="F6" s="31" t="s">
        <v>955</v>
      </c>
      <c r="G6" s="31" t="s">
        <v>956</v>
      </c>
      <c r="H6" s="31" t="s">
        <v>957</v>
      </c>
      <c r="I6" s="31" t="s">
        <v>958</v>
      </c>
      <c r="J6" s="31" t="s">
        <v>959</v>
      </c>
      <c r="K6" s="31" t="s">
        <v>960</v>
      </c>
    </row>
    <row r="7" spans="1:14">
      <c r="A7" s="26">
        <v>36080</v>
      </c>
      <c r="B7" s="52">
        <v>15.125</v>
      </c>
      <c r="C7" s="52">
        <v>14.936</v>
      </c>
      <c r="D7" s="52">
        <v>14.936</v>
      </c>
      <c r="E7" s="52">
        <f t="shared" ref="E7:E31" si="0">(B7+C7+D7)/3</f>
        <v>14.999000000000001</v>
      </c>
      <c r="F7" s="28"/>
      <c r="G7" s="28"/>
      <c r="H7" s="54"/>
      <c r="I7" s="54"/>
      <c r="J7" s="54"/>
      <c r="K7" s="54"/>
      <c r="L7" s="2"/>
      <c r="M7" s="298"/>
    </row>
    <row r="8" spans="1:14">
      <c r="A8" s="26">
        <v>36081</v>
      </c>
      <c r="B8" s="52">
        <v>15.052</v>
      </c>
      <c r="C8" s="52">
        <v>14.6267</v>
      </c>
      <c r="D8" s="52">
        <v>14.752000000000001</v>
      </c>
      <c r="E8" s="52">
        <f t="shared" si="0"/>
        <v>14.810233333333334</v>
      </c>
      <c r="F8" s="52"/>
      <c r="G8" s="28"/>
      <c r="H8" s="54"/>
      <c r="I8" s="54"/>
      <c r="J8" s="54"/>
      <c r="K8" s="54"/>
      <c r="L8" s="2"/>
      <c r="M8" s="298"/>
    </row>
    <row r="9" spans="1:14">
      <c r="A9" s="27">
        <v>36082</v>
      </c>
      <c r="B9" s="55">
        <v>14.817299999999999</v>
      </c>
      <c r="C9" s="55">
        <v>14.5557</v>
      </c>
      <c r="D9" s="55">
        <v>14.585699999999999</v>
      </c>
      <c r="E9" s="55">
        <f t="shared" si="0"/>
        <v>14.652899999999997</v>
      </c>
      <c r="F9" s="55"/>
      <c r="G9" s="29"/>
      <c r="H9" s="57"/>
      <c r="I9" s="57"/>
      <c r="J9" s="57"/>
      <c r="K9" s="57"/>
      <c r="L9" s="2"/>
      <c r="M9" s="298"/>
    </row>
    <row r="10" spans="1:14">
      <c r="A10" s="27">
        <v>36083</v>
      </c>
      <c r="B10" s="55">
        <v>14.69</v>
      </c>
      <c r="C10" s="55">
        <v>14.46</v>
      </c>
      <c r="D10" s="55">
        <v>14.6</v>
      </c>
      <c r="E10" s="55">
        <f t="shared" si="0"/>
        <v>14.583333333333334</v>
      </c>
      <c r="F10" s="55"/>
      <c r="G10" s="29"/>
      <c r="H10" s="57"/>
      <c r="I10" s="57"/>
      <c r="J10" s="57"/>
      <c r="K10" s="57"/>
      <c r="L10" s="2"/>
      <c r="M10" s="298"/>
    </row>
    <row r="11" spans="1:14">
      <c r="A11" s="26">
        <v>36084</v>
      </c>
      <c r="B11" s="52">
        <v>14.7967</v>
      </c>
      <c r="C11" s="52">
        <v>14.548299999999999</v>
      </c>
      <c r="D11" s="52">
        <v>14.6983</v>
      </c>
      <c r="E11" s="52">
        <f t="shared" si="0"/>
        <v>14.681100000000001</v>
      </c>
      <c r="F11" s="52">
        <f t="shared" ref="F11:F31" si="1">SUM(E7:E11)/5</f>
        <v>14.745313333333334</v>
      </c>
      <c r="G11" s="52">
        <f>ABS(F11-E7)+ABS(F11-E8)+ABS(F11-E9)+ABS(F11-E10)+ABS(F11-E11)</f>
        <v>0.63721333333333696</v>
      </c>
      <c r="H11" s="64">
        <f>G11/5</f>
        <v>0.1274426666666674</v>
      </c>
      <c r="I11" s="64">
        <f>H11*0.015</f>
        <v>1.9116400000000109E-3</v>
      </c>
      <c r="J11" s="64">
        <f>E11-F11</f>
        <v>-6.4213333333333011E-2</v>
      </c>
      <c r="K11" s="64">
        <f>J11/I11</f>
        <v>-33.590703967971294</v>
      </c>
      <c r="L11" s="2"/>
      <c r="M11" s="298"/>
    </row>
    <row r="12" spans="1:14">
      <c r="A12" s="26">
        <v>36087</v>
      </c>
      <c r="B12" s="52">
        <v>14.794</v>
      </c>
      <c r="C12" s="52">
        <v>13.934699999999999</v>
      </c>
      <c r="D12" s="52">
        <v>13.946</v>
      </c>
      <c r="E12" s="52">
        <f t="shared" si="0"/>
        <v>14.2249</v>
      </c>
      <c r="F12" s="52">
        <f t="shared" si="1"/>
        <v>14.590493333333333</v>
      </c>
      <c r="G12" s="52">
        <f>ABS(F12-E8)+ABS(F12-E9)+ABS(F12-E10)+ABS(F12-E11)+ABS(F12-E12)</f>
        <v>0.74550666666666565</v>
      </c>
      <c r="H12" s="64">
        <f>G12/5</f>
        <v>0.14910133333333314</v>
      </c>
      <c r="I12" s="64">
        <f>H12*0.015</f>
        <v>2.2365199999999971E-3</v>
      </c>
      <c r="J12" s="64">
        <f>E12-F12</f>
        <v>-0.36559333333333299</v>
      </c>
      <c r="K12" s="64">
        <f>J12/I12</f>
        <v>-163.46526448828246</v>
      </c>
      <c r="L12" s="2"/>
      <c r="M12" s="298"/>
    </row>
    <row r="13" spans="1:14">
      <c r="A13" s="27">
        <v>36088</v>
      </c>
      <c r="B13" s="55">
        <v>14.093</v>
      </c>
      <c r="C13" s="55">
        <v>13.8223</v>
      </c>
      <c r="D13" s="55">
        <v>13.982699999999999</v>
      </c>
      <c r="E13" s="55">
        <f t="shared" si="0"/>
        <v>13.966000000000001</v>
      </c>
      <c r="F13" s="55">
        <f t="shared" si="1"/>
        <v>14.421646666666666</v>
      </c>
      <c r="G13" s="55">
        <f>ABS(F13-E9)+ABS(F13-E10)+ABS(F13-E11)+ABS(F13-E12)+ABS(F13-E13)</f>
        <v>1.304786666666665</v>
      </c>
      <c r="H13" s="65">
        <f>G13/5</f>
        <v>0.26095733333333299</v>
      </c>
      <c r="I13" s="65">
        <f>H13*0.015</f>
        <v>3.9143599999999943E-3</v>
      </c>
      <c r="J13" s="65">
        <f>E13-F13</f>
        <v>-0.45564666666666476</v>
      </c>
      <c r="K13" s="65">
        <f>J13/I13</f>
        <v>-116.40387360045203</v>
      </c>
      <c r="L13" s="2"/>
      <c r="M13" s="298"/>
    </row>
    <row r="14" spans="1:14">
      <c r="A14" s="27">
        <v>36089</v>
      </c>
      <c r="B14" s="55">
        <v>14.7</v>
      </c>
      <c r="C14" s="55">
        <v>14.02</v>
      </c>
      <c r="D14" s="55">
        <v>14.45</v>
      </c>
      <c r="E14" s="55">
        <f t="shared" si="0"/>
        <v>14.39</v>
      </c>
      <c r="F14" s="55">
        <f t="shared" si="1"/>
        <v>14.369066666666669</v>
      </c>
      <c r="G14" s="55">
        <f>ABS(F14-E10)+ABS(F14-E11)+ABS(F14-E12)+ABS(F14-E13)+ABS(F14-E14)</f>
        <v>1.0944666666666656</v>
      </c>
      <c r="H14" s="65">
        <f>G14/5</f>
        <v>0.21889333333333311</v>
      </c>
      <c r="I14" s="65">
        <f>H14*0.015</f>
        <v>3.2833999999999967E-3</v>
      </c>
      <c r="J14" s="65">
        <f>E14-F14</f>
        <v>2.0933333333331916E-2</v>
      </c>
      <c r="K14" s="65">
        <f>J14/I14</f>
        <v>6.3755050658865615</v>
      </c>
      <c r="L14" s="2"/>
      <c r="M14" s="298"/>
    </row>
    <row r="15" spans="1:14">
      <c r="A15" s="26">
        <v>36090</v>
      </c>
      <c r="B15" s="52">
        <v>14.525499999999999</v>
      </c>
      <c r="C15" s="52">
        <v>14.2652</v>
      </c>
      <c r="D15" s="52">
        <v>14.3452</v>
      </c>
      <c r="E15" s="52">
        <f t="shared" si="0"/>
        <v>14.378633333333333</v>
      </c>
      <c r="F15" s="52">
        <f t="shared" si="1"/>
        <v>14.328126666666668</v>
      </c>
      <c r="G15" s="52">
        <f t="shared" ref="G15:G31" si="2">ABS(F15-E11)+ABS(F15-E12)+ABS(F15-E13)+ABS(F15-E14)+ABS(F15-E15)</f>
        <v>0.93070666666666568</v>
      </c>
      <c r="H15" s="64">
        <f>G15/5</f>
        <v>0.18614133333333313</v>
      </c>
      <c r="I15" s="64">
        <f t="shared" ref="I15:I31" si="3">H15*0.015</f>
        <v>2.7921199999999969E-3</v>
      </c>
      <c r="J15" s="64">
        <f t="shared" ref="J15:J31" si="4">E15-F15</f>
        <v>5.0506666666665367E-2</v>
      </c>
      <c r="K15" s="64">
        <f t="shared" ref="K15:K31" si="5">J15/I15</f>
        <v>18.089002860430579</v>
      </c>
      <c r="L15" s="2"/>
      <c r="M15" s="298"/>
    </row>
    <row r="16" spans="1:14">
      <c r="A16" s="26">
        <v>36091</v>
      </c>
      <c r="B16" s="52">
        <v>14.6579</v>
      </c>
      <c r="C16" s="52">
        <v>14.3773</v>
      </c>
      <c r="D16" s="52">
        <v>14.419700000000001</v>
      </c>
      <c r="E16" s="52">
        <f t="shared" si="0"/>
        <v>14.484966666666667</v>
      </c>
      <c r="F16" s="52">
        <f t="shared" si="1"/>
        <v>14.288900000000002</v>
      </c>
      <c r="G16" s="52">
        <f t="shared" si="2"/>
        <v>0.77379999999999782</v>
      </c>
      <c r="H16" s="64">
        <f t="shared" ref="H16:H31" si="6">G16/5</f>
        <v>0.15475999999999956</v>
      </c>
      <c r="I16" s="64">
        <f t="shared" si="3"/>
        <v>2.3213999999999934E-3</v>
      </c>
      <c r="J16" s="64">
        <f t="shared" si="4"/>
        <v>0.19606666666666506</v>
      </c>
      <c r="K16" s="64">
        <f t="shared" si="5"/>
        <v>84.460526693661421</v>
      </c>
      <c r="L16" s="2"/>
      <c r="M16" s="298"/>
    </row>
    <row r="17" spans="1:13">
      <c r="A17" s="27">
        <v>36094</v>
      </c>
      <c r="B17" s="55">
        <v>14.7842</v>
      </c>
      <c r="C17" s="55">
        <v>14.5527</v>
      </c>
      <c r="D17" s="55">
        <v>14.572699999999999</v>
      </c>
      <c r="E17" s="55">
        <f t="shared" si="0"/>
        <v>14.636533333333333</v>
      </c>
      <c r="F17" s="55">
        <f t="shared" si="1"/>
        <v>14.371226666666667</v>
      </c>
      <c r="G17" s="55">
        <f t="shared" si="2"/>
        <v>0.81045333333333147</v>
      </c>
      <c r="H17" s="65">
        <f t="shared" si="6"/>
        <v>0.1620906666666663</v>
      </c>
      <c r="I17" s="65">
        <f t="shared" si="3"/>
        <v>2.4313599999999944E-3</v>
      </c>
      <c r="J17" s="65">
        <f t="shared" si="4"/>
        <v>0.26530666666666569</v>
      </c>
      <c r="K17" s="65">
        <f t="shared" si="5"/>
        <v>109.11862770904609</v>
      </c>
      <c r="L17" s="2"/>
      <c r="M17" s="298"/>
    </row>
    <row r="18" spans="1:13">
      <c r="A18" s="27">
        <v>36095</v>
      </c>
      <c r="B18" s="55">
        <v>14.827299999999999</v>
      </c>
      <c r="C18" s="55">
        <v>14.3309</v>
      </c>
      <c r="D18" s="55">
        <v>14.4773</v>
      </c>
      <c r="E18" s="55">
        <f t="shared" si="0"/>
        <v>14.545166666666667</v>
      </c>
      <c r="F18" s="55">
        <f t="shared" si="1"/>
        <v>14.48706</v>
      </c>
      <c r="G18" s="55">
        <f t="shared" si="2"/>
        <v>0.41515999999999842</v>
      </c>
      <c r="H18" s="65">
        <f t="shared" si="6"/>
        <v>8.3031999999999689E-2</v>
      </c>
      <c r="I18" s="65">
        <f t="shared" si="3"/>
        <v>1.2454799999999952E-3</v>
      </c>
      <c r="J18" s="65">
        <f t="shared" si="4"/>
        <v>5.8106666666667195E-2</v>
      </c>
      <c r="K18" s="65">
        <f t="shared" si="5"/>
        <v>46.654034321440264</v>
      </c>
      <c r="L18" s="2"/>
      <c r="M18" s="298"/>
    </row>
    <row r="19" spans="1:13">
      <c r="A19" s="26">
        <v>36096</v>
      </c>
      <c r="B19" s="52">
        <v>14.7018</v>
      </c>
      <c r="C19" s="52">
        <v>14.3461</v>
      </c>
      <c r="D19" s="52">
        <v>14.6639</v>
      </c>
      <c r="E19" s="52">
        <f t="shared" si="0"/>
        <v>14.570599999999999</v>
      </c>
      <c r="F19" s="52">
        <f t="shared" si="1"/>
        <v>14.52318</v>
      </c>
      <c r="G19" s="52">
        <f t="shared" si="2"/>
        <v>0.36551999999999829</v>
      </c>
      <c r="H19" s="64">
        <f t="shared" si="6"/>
        <v>7.3103999999999655E-2</v>
      </c>
      <c r="I19" s="64">
        <f t="shared" si="3"/>
        <v>1.0965599999999947E-3</v>
      </c>
      <c r="J19" s="64">
        <f t="shared" si="4"/>
        <v>4.7419999999998907E-2</v>
      </c>
      <c r="K19" s="64">
        <f t="shared" si="5"/>
        <v>43.244327715764882</v>
      </c>
      <c r="L19" s="2"/>
      <c r="M19" s="298"/>
    </row>
    <row r="20" spans="1:13">
      <c r="A20" s="26">
        <v>36097</v>
      </c>
      <c r="B20" s="52">
        <v>14.7242</v>
      </c>
      <c r="C20" s="52">
        <v>14.5261</v>
      </c>
      <c r="D20" s="52">
        <v>14.6488</v>
      </c>
      <c r="E20" s="52">
        <f t="shared" si="0"/>
        <v>14.633033333333332</v>
      </c>
      <c r="F20" s="52">
        <f t="shared" si="1"/>
        <v>14.574059999999999</v>
      </c>
      <c r="G20" s="52">
        <f t="shared" si="2"/>
        <v>0.24289333333333119</v>
      </c>
      <c r="H20" s="64">
        <f t="shared" si="6"/>
        <v>4.8578666666666236E-2</v>
      </c>
      <c r="I20" s="64">
        <f t="shared" si="3"/>
        <v>7.2867999999999349E-4</v>
      </c>
      <c r="J20" s="64">
        <f t="shared" si="4"/>
        <v>5.8973333333332434E-2</v>
      </c>
      <c r="K20" s="64">
        <f t="shared" si="5"/>
        <v>80.931730434941215</v>
      </c>
      <c r="L20" s="2"/>
      <c r="M20" s="298"/>
    </row>
    <row r="21" spans="1:13">
      <c r="A21" s="27">
        <v>36098</v>
      </c>
      <c r="B21" s="55">
        <v>14.8636</v>
      </c>
      <c r="C21" s="55">
        <v>14.3491</v>
      </c>
      <c r="D21" s="55">
        <v>14.8436</v>
      </c>
      <c r="E21" s="55">
        <f t="shared" si="0"/>
        <v>14.685433333333334</v>
      </c>
      <c r="F21" s="55">
        <f t="shared" si="1"/>
        <v>14.614153333333331</v>
      </c>
      <c r="G21" s="55">
        <f t="shared" si="2"/>
        <v>0.22508000000000195</v>
      </c>
      <c r="H21" s="65">
        <f t="shared" si="6"/>
        <v>4.5016000000000389E-2</v>
      </c>
      <c r="I21" s="65">
        <f t="shared" si="3"/>
        <v>6.7524000000000577E-4</v>
      </c>
      <c r="J21" s="65">
        <f t="shared" si="4"/>
        <v>7.1280000000003341E-2</v>
      </c>
      <c r="K21" s="65">
        <f t="shared" si="5"/>
        <v>105.56246667851835</v>
      </c>
      <c r="L21" s="2"/>
      <c r="M21" s="298"/>
    </row>
    <row r="22" spans="1:13">
      <c r="A22" s="27">
        <v>36101</v>
      </c>
      <c r="B22" s="55">
        <v>15.1227</v>
      </c>
      <c r="C22" s="55">
        <v>14.738200000000001</v>
      </c>
      <c r="D22" s="55">
        <v>14.748200000000001</v>
      </c>
      <c r="E22" s="55">
        <f t="shared" si="0"/>
        <v>14.8697</v>
      </c>
      <c r="F22" s="55">
        <f t="shared" si="1"/>
        <v>14.660786666666667</v>
      </c>
      <c r="G22" s="55">
        <f t="shared" si="2"/>
        <v>0.46712000000000309</v>
      </c>
      <c r="H22" s="65">
        <f t="shared" si="6"/>
        <v>9.3424000000000618E-2</v>
      </c>
      <c r="I22" s="65">
        <f t="shared" si="3"/>
        <v>1.4013600000000093E-3</v>
      </c>
      <c r="J22" s="65">
        <f t="shared" si="4"/>
        <v>0.20891333333333328</v>
      </c>
      <c r="K22" s="65">
        <f t="shared" si="5"/>
        <v>149.07898993358731</v>
      </c>
      <c r="L22" s="2"/>
      <c r="M22" s="298"/>
    </row>
    <row r="23" spans="1:13">
      <c r="A23" s="26">
        <v>36102</v>
      </c>
      <c r="B23" s="52">
        <v>14.715199999999999</v>
      </c>
      <c r="C23" s="52">
        <v>14.583</v>
      </c>
      <c r="D23" s="52">
        <v>14.653</v>
      </c>
      <c r="E23" s="52">
        <f t="shared" si="0"/>
        <v>14.650399999999999</v>
      </c>
      <c r="F23" s="52">
        <f t="shared" si="1"/>
        <v>14.681833333333334</v>
      </c>
      <c r="G23" s="52">
        <f t="shared" si="2"/>
        <v>0.38293333333333734</v>
      </c>
      <c r="H23" s="64">
        <f t="shared" si="6"/>
        <v>7.6586666666667469E-2</v>
      </c>
      <c r="I23" s="64">
        <f t="shared" si="3"/>
        <v>1.1488000000000121E-3</v>
      </c>
      <c r="J23" s="64">
        <f t="shared" si="4"/>
        <v>-3.143333333333409E-2</v>
      </c>
      <c r="K23" s="64">
        <f t="shared" si="5"/>
        <v>-27.361884865367131</v>
      </c>
      <c r="L23" s="2"/>
      <c r="M23" s="298"/>
    </row>
    <row r="24" spans="1:13">
      <c r="A24" s="26">
        <v>36103</v>
      </c>
      <c r="B24" s="52">
        <v>14.7636</v>
      </c>
      <c r="C24" s="52">
        <v>14.470599999999999</v>
      </c>
      <c r="D24" s="52">
        <v>14.587899999999999</v>
      </c>
      <c r="E24" s="52">
        <f t="shared" si="0"/>
        <v>14.607366666666666</v>
      </c>
      <c r="F24" s="52">
        <f t="shared" si="1"/>
        <v>14.689186666666666</v>
      </c>
      <c r="G24" s="52">
        <f t="shared" si="2"/>
        <v>0.3610266666666675</v>
      </c>
      <c r="H24" s="64">
        <f t="shared" si="6"/>
        <v>7.2205333333333496E-2</v>
      </c>
      <c r="I24" s="64">
        <f t="shared" si="3"/>
        <v>1.0830800000000023E-3</v>
      </c>
      <c r="J24" s="64">
        <f t="shared" si="4"/>
        <v>-8.1820000000000448E-2</v>
      </c>
      <c r="K24" s="64">
        <f t="shared" si="5"/>
        <v>-75.543819477785831</v>
      </c>
      <c r="L24" s="2"/>
      <c r="M24" s="298"/>
    </row>
    <row r="25" spans="1:13">
      <c r="A25" s="27">
        <v>36104</v>
      </c>
      <c r="B25" s="55">
        <v>14.6227</v>
      </c>
      <c r="C25" s="55">
        <v>14.35</v>
      </c>
      <c r="D25" s="55">
        <v>14.431800000000001</v>
      </c>
      <c r="E25" s="55">
        <f t="shared" si="0"/>
        <v>14.468166666666667</v>
      </c>
      <c r="F25" s="55">
        <f t="shared" si="1"/>
        <v>14.656213333333332</v>
      </c>
      <c r="G25" s="55">
        <f t="shared" si="2"/>
        <v>0.4854133333333337</v>
      </c>
      <c r="H25" s="65">
        <f t="shared" si="6"/>
        <v>9.7082666666666734E-2</v>
      </c>
      <c r="I25" s="65">
        <f t="shared" si="3"/>
        <v>1.456240000000001E-3</v>
      </c>
      <c r="J25" s="65">
        <f t="shared" si="4"/>
        <v>-0.18804666666666492</v>
      </c>
      <c r="K25" s="65">
        <f t="shared" si="5"/>
        <v>-129.13164496694554</v>
      </c>
      <c r="L25" s="2"/>
      <c r="M25" s="298"/>
    </row>
    <row r="26" spans="1:13">
      <c r="A26" s="27">
        <v>36105</v>
      </c>
      <c r="B26" s="55">
        <v>14.634499999999999</v>
      </c>
      <c r="C26" s="55">
        <v>14.297000000000001</v>
      </c>
      <c r="D26" s="55">
        <v>14.382099999999999</v>
      </c>
      <c r="E26" s="55">
        <f t="shared" si="0"/>
        <v>14.437866666666666</v>
      </c>
      <c r="F26" s="55">
        <f t="shared" si="1"/>
        <v>14.6067</v>
      </c>
      <c r="G26" s="55">
        <f t="shared" si="2"/>
        <v>0.6147333333333318</v>
      </c>
      <c r="H26" s="65">
        <f t="shared" si="6"/>
        <v>0.12294666666666636</v>
      </c>
      <c r="I26" s="65">
        <f t="shared" si="3"/>
        <v>1.8441999999999953E-3</v>
      </c>
      <c r="J26" s="65">
        <f t="shared" si="4"/>
        <v>-0.16883333333333361</v>
      </c>
      <c r="K26" s="65">
        <f t="shared" si="5"/>
        <v>-91.548277482558319</v>
      </c>
      <c r="L26" s="2"/>
      <c r="M26" s="298"/>
    </row>
    <row r="27" spans="1:13">
      <c r="A27" s="26">
        <v>36108</v>
      </c>
      <c r="B27" s="52">
        <v>14.3588</v>
      </c>
      <c r="C27" s="52">
        <v>13.9709</v>
      </c>
      <c r="D27" s="52">
        <v>13.9709</v>
      </c>
      <c r="E27" s="52">
        <f t="shared" si="0"/>
        <v>14.100200000000001</v>
      </c>
      <c r="F27" s="52">
        <f t="shared" si="1"/>
        <v>14.4528</v>
      </c>
      <c r="G27" s="52">
        <f t="shared" si="2"/>
        <v>0.73506666666666476</v>
      </c>
      <c r="H27" s="64">
        <f t="shared" si="6"/>
        <v>0.14701333333333294</v>
      </c>
      <c r="I27" s="64">
        <f t="shared" si="3"/>
        <v>2.205199999999994E-3</v>
      </c>
      <c r="J27" s="64">
        <f t="shared" si="4"/>
        <v>-0.35259999999999891</v>
      </c>
      <c r="K27" s="64">
        <f t="shared" si="5"/>
        <v>-159.89479412298198</v>
      </c>
      <c r="L27" s="2"/>
      <c r="M27" s="298"/>
    </row>
    <row r="28" spans="1:13">
      <c r="A28" s="26">
        <v>36109</v>
      </c>
      <c r="B28" s="52">
        <v>14.171200000000001</v>
      </c>
      <c r="C28" s="52">
        <v>13.879099999999999</v>
      </c>
      <c r="D28" s="52">
        <v>14.1112</v>
      </c>
      <c r="E28" s="52">
        <f t="shared" si="0"/>
        <v>14.053833333333335</v>
      </c>
      <c r="F28" s="52">
        <f t="shared" si="1"/>
        <v>14.333486666666667</v>
      </c>
      <c r="G28" s="52">
        <f t="shared" si="2"/>
        <v>1.0258799999999955</v>
      </c>
      <c r="H28" s="64">
        <f t="shared" si="6"/>
        <v>0.20517599999999908</v>
      </c>
      <c r="I28" s="64">
        <f t="shared" si="3"/>
        <v>3.0776399999999861E-3</v>
      </c>
      <c r="J28" s="64">
        <f t="shared" si="4"/>
        <v>-0.2796533333333322</v>
      </c>
      <c r="K28" s="64">
        <f t="shared" si="5"/>
        <v>-90.866161517699751</v>
      </c>
      <c r="L28" s="2"/>
      <c r="M28" s="298"/>
    </row>
    <row r="29" spans="1:13">
      <c r="A29" s="27">
        <v>36110</v>
      </c>
      <c r="B29" s="55">
        <v>14.427300000000001</v>
      </c>
      <c r="C29" s="55">
        <v>14.1409</v>
      </c>
      <c r="D29" s="55">
        <v>14.1473</v>
      </c>
      <c r="E29" s="55">
        <f t="shared" si="0"/>
        <v>14.2385</v>
      </c>
      <c r="F29" s="55">
        <f t="shared" si="1"/>
        <v>14.259713333333334</v>
      </c>
      <c r="G29" s="55">
        <f t="shared" si="2"/>
        <v>0.77321333333333087</v>
      </c>
      <c r="H29" s="65">
        <f t="shared" si="6"/>
        <v>0.15464266666666618</v>
      </c>
      <c r="I29" s="65">
        <f t="shared" si="3"/>
        <v>2.3196399999999926E-3</v>
      </c>
      <c r="J29" s="65">
        <f t="shared" si="4"/>
        <v>-2.121333333333375E-2</v>
      </c>
      <c r="K29" s="65">
        <f t="shared" si="5"/>
        <v>-9.1450972277309486</v>
      </c>
      <c r="L29" s="2"/>
      <c r="M29" s="298"/>
    </row>
    <row r="30" spans="1:13">
      <c r="A30" s="27">
        <v>36111</v>
      </c>
      <c r="B30" s="55">
        <v>14.496700000000001</v>
      </c>
      <c r="C30" s="55">
        <v>14.193300000000001</v>
      </c>
      <c r="D30" s="55">
        <v>14.4267</v>
      </c>
      <c r="E30" s="55">
        <f t="shared" si="0"/>
        <v>14.372233333333334</v>
      </c>
      <c r="F30" s="55">
        <f t="shared" si="1"/>
        <v>14.240526666666668</v>
      </c>
      <c r="G30" s="55">
        <f t="shared" si="2"/>
        <v>0.65809333333333164</v>
      </c>
      <c r="H30" s="65">
        <f t="shared" si="6"/>
        <v>0.13161866666666633</v>
      </c>
      <c r="I30" s="65">
        <f t="shared" si="3"/>
        <v>1.9742799999999949E-3</v>
      </c>
      <c r="J30" s="65">
        <f t="shared" si="4"/>
        <v>0.13170666666666619</v>
      </c>
      <c r="K30" s="65">
        <f t="shared" si="5"/>
        <v>66.711239878166481</v>
      </c>
      <c r="L30" s="2"/>
      <c r="M30" s="298"/>
    </row>
    <row r="31" spans="1:13">
      <c r="A31" s="26">
        <v>36112</v>
      </c>
      <c r="B31" s="52">
        <v>14.688499999999999</v>
      </c>
      <c r="C31" s="52">
        <v>14.0197</v>
      </c>
      <c r="D31" s="52">
        <v>14.122400000000001</v>
      </c>
      <c r="E31" s="52">
        <f t="shared" si="0"/>
        <v>14.276866666666665</v>
      </c>
      <c r="F31" s="52">
        <f t="shared" si="1"/>
        <v>14.208326666666668</v>
      </c>
      <c r="G31" s="52">
        <f t="shared" si="2"/>
        <v>0.52523999999999482</v>
      </c>
      <c r="H31" s="64">
        <f t="shared" si="6"/>
        <v>0.10504799999999896</v>
      </c>
      <c r="I31" s="64">
        <f t="shared" si="3"/>
        <v>1.5757199999999845E-3</v>
      </c>
      <c r="J31" s="64">
        <f t="shared" si="4"/>
        <v>6.8539999999996937E-2</v>
      </c>
      <c r="K31" s="64">
        <f t="shared" si="5"/>
        <v>43.497575711419294</v>
      </c>
      <c r="L31" s="2"/>
      <c r="M31" s="298"/>
    </row>
    <row r="32" spans="1:13">
      <c r="A32" s="138"/>
      <c r="B32" s="264"/>
      <c r="C32" s="264"/>
      <c r="D32" s="264"/>
      <c r="E32" s="264"/>
      <c r="F32" s="264"/>
      <c r="G32" s="264"/>
      <c r="H32" s="265"/>
      <c r="I32" s="265"/>
      <c r="J32" s="265"/>
      <c r="K32" s="30"/>
      <c r="L32" s="2"/>
      <c r="M32" s="298"/>
    </row>
    <row r="33" spans="1:13" ht="15">
      <c r="A33" s="241" t="s">
        <v>952</v>
      </c>
      <c r="B33" s="264"/>
      <c r="C33" s="264"/>
      <c r="D33" s="264"/>
      <c r="E33" s="264"/>
      <c r="F33" s="264"/>
      <c r="G33" s="264"/>
      <c r="H33" s="265"/>
      <c r="I33" s="265"/>
      <c r="J33" s="265"/>
      <c r="K33" s="30"/>
      <c r="L33" s="2"/>
      <c r="M33" s="2"/>
    </row>
    <row r="34" spans="1:13" ht="32.25" customHeight="1">
      <c r="A34" s="447" t="s">
        <v>953</v>
      </c>
      <c r="B34" s="447"/>
      <c r="C34" s="447"/>
      <c r="D34" s="447"/>
      <c r="E34" s="447"/>
      <c r="F34" s="447"/>
      <c r="G34" s="447"/>
      <c r="H34" s="447"/>
      <c r="I34" s="447"/>
      <c r="J34" s="447"/>
      <c r="K34" s="30"/>
      <c r="L34" s="2"/>
      <c r="M34" s="2"/>
    </row>
    <row r="35" spans="1:13" ht="49.5" customHeight="1">
      <c r="A35" s="447" t="s">
        <v>1150</v>
      </c>
      <c r="B35" s="447"/>
      <c r="C35" s="447"/>
      <c r="D35" s="447"/>
      <c r="E35" s="447"/>
      <c r="F35" s="447"/>
      <c r="G35" s="447"/>
      <c r="H35" s="447"/>
      <c r="I35" s="447"/>
      <c r="J35" s="447"/>
      <c r="K35" s="30"/>
      <c r="L35" s="2"/>
      <c r="M35" s="2"/>
    </row>
    <row r="36" spans="1:13" ht="15">
      <c r="A36" s="241" t="s">
        <v>954</v>
      </c>
      <c r="B36" s="264"/>
      <c r="C36" s="264"/>
      <c r="D36" s="264"/>
      <c r="E36" s="264"/>
      <c r="F36" s="264"/>
      <c r="G36" s="264"/>
      <c r="H36" s="265"/>
      <c r="I36" s="265"/>
      <c r="J36" s="265"/>
      <c r="K36" s="30"/>
      <c r="L36" s="2"/>
      <c r="M36" s="2"/>
    </row>
    <row r="37" spans="1:13">
      <c r="A37" s="138"/>
      <c r="B37" s="264"/>
      <c r="C37" s="264"/>
      <c r="D37" s="264"/>
      <c r="E37" s="264"/>
      <c r="F37" s="264"/>
      <c r="G37" s="264"/>
      <c r="H37" s="265"/>
      <c r="I37" s="265"/>
      <c r="J37" s="265"/>
      <c r="K37" s="30"/>
      <c r="L37" s="2"/>
      <c r="M37" s="2"/>
    </row>
    <row r="38" spans="1:13">
      <c r="A38" s="138"/>
      <c r="B38" s="264"/>
      <c r="C38" s="264"/>
      <c r="D38" s="264"/>
      <c r="E38" s="264"/>
      <c r="F38" s="264"/>
      <c r="G38" s="264"/>
      <c r="H38" s="265"/>
      <c r="I38" s="265"/>
      <c r="J38" s="265"/>
      <c r="K38" s="30"/>
      <c r="L38" s="2"/>
      <c r="M38" s="2"/>
    </row>
    <row r="39" spans="1:13">
      <c r="A39" s="138"/>
      <c r="B39" s="264"/>
      <c r="C39" s="264"/>
      <c r="D39" s="264"/>
      <c r="E39" s="264"/>
      <c r="F39" s="264"/>
      <c r="G39" s="264"/>
      <c r="H39" s="265"/>
      <c r="I39" s="265"/>
      <c r="J39" s="265"/>
      <c r="K39" s="30"/>
      <c r="L39" s="2"/>
      <c r="M39" s="2"/>
    </row>
    <row r="40" spans="1:13">
      <c r="A40" s="138"/>
      <c r="B40" s="264"/>
      <c r="C40" s="264"/>
      <c r="D40" s="264"/>
      <c r="E40" s="264"/>
      <c r="F40" s="264"/>
      <c r="G40" s="264"/>
      <c r="H40" s="265"/>
      <c r="I40" s="265"/>
      <c r="J40" s="265"/>
      <c r="K40" s="30"/>
      <c r="L40" s="2"/>
      <c r="M40" s="2"/>
    </row>
    <row r="41" spans="1:13">
      <c r="A41" s="138"/>
      <c r="B41" s="264"/>
      <c r="C41" s="264"/>
      <c r="D41" s="264"/>
      <c r="E41" s="264"/>
      <c r="F41" s="264"/>
      <c r="G41" s="264"/>
      <c r="H41" s="265"/>
      <c r="I41" s="265"/>
      <c r="J41" s="265"/>
      <c r="K41" s="30"/>
      <c r="L41" s="2"/>
      <c r="M41" s="2"/>
    </row>
    <row r="42" spans="1:13">
      <c r="A42" s="138"/>
      <c r="B42" s="264"/>
      <c r="C42" s="264"/>
      <c r="D42" s="264"/>
      <c r="E42" s="264"/>
      <c r="F42" s="264"/>
      <c r="G42" s="264"/>
      <c r="H42" s="265"/>
      <c r="I42" s="265"/>
      <c r="J42" s="265"/>
      <c r="K42" s="30"/>
      <c r="L42" s="2"/>
      <c r="M42" s="2"/>
    </row>
    <row r="43" spans="1:13">
      <c r="A43" s="138"/>
      <c r="B43" s="264"/>
      <c r="C43" s="264"/>
      <c r="D43" s="264"/>
      <c r="E43" s="264"/>
      <c r="F43" s="264"/>
      <c r="G43" s="264"/>
      <c r="H43" s="265"/>
      <c r="I43" s="265"/>
      <c r="J43" s="265"/>
      <c r="K43" s="30"/>
      <c r="L43" s="2"/>
      <c r="M43" s="2"/>
    </row>
    <row r="44" spans="1:13">
      <c r="A44" s="138"/>
      <c r="B44" s="264"/>
      <c r="C44" s="264"/>
      <c r="D44" s="264"/>
      <c r="E44" s="264"/>
      <c r="F44" s="264"/>
      <c r="G44" s="264"/>
      <c r="H44" s="265"/>
      <c r="I44" s="265"/>
      <c r="J44" s="265"/>
      <c r="K44" s="30"/>
      <c r="L44" s="2"/>
      <c r="M44" s="2"/>
    </row>
    <row r="45" spans="1:13">
      <c r="A45" s="138"/>
      <c r="B45" s="264"/>
      <c r="C45" s="264"/>
      <c r="D45" s="264"/>
      <c r="E45" s="264"/>
      <c r="F45" s="264"/>
      <c r="G45" s="264"/>
      <c r="H45" s="265"/>
      <c r="I45" s="265"/>
      <c r="J45" s="265"/>
      <c r="K45" s="30"/>
      <c r="L45" s="2"/>
      <c r="M45" s="2"/>
    </row>
    <row r="46" spans="1:13">
      <c r="A46" s="138"/>
      <c r="B46" s="264"/>
      <c r="C46" s="264"/>
      <c r="D46" s="264"/>
      <c r="E46" s="264"/>
      <c r="F46" s="264"/>
      <c r="G46" s="264"/>
      <c r="H46" s="265"/>
      <c r="I46" s="265"/>
      <c r="J46" s="265"/>
      <c r="K46" s="30"/>
      <c r="L46" s="2"/>
      <c r="M46" s="2"/>
    </row>
    <row r="47" spans="1:13">
      <c r="A47" s="138"/>
      <c r="B47" s="264"/>
      <c r="C47" s="264"/>
      <c r="D47" s="264"/>
      <c r="E47" s="264"/>
      <c r="F47" s="264"/>
      <c r="G47" s="264"/>
      <c r="H47" s="265"/>
      <c r="I47" s="265"/>
      <c r="J47" s="265"/>
      <c r="K47" s="30"/>
      <c r="L47" s="2"/>
      <c r="M47" s="2"/>
    </row>
    <row r="48" spans="1:13">
      <c r="A48" s="138"/>
      <c r="B48" s="264"/>
      <c r="C48" s="264"/>
      <c r="D48" s="264"/>
      <c r="E48" s="264"/>
      <c r="F48" s="264"/>
      <c r="G48" s="264"/>
      <c r="H48" s="265"/>
      <c r="I48" s="265"/>
      <c r="J48" s="265"/>
      <c r="K48" s="30"/>
      <c r="L48" s="2"/>
      <c r="M48" s="2"/>
    </row>
    <row r="49" spans="1:13">
      <c r="A49" s="30"/>
      <c r="B49" s="30"/>
      <c r="C49" s="30"/>
      <c r="D49" s="30"/>
      <c r="E49" s="30"/>
      <c r="F49" s="30"/>
      <c r="G49" s="30"/>
      <c r="H49" s="30"/>
      <c r="I49" s="30"/>
      <c r="J49" s="30"/>
      <c r="K49" s="30"/>
      <c r="L49" s="2"/>
      <c r="M49" s="2"/>
    </row>
    <row r="50" spans="1:13">
      <c r="A50" s="30"/>
      <c r="B50" s="30"/>
      <c r="C50" s="30"/>
      <c r="D50" s="30"/>
      <c r="E50" s="30"/>
      <c r="F50" s="30"/>
      <c r="G50" s="30"/>
      <c r="H50" s="30"/>
      <c r="I50" s="30"/>
      <c r="J50" s="30"/>
      <c r="K50" s="30"/>
      <c r="L50" s="2"/>
      <c r="M50" s="2"/>
    </row>
    <row r="51" spans="1:13">
      <c r="A51" s="30"/>
      <c r="B51" s="30"/>
      <c r="C51" s="30"/>
      <c r="D51" s="30"/>
      <c r="E51" s="30"/>
      <c r="F51" s="30"/>
      <c r="G51" s="30"/>
      <c r="H51" s="30"/>
      <c r="I51" s="30"/>
      <c r="J51" s="30"/>
      <c r="K51" s="30"/>
      <c r="L51" s="2"/>
      <c r="M51" s="2"/>
    </row>
    <row r="52" spans="1:13">
      <c r="A52" s="30"/>
      <c r="B52" s="30"/>
      <c r="C52" s="30"/>
      <c r="D52" s="30"/>
      <c r="E52" s="30"/>
      <c r="F52" s="30"/>
      <c r="G52" s="30"/>
      <c r="H52" s="30"/>
      <c r="I52" s="30"/>
      <c r="J52" s="30"/>
      <c r="K52" s="30"/>
      <c r="L52" s="2"/>
      <c r="M52" s="2"/>
    </row>
    <row r="53" spans="1:13">
      <c r="A53" s="30"/>
      <c r="B53" s="30"/>
      <c r="C53" s="30"/>
      <c r="D53" s="30"/>
      <c r="E53" s="30"/>
      <c r="F53" s="30"/>
      <c r="G53" s="30"/>
      <c r="H53" s="30"/>
      <c r="I53" s="30"/>
      <c r="J53" s="30"/>
      <c r="K53" s="30"/>
      <c r="L53" s="2"/>
      <c r="M53" s="2"/>
    </row>
    <row r="54" spans="1:13">
      <c r="A54" s="30"/>
      <c r="B54" s="30"/>
      <c r="C54" s="30"/>
      <c r="D54" s="30"/>
      <c r="E54" s="30"/>
      <c r="F54" s="30"/>
      <c r="G54" s="30"/>
      <c r="H54" s="30"/>
      <c r="I54" s="30"/>
      <c r="J54" s="30"/>
      <c r="K54" s="30"/>
      <c r="L54" s="2"/>
      <c r="M54" s="2"/>
    </row>
    <row r="55" spans="1:13">
      <c r="A55" s="30"/>
      <c r="B55" s="30"/>
      <c r="C55" s="30"/>
      <c r="D55" s="30"/>
      <c r="E55" s="30"/>
      <c r="F55" s="30"/>
      <c r="G55" s="30"/>
      <c r="H55" s="30"/>
      <c r="I55" s="30"/>
      <c r="J55" s="30"/>
      <c r="K55" s="30"/>
      <c r="L55" s="2"/>
      <c r="M55" s="2"/>
    </row>
    <row r="56" spans="1:13">
      <c r="A56" s="30"/>
      <c r="B56" s="30"/>
      <c r="C56" s="30"/>
      <c r="D56" s="30"/>
      <c r="E56" s="30"/>
      <c r="F56" s="30"/>
      <c r="G56" s="30"/>
      <c r="H56" s="30"/>
      <c r="I56" s="30"/>
      <c r="J56" s="30"/>
      <c r="K56" s="30"/>
      <c r="L56" s="2"/>
      <c r="M56" s="2"/>
    </row>
    <row r="57" spans="1:13">
      <c r="A57" s="30"/>
      <c r="B57" s="30"/>
      <c r="C57" s="30"/>
      <c r="D57" s="30"/>
      <c r="E57" s="30"/>
      <c r="F57" s="30"/>
      <c r="G57" s="30"/>
      <c r="H57" s="30"/>
      <c r="I57" s="30"/>
      <c r="J57" s="30"/>
      <c r="K57" s="30"/>
      <c r="L57" s="2"/>
      <c r="M57" s="2"/>
    </row>
    <row r="58" spans="1:13">
      <c r="L58" s="2"/>
      <c r="M58" s="2"/>
    </row>
    <row r="59" spans="1:13">
      <c r="L59" s="2"/>
      <c r="M59" s="2"/>
    </row>
    <row r="60" spans="1:13">
      <c r="L60" s="2"/>
      <c r="M60" s="2"/>
    </row>
    <row r="61" spans="1:13">
      <c r="L61" s="2"/>
      <c r="M61" s="2"/>
    </row>
    <row r="62" spans="1:13">
      <c r="L62" s="2"/>
      <c r="M62" s="2"/>
    </row>
    <row r="63" spans="1:13">
      <c r="L63" s="2"/>
      <c r="M63" s="2"/>
    </row>
    <row r="64" spans="1:13">
      <c r="L64" s="2"/>
      <c r="M64" s="2"/>
    </row>
    <row r="65" spans="12:13">
      <c r="L65" s="2"/>
      <c r="M65" s="2"/>
    </row>
    <row r="66" spans="12:13">
      <c r="L66" s="2"/>
      <c r="M66" s="2"/>
    </row>
    <row r="67" spans="12:13">
      <c r="L67" s="2"/>
      <c r="M67" s="2"/>
    </row>
    <row r="68" spans="12:13">
      <c r="L68" s="2"/>
      <c r="M68" s="2"/>
    </row>
    <row r="69" spans="12:13">
      <c r="L69" s="2"/>
      <c r="M69" s="2"/>
    </row>
    <row r="70" spans="12:13">
      <c r="L70" s="2"/>
      <c r="M70" s="2"/>
    </row>
    <row r="71" spans="12:13">
      <c r="L71" s="2"/>
      <c r="M71" s="2"/>
    </row>
    <row r="72" spans="12:13">
      <c r="L72" s="2"/>
      <c r="M72" s="2"/>
    </row>
    <row r="73" spans="12:13">
      <c r="L73" s="2"/>
      <c r="M73" s="2"/>
    </row>
    <row r="74" spans="12:13">
      <c r="L74" s="2"/>
      <c r="M74" s="2"/>
    </row>
    <row r="75" spans="12:13">
      <c r="L75" s="2"/>
      <c r="M75" s="2"/>
    </row>
    <row r="76" spans="12:13">
      <c r="L76" s="2"/>
      <c r="M76" s="2"/>
    </row>
    <row r="77" spans="12:13">
      <c r="L77" s="2"/>
      <c r="M77" s="2"/>
    </row>
    <row r="78" spans="12:13">
      <c r="L78" s="2"/>
      <c r="M78" s="2"/>
    </row>
    <row r="79" spans="12:13">
      <c r="L79" s="2"/>
      <c r="M79" s="2"/>
    </row>
    <row r="80" spans="12:13">
      <c r="L80" s="2"/>
      <c r="M80" s="2"/>
    </row>
    <row r="81" spans="12:13">
      <c r="L81" s="2"/>
      <c r="M81" s="2"/>
    </row>
    <row r="82" spans="12:13">
      <c r="L82" s="2"/>
      <c r="M82" s="2"/>
    </row>
    <row r="83" spans="12:13">
      <c r="L83" s="2"/>
      <c r="M83" s="2"/>
    </row>
    <row r="84" spans="12:13">
      <c r="L84" s="2"/>
      <c r="M84" s="2"/>
    </row>
    <row r="85" spans="12:13">
      <c r="L85" s="2"/>
      <c r="M85" s="2"/>
    </row>
    <row r="86" spans="12:13">
      <c r="L86" s="2"/>
      <c r="M86" s="2"/>
    </row>
    <row r="87" spans="12:13">
      <c r="L87" s="2"/>
      <c r="M87" s="2"/>
    </row>
    <row r="88" spans="12:13">
      <c r="L88" s="2"/>
      <c r="M88" s="2"/>
    </row>
    <row r="89" spans="12:13">
      <c r="L89" s="2"/>
      <c r="M89" s="2"/>
    </row>
    <row r="90" spans="12:13">
      <c r="L90" s="2"/>
      <c r="M90" s="2"/>
    </row>
    <row r="91" spans="12:13">
      <c r="L91" s="2"/>
      <c r="M91" s="2"/>
    </row>
    <row r="92" spans="12:13">
      <c r="L92" s="2"/>
      <c r="M92" s="2"/>
    </row>
    <row r="93" spans="12:13">
      <c r="L93" s="2"/>
      <c r="M93" s="2"/>
    </row>
    <row r="94" spans="12:13">
      <c r="L94" s="2"/>
      <c r="M94" s="2"/>
    </row>
    <row r="95" spans="12:13">
      <c r="L95" s="2"/>
      <c r="M95" s="2"/>
    </row>
    <row r="96" spans="12:13">
      <c r="L96" s="2"/>
      <c r="M96" s="2"/>
    </row>
    <row r="97" spans="12:13">
      <c r="L97" s="2"/>
      <c r="M97" s="2"/>
    </row>
    <row r="98" spans="12:13">
      <c r="L98" s="2"/>
      <c r="M98" s="2"/>
    </row>
    <row r="99" spans="12:13">
      <c r="L99" s="2"/>
      <c r="M99" s="2"/>
    </row>
    <row r="100" spans="12:13">
      <c r="L100" s="2"/>
      <c r="M100" s="2"/>
    </row>
    <row r="101" spans="12:13">
      <c r="L101" s="2"/>
      <c r="M101" s="2"/>
    </row>
    <row r="102" spans="12:13">
      <c r="L102" s="2"/>
      <c r="M102" s="2"/>
    </row>
    <row r="103" spans="12:13">
      <c r="L103" s="2"/>
      <c r="M103" s="2"/>
    </row>
    <row r="104" spans="12:13">
      <c r="L104" s="2"/>
      <c r="M104" s="2"/>
    </row>
    <row r="105" spans="12:13">
      <c r="L105" s="2"/>
      <c r="M105" s="2"/>
    </row>
    <row r="106" spans="12:13">
      <c r="L106" s="2"/>
      <c r="M106" s="2"/>
    </row>
    <row r="107" spans="12:13">
      <c r="L107" s="2"/>
      <c r="M107" s="2"/>
    </row>
    <row r="108" spans="12:13">
      <c r="L108" s="2"/>
      <c r="M108" s="2"/>
    </row>
    <row r="109" spans="12:13">
      <c r="L109" s="2"/>
      <c r="M109" s="2"/>
    </row>
    <row r="110" spans="12:13">
      <c r="L110" s="2"/>
      <c r="M110" s="2"/>
    </row>
    <row r="111" spans="12:13">
      <c r="L111" s="2"/>
      <c r="M111" s="2"/>
    </row>
    <row r="112" spans="12:13">
      <c r="L112" s="2"/>
      <c r="M112" s="2"/>
    </row>
    <row r="113" spans="12:13">
      <c r="L113" s="2"/>
      <c r="M113" s="2"/>
    </row>
    <row r="114" spans="12:13">
      <c r="L114" s="2"/>
      <c r="M114" s="2"/>
    </row>
  </sheetData>
  <mergeCells count="2">
    <mergeCell ref="A34:J34"/>
    <mergeCell ref="A35:J35"/>
  </mergeCells>
  <phoneticPr fontId="0" type="noConversion"/>
  <pageMargins left="0.75" right="0.75" top="1" bottom="1" header="0.5" footer="0.5"/>
  <pageSetup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75778"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75779"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75780"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6" enableFormatConditionsCalculation="0"/>
  <dimension ref="A1:N3"/>
  <sheetViews>
    <sheetView workbookViewId="0"/>
  </sheetViews>
  <sheetFormatPr baseColWidth="10" defaultColWidth="8.83203125" defaultRowHeight="12" x14ac:dyDescent="0"/>
  <cols>
    <col min="1" max="1" width="12.6640625" customWidth="1"/>
    <col min="4" max="4" width="10.5" customWidth="1"/>
  </cols>
  <sheetData>
    <row r="1" spans="1:14">
      <c r="A1" s="21"/>
      <c r="B1" s="21"/>
      <c r="C1" s="21" t="s">
        <v>846</v>
      </c>
      <c r="D1" s="21"/>
      <c r="E1" s="21"/>
      <c r="F1" s="21"/>
      <c r="G1" s="21"/>
      <c r="H1" s="21"/>
    </row>
    <row r="2" spans="1:14" ht="21" customHeight="1">
      <c r="A2" s="21"/>
      <c r="B2" s="21"/>
      <c r="C2" s="21"/>
      <c r="D2" s="374"/>
      <c r="E2" s="374"/>
      <c r="F2" s="374"/>
      <c r="G2" s="374"/>
      <c r="H2" s="374"/>
      <c r="I2" s="372"/>
      <c r="J2" s="372"/>
      <c r="K2" s="372"/>
      <c r="L2" s="372"/>
      <c r="M2" s="372"/>
      <c r="N2" s="372"/>
    </row>
    <row r="3" spans="1:14">
      <c r="A3" s="312" t="s">
        <v>735</v>
      </c>
    </row>
  </sheetData>
  <phoneticPr fontId="0" type="noConversion"/>
  <hyperlinks>
    <hyperlink ref="A3" r:id="rId1" location="'Directional Movement Indicators'!A1"/>
  </hyperlinks>
  <pageMargins left="0.75" right="0.75" top="1" bottom="1" header="0.5" footer="0.5"/>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105474" r:id="rId5"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05475" r:id="rId6"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05476" r:id="rId7"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N81"/>
  <sheetViews>
    <sheetView workbookViewId="0"/>
  </sheetViews>
  <sheetFormatPr baseColWidth="10" defaultColWidth="8.83203125" defaultRowHeight="12" x14ac:dyDescent="0"/>
  <cols>
    <col min="1" max="1" width="10" customWidth="1"/>
    <col min="2" max="3" width="11.33203125" customWidth="1"/>
    <col min="4" max="4" width="12.5" customWidth="1"/>
    <col min="5" max="5" width="12.1640625" customWidth="1"/>
    <col min="6" max="6" width="12.83203125" customWidth="1"/>
    <col min="7" max="7" width="12.33203125" customWidth="1"/>
    <col min="8" max="8" width="13.6640625" customWidth="1"/>
    <col min="9" max="9" width="14.5" customWidth="1"/>
    <col min="10" max="12" width="16.1640625" customWidth="1"/>
    <col min="13" max="13" width="11.1640625" customWidth="1"/>
  </cols>
  <sheetData>
    <row r="1" spans="1:14">
      <c r="A1" s="21"/>
      <c r="B1" s="21"/>
      <c r="C1" s="21" t="s">
        <v>846</v>
      </c>
      <c r="D1" s="21"/>
      <c r="E1" s="21"/>
      <c r="F1" s="21"/>
      <c r="G1" s="21"/>
      <c r="H1" s="21"/>
      <c r="I1" s="21"/>
      <c r="J1" s="21"/>
      <c r="K1" s="21"/>
      <c r="L1" s="21"/>
      <c r="M1" s="21"/>
    </row>
    <row r="2" spans="1:14" ht="21" customHeight="1">
      <c r="A2" s="21"/>
      <c r="B2" s="21"/>
      <c r="C2" s="21"/>
      <c r="D2" s="374"/>
      <c r="E2" s="374"/>
      <c r="F2" s="374"/>
      <c r="G2" s="374"/>
      <c r="H2" s="374"/>
      <c r="I2" s="374"/>
      <c r="J2" s="374"/>
      <c r="K2" s="374"/>
      <c r="L2" s="374"/>
      <c r="M2" s="374"/>
      <c r="N2" s="372"/>
    </row>
    <row r="3" spans="1:14">
      <c r="A3" s="19" t="s">
        <v>1045</v>
      </c>
      <c r="B3" s="20" t="s">
        <v>771</v>
      </c>
      <c r="C3" s="20"/>
      <c r="D3" s="21"/>
      <c r="E3" s="21"/>
      <c r="F3" s="21"/>
      <c r="G3" s="21"/>
      <c r="H3" s="21"/>
      <c r="I3" s="21"/>
      <c r="J3" s="21"/>
      <c r="K3" s="21"/>
      <c r="L3" s="21"/>
      <c r="M3" s="21"/>
    </row>
    <row r="4" spans="1:14">
      <c r="A4" s="19" t="s">
        <v>774</v>
      </c>
      <c r="B4" s="20" t="s">
        <v>118</v>
      </c>
      <c r="C4" s="20"/>
      <c r="D4" s="21"/>
      <c r="E4" s="21"/>
      <c r="F4" s="21"/>
      <c r="G4" s="21"/>
      <c r="H4" s="21"/>
      <c r="I4" s="21"/>
      <c r="J4" s="21"/>
      <c r="K4" s="21"/>
      <c r="L4" s="21"/>
      <c r="M4" s="21"/>
    </row>
    <row r="5" spans="1:14" ht="51.75" customHeight="1">
      <c r="A5" s="118" t="s">
        <v>779</v>
      </c>
      <c r="B5" s="20"/>
      <c r="C5" s="20"/>
      <c r="D5" s="21"/>
      <c r="E5" s="21"/>
      <c r="F5" s="21"/>
      <c r="G5" s="21"/>
      <c r="H5" s="21"/>
      <c r="I5" s="21"/>
      <c r="J5" s="21"/>
      <c r="K5" s="21"/>
      <c r="L5" s="21"/>
      <c r="M5" s="21"/>
    </row>
    <row r="6" spans="1:14" ht="53.25" customHeight="1">
      <c r="A6" s="22" t="s">
        <v>1090</v>
      </c>
      <c r="B6" s="31" t="s">
        <v>617</v>
      </c>
      <c r="C6" s="31" t="s">
        <v>622</v>
      </c>
      <c r="D6" s="31" t="s">
        <v>618</v>
      </c>
      <c r="E6" s="31" t="s">
        <v>623</v>
      </c>
      <c r="F6" s="31" t="s">
        <v>619</v>
      </c>
      <c r="G6" s="31" t="s">
        <v>624</v>
      </c>
      <c r="H6" s="31" t="s">
        <v>620</v>
      </c>
      <c r="I6" s="31" t="s">
        <v>625</v>
      </c>
      <c r="J6" s="31" t="s">
        <v>621</v>
      </c>
      <c r="K6" s="31" t="s">
        <v>626</v>
      </c>
      <c r="L6" s="31" t="s">
        <v>771</v>
      </c>
      <c r="M6" s="31" t="s">
        <v>627</v>
      </c>
    </row>
    <row r="7" spans="1:14">
      <c r="A7" s="26">
        <v>35678</v>
      </c>
      <c r="B7" s="52">
        <v>264.55799999999999</v>
      </c>
      <c r="C7" s="52"/>
      <c r="D7" s="52">
        <v>67.712299999999999</v>
      </c>
      <c r="E7" s="52"/>
      <c r="F7" s="52">
        <f>B7*D7</f>
        <v>17913.8306634</v>
      </c>
      <c r="G7" s="52"/>
      <c r="H7" s="52">
        <f>POWER(B7,2)</f>
        <v>69990.93536399999</v>
      </c>
      <c r="I7" s="52"/>
      <c r="J7" s="52">
        <f>POWER(D7,2)</f>
        <v>4584.9555712900001</v>
      </c>
      <c r="K7" s="52"/>
      <c r="L7" s="52"/>
      <c r="M7" s="41"/>
    </row>
    <row r="8" spans="1:14">
      <c r="A8" s="26">
        <v>35681</v>
      </c>
      <c r="B8" s="52">
        <v>263.30200000000002</v>
      </c>
      <c r="C8" s="52"/>
      <c r="D8" s="52">
        <v>67.218599999999995</v>
      </c>
      <c r="E8" s="52"/>
      <c r="F8" s="52">
        <f t="shared" ref="F8:F16" si="0">B8*D8</f>
        <v>17698.791817199999</v>
      </c>
      <c r="G8" s="52"/>
      <c r="H8" s="52">
        <f t="shared" ref="H8:H16" si="1">POWER(B8,2)</f>
        <v>69327.94320400001</v>
      </c>
      <c r="I8" s="52"/>
      <c r="J8" s="52">
        <f t="shared" ref="J8:J16" si="2">POWER(D8,2)</f>
        <v>4518.340185959999</v>
      </c>
      <c r="K8" s="52"/>
      <c r="L8" s="52"/>
      <c r="M8" s="41"/>
    </row>
    <row r="9" spans="1:14">
      <c r="A9" s="27">
        <v>35682</v>
      </c>
      <c r="B9" s="55">
        <v>265.08</v>
      </c>
      <c r="C9" s="55"/>
      <c r="D9" s="55">
        <v>66.124200000000002</v>
      </c>
      <c r="E9" s="55"/>
      <c r="F9" s="55">
        <f t="shared" si="0"/>
        <v>17528.202935999998</v>
      </c>
      <c r="G9" s="55"/>
      <c r="H9" s="55">
        <f t="shared" si="1"/>
        <v>70267.406399999993</v>
      </c>
      <c r="I9" s="55"/>
      <c r="J9" s="55">
        <f t="shared" si="2"/>
        <v>4372.4098256400002</v>
      </c>
      <c r="K9" s="55"/>
      <c r="L9" s="55"/>
      <c r="M9" s="45"/>
    </row>
    <row r="10" spans="1:14">
      <c r="A10" s="27">
        <v>35683</v>
      </c>
      <c r="B10" s="55">
        <v>267.94799999999998</v>
      </c>
      <c r="C10" s="55"/>
      <c r="D10" s="55">
        <v>66.293599999999998</v>
      </c>
      <c r="E10" s="55"/>
      <c r="F10" s="55">
        <f t="shared" si="0"/>
        <v>17763.237532799998</v>
      </c>
      <c r="G10" s="55"/>
      <c r="H10" s="55">
        <f t="shared" si="1"/>
        <v>71796.130703999996</v>
      </c>
      <c r="I10" s="55"/>
      <c r="J10" s="55">
        <f t="shared" si="2"/>
        <v>4394.8414009600001</v>
      </c>
      <c r="K10" s="55"/>
      <c r="L10" s="55"/>
      <c r="M10" s="45"/>
    </row>
    <row r="11" spans="1:14">
      <c r="A11" s="26">
        <v>35684</v>
      </c>
      <c r="B11" s="52">
        <v>272.58800000000002</v>
      </c>
      <c r="C11" s="52"/>
      <c r="D11" s="52">
        <v>66.855099999999993</v>
      </c>
      <c r="E11" s="52"/>
      <c r="F11" s="52">
        <f t="shared" si="0"/>
        <v>18223.897998799999</v>
      </c>
      <c r="G11" s="52"/>
      <c r="H11" s="52">
        <f t="shared" si="1"/>
        <v>74304.217744000009</v>
      </c>
      <c r="I11" s="52"/>
      <c r="J11" s="52">
        <f t="shared" si="2"/>
        <v>4469.6043960099987</v>
      </c>
      <c r="K11" s="52"/>
      <c r="L11" s="52"/>
      <c r="M11" s="41"/>
    </row>
    <row r="12" spans="1:14">
      <c r="A12" s="26">
        <v>35685</v>
      </c>
      <c r="B12" s="52">
        <v>264.404</v>
      </c>
      <c r="C12" s="52"/>
      <c r="D12" s="52">
        <v>67.174999999999997</v>
      </c>
      <c r="E12" s="52"/>
      <c r="F12" s="52">
        <f t="shared" si="0"/>
        <v>17761.3387</v>
      </c>
      <c r="G12" s="52"/>
      <c r="H12" s="52">
        <f t="shared" si="1"/>
        <v>69909.475215999992</v>
      </c>
      <c r="I12" s="52"/>
      <c r="J12" s="52">
        <f t="shared" si="2"/>
        <v>4512.4806249999992</v>
      </c>
      <c r="K12" s="52"/>
      <c r="L12" s="52"/>
      <c r="M12" s="41"/>
    </row>
    <row r="13" spans="1:14">
      <c r="A13" s="27">
        <v>35688</v>
      </c>
      <c r="B13" s="55">
        <v>265.80500000000001</v>
      </c>
      <c r="C13" s="55"/>
      <c r="D13" s="55">
        <v>67.014300000000006</v>
      </c>
      <c r="E13" s="55"/>
      <c r="F13" s="55">
        <f t="shared" si="0"/>
        <v>17812.736011500001</v>
      </c>
      <c r="G13" s="55"/>
      <c r="H13" s="55">
        <f t="shared" si="1"/>
        <v>70652.298024999996</v>
      </c>
      <c r="I13" s="55"/>
      <c r="J13" s="55">
        <f t="shared" si="2"/>
        <v>4490.9164044900008</v>
      </c>
      <c r="K13" s="55"/>
      <c r="L13" s="55"/>
      <c r="M13" s="45"/>
    </row>
    <row r="14" spans="1:14">
      <c r="A14" s="27">
        <v>35689</v>
      </c>
      <c r="B14" s="55">
        <v>263.47500000000002</v>
      </c>
      <c r="C14" s="55"/>
      <c r="D14" s="55">
        <v>67.462699999999998</v>
      </c>
      <c r="E14" s="55"/>
      <c r="F14" s="55">
        <f t="shared" si="0"/>
        <v>17774.734882500001</v>
      </c>
      <c r="G14" s="55"/>
      <c r="H14" s="55">
        <f t="shared" si="1"/>
        <v>69419.075625000012</v>
      </c>
      <c r="I14" s="55"/>
      <c r="J14" s="55">
        <f t="shared" si="2"/>
        <v>4551.2158912899995</v>
      </c>
      <c r="K14" s="55"/>
      <c r="L14" s="55"/>
      <c r="M14" s="45"/>
    </row>
    <row r="15" spans="1:14">
      <c r="A15" s="26">
        <v>35690</v>
      </c>
      <c r="B15" s="52">
        <v>263.745</v>
      </c>
      <c r="C15" s="52"/>
      <c r="D15" s="52">
        <v>67.109899999999996</v>
      </c>
      <c r="E15" s="52"/>
      <c r="F15" s="52">
        <f t="shared" si="0"/>
        <v>17699.9005755</v>
      </c>
      <c r="G15" s="52"/>
      <c r="H15" s="52">
        <f t="shared" si="1"/>
        <v>69561.425025000004</v>
      </c>
      <c r="I15" s="52"/>
      <c r="J15" s="52">
        <f t="shared" si="2"/>
        <v>4503.7386780099996</v>
      </c>
      <c r="K15" s="52"/>
      <c r="L15" s="52"/>
      <c r="M15" s="41"/>
    </row>
    <row r="16" spans="1:14">
      <c r="A16" s="26">
        <v>35691</v>
      </c>
      <c r="B16" s="52">
        <v>264.505</v>
      </c>
      <c r="C16" s="52">
        <f>SUM(B7:B16)</f>
        <v>2655.41</v>
      </c>
      <c r="D16" s="52">
        <v>66.932100000000005</v>
      </c>
      <c r="E16" s="52">
        <f>SUM(D7:D16)</f>
        <v>669.89780000000007</v>
      </c>
      <c r="F16" s="52">
        <f t="shared" si="0"/>
        <v>17703.875110500001</v>
      </c>
      <c r="G16" s="52">
        <f>SUM(F7:F16)</f>
        <v>177880.54622819999</v>
      </c>
      <c r="H16" s="52">
        <f t="shared" si="1"/>
        <v>69962.895024999991</v>
      </c>
      <c r="I16" s="52">
        <f>SUM(H7:H16)</f>
        <v>705191.80233199999</v>
      </c>
      <c r="J16" s="52">
        <f t="shared" si="2"/>
        <v>4479.9060104100008</v>
      </c>
      <c r="K16" s="52">
        <f>SUM(J7:J16)</f>
        <v>44878.408989059993</v>
      </c>
      <c r="L16" s="52">
        <f>((10*G16)-(C16*E16))/SQRT((10*I16 - POWER(C16,2))*(10*K16-POWER(E16,2)))</f>
        <v>-0.3900768061169867</v>
      </c>
      <c r="M16" s="52">
        <f t="shared" ref="M16:M61" si="3">CORREL(D7:D16,B7:B16)</f>
        <v>-0.39007680611412071</v>
      </c>
    </row>
    <row r="17" spans="1:13">
      <c r="A17" s="27">
        <v>35692</v>
      </c>
      <c r="B17" s="55">
        <v>261.75</v>
      </c>
      <c r="C17" s="55">
        <f t="shared" ref="C17:C61" si="4">SUM(B8:B17)</f>
        <v>2652.6020000000003</v>
      </c>
      <c r="D17" s="55">
        <v>65.922200000000004</v>
      </c>
      <c r="E17" s="55">
        <f t="shared" ref="E17:E61" si="5">SUM(D8:D17)</f>
        <v>668.10769999999991</v>
      </c>
      <c r="F17" s="55">
        <f t="shared" ref="F17:F61" si="6">B17*D17</f>
        <v>17255.135850000002</v>
      </c>
      <c r="G17" s="55">
        <f t="shared" ref="G17:G61" si="7">SUM(F8:F17)</f>
        <v>177221.85141479998</v>
      </c>
      <c r="H17" s="55">
        <f t="shared" ref="H17:H61" si="8">POWER(B17,2)</f>
        <v>68513.0625</v>
      </c>
      <c r="I17" s="55">
        <f t="shared" ref="I17:I61" si="9">SUM(H8:H17)</f>
        <v>703713.92946800007</v>
      </c>
      <c r="J17" s="55">
        <f t="shared" ref="J17:J61" si="10">POWER(D17,2)</f>
        <v>4345.7364528400003</v>
      </c>
      <c r="K17" s="55">
        <f t="shared" ref="K17:K61" si="11">SUM(J8:J17)</f>
        <v>44639.189870609996</v>
      </c>
      <c r="L17" s="55">
        <f t="shared" ref="L17:L61" si="12">((10*G17)-(C17*E17))/SQRT((10*I17 - POWER(C17,2))*(10*K17-POWER(E17,2)))</f>
        <v>-3.7334896022037128E-2</v>
      </c>
      <c r="M17" s="55">
        <f t="shared" si="3"/>
        <v>-3.7334896020465039E-2</v>
      </c>
    </row>
    <row r="18" spans="1:13">
      <c r="A18" s="27">
        <v>35695</v>
      </c>
      <c r="B18" s="55">
        <v>262.53800000000001</v>
      </c>
      <c r="C18" s="55">
        <f t="shared" si="4"/>
        <v>2651.8380000000002</v>
      </c>
      <c r="D18" s="55">
        <v>65.800399999999996</v>
      </c>
      <c r="E18" s="55">
        <f t="shared" si="5"/>
        <v>666.68949999999995</v>
      </c>
      <c r="F18" s="55">
        <f t="shared" si="6"/>
        <v>17275.1054152</v>
      </c>
      <c r="G18" s="55">
        <f t="shared" si="7"/>
        <v>176798.16501279999</v>
      </c>
      <c r="H18" s="55">
        <f t="shared" si="8"/>
        <v>68926.201444000006</v>
      </c>
      <c r="I18" s="55">
        <f t="shared" si="9"/>
        <v>703312.18770800007</v>
      </c>
      <c r="J18" s="55">
        <f t="shared" si="10"/>
        <v>4329.6926401599994</v>
      </c>
      <c r="K18" s="55">
        <f t="shared" si="11"/>
        <v>44450.542324809998</v>
      </c>
      <c r="L18" s="55">
        <f t="shared" si="12"/>
        <v>0.17781788579103885</v>
      </c>
      <c r="M18" s="55">
        <f t="shared" si="3"/>
        <v>0.17781788579150254</v>
      </c>
    </row>
    <row r="19" spans="1:13">
      <c r="A19" s="26">
        <v>35696</v>
      </c>
      <c r="B19" s="52">
        <v>262.63499999999999</v>
      </c>
      <c r="C19" s="52">
        <f t="shared" si="4"/>
        <v>2649.393</v>
      </c>
      <c r="D19" s="52">
        <v>65.642899999999997</v>
      </c>
      <c r="E19" s="52">
        <f t="shared" si="5"/>
        <v>666.20819999999981</v>
      </c>
      <c r="F19" s="52">
        <f t="shared" si="6"/>
        <v>17240.123041499999</v>
      </c>
      <c r="G19" s="52">
        <f t="shared" si="7"/>
        <v>176510.08511829999</v>
      </c>
      <c r="H19" s="52">
        <f t="shared" si="8"/>
        <v>68977.143224999993</v>
      </c>
      <c r="I19" s="52">
        <f t="shared" si="9"/>
        <v>702021.92453299998</v>
      </c>
      <c r="J19" s="52">
        <f t="shared" si="10"/>
        <v>4308.9903204100001</v>
      </c>
      <c r="K19" s="52">
        <f t="shared" si="11"/>
        <v>44387.122819579992</v>
      </c>
      <c r="L19" s="52">
        <f t="shared" si="12"/>
        <v>0.28424607348114078</v>
      </c>
      <c r="M19" s="52">
        <f t="shared" si="3"/>
        <v>0.28424607347859288</v>
      </c>
    </row>
    <row r="20" spans="1:13">
      <c r="A20" s="26">
        <v>35697</v>
      </c>
      <c r="B20" s="52">
        <v>261.495</v>
      </c>
      <c r="C20" s="52">
        <f t="shared" si="4"/>
        <v>2642.9399999999996</v>
      </c>
      <c r="D20" s="52">
        <v>65.519000000000005</v>
      </c>
      <c r="E20" s="52">
        <f t="shared" si="5"/>
        <v>665.43359999999984</v>
      </c>
      <c r="F20" s="52">
        <f t="shared" si="6"/>
        <v>17132.890905</v>
      </c>
      <c r="G20" s="52">
        <f t="shared" si="7"/>
        <v>175879.73849049999</v>
      </c>
      <c r="H20" s="52">
        <f t="shared" si="8"/>
        <v>68379.635024999996</v>
      </c>
      <c r="I20" s="52">
        <f t="shared" si="9"/>
        <v>698605.42885400006</v>
      </c>
      <c r="J20" s="52">
        <f t="shared" si="10"/>
        <v>4292.7393610000008</v>
      </c>
      <c r="K20" s="52">
        <f t="shared" si="11"/>
        <v>44285.02077961999</v>
      </c>
      <c r="L20" s="52">
        <f t="shared" si="12"/>
        <v>0.45610752436116231</v>
      </c>
      <c r="M20" s="52">
        <f t="shared" si="3"/>
        <v>0.4561075243597027</v>
      </c>
    </row>
    <row r="21" spans="1:13">
      <c r="A21" s="27">
        <v>35698</v>
      </c>
      <c r="B21" s="55">
        <v>260.06</v>
      </c>
      <c r="C21" s="55">
        <f t="shared" si="4"/>
        <v>2630.4119999999998</v>
      </c>
      <c r="D21" s="55">
        <v>65.379000000000005</v>
      </c>
      <c r="E21" s="55">
        <f t="shared" si="5"/>
        <v>663.95749999999987</v>
      </c>
      <c r="F21" s="55">
        <f t="shared" si="6"/>
        <v>17002.462740000003</v>
      </c>
      <c r="G21" s="55">
        <f t="shared" si="7"/>
        <v>174658.30323170003</v>
      </c>
      <c r="H21" s="55">
        <f t="shared" si="8"/>
        <v>67631.203600000008</v>
      </c>
      <c r="I21" s="55">
        <f t="shared" si="9"/>
        <v>691932.41470999992</v>
      </c>
      <c r="J21" s="55">
        <f t="shared" si="10"/>
        <v>4274.413641000001</v>
      </c>
      <c r="K21" s="55">
        <f t="shared" si="11"/>
        <v>44089.830024609997</v>
      </c>
      <c r="L21" s="55">
        <f t="shared" si="12"/>
        <v>0.82436037235606185</v>
      </c>
      <c r="M21" s="55">
        <f t="shared" si="3"/>
        <v>0.82436037234979309</v>
      </c>
    </row>
    <row r="22" spans="1:13">
      <c r="A22" s="27">
        <v>35699</v>
      </c>
      <c r="B22" s="55">
        <v>258.173</v>
      </c>
      <c r="C22" s="55">
        <f t="shared" si="4"/>
        <v>2624.1809999999996</v>
      </c>
      <c r="D22" s="55">
        <v>65.216700000000003</v>
      </c>
      <c r="E22" s="55">
        <f t="shared" si="5"/>
        <v>661.99919999999997</v>
      </c>
      <c r="F22" s="55">
        <f t="shared" si="6"/>
        <v>16837.191089100001</v>
      </c>
      <c r="G22" s="55">
        <f t="shared" si="7"/>
        <v>173734.15562080001</v>
      </c>
      <c r="H22" s="55">
        <f t="shared" si="8"/>
        <v>66653.297929000008</v>
      </c>
      <c r="I22" s="55">
        <f t="shared" si="9"/>
        <v>688676.23742300004</v>
      </c>
      <c r="J22" s="55">
        <f t="shared" si="10"/>
        <v>4253.2179588900008</v>
      </c>
      <c r="K22" s="55">
        <f t="shared" si="11"/>
        <v>43830.567358500004</v>
      </c>
      <c r="L22" s="55">
        <f t="shared" si="12"/>
        <v>0.82090103506446588</v>
      </c>
      <c r="M22" s="55">
        <f t="shared" si="3"/>
        <v>0.82090103506523127</v>
      </c>
    </row>
    <row r="23" spans="1:13">
      <c r="A23" s="26">
        <v>35702</v>
      </c>
      <c r="B23" s="52">
        <v>259.71199999999999</v>
      </c>
      <c r="C23" s="52">
        <f t="shared" si="4"/>
        <v>2618.0880000000002</v>
      </c>
      <c r="D23" s="52">
        <v>65.175399999999996</v>
      </c>
      <c r="E23" s="52">
        <f t="shared" si="5"/>
        <v>660.16029999999989</v>
      </c>
      <c r="F23" s="52">
        <f t="shared" si="6"/>
        <v>16926.833484799998</v>
      </c>
      <c r="G23" s="52">
        <f t="shared" si="7"/>
        <v>172848.25309410002</v>
      </c>
      <c r="H23" s="52">
        <f t="shared" si="8"/>
        <v>67450.322944</v>
      </c>
      <c r="I23" s="52">
        <f t="shared" si="9"/>
        <v>685474.26234200003</v>
      </c>
      <c r="J23" s="52">
        <f t="shared" si="10"/>
        <v>4247.8327651599993</v>
      </c>
      <c r="K23" s="52">
        <f t="shared" si="11"/>
        <v>43587.483719170006</v>
      </c>
      <c r="L23" s="52">
        <f t="shared" si="12"/>
        <v>0.82957239972629593</v>
      </c>
      <c r="M23" s="52">
        <f t="shared" si="3"/>
        <v>0.82957239972301999</v>
      </c>
    </row>
    <row r="24" spans="1:13">
      <c r="A24" s="26">
        <v>35703</v>
      </c>
      <c r="B24" s="52">
        <v>258.83800000000002</v>
      </c>
      <c r="C24" s="52">
        <f t="shared" si="4"/>
        <v>2613.451</v>
      </c>
      <c r="D24" s="52">
        <v>63.160699999999999</v>
      </c>
      <c r="E24" s="52">
        <f t="shared" si="5"/>
        <v>655.85829999999999</v>
      </c>
      <c r="F24" s="52">
        <f t="shared" si="6"/>
        <v>16348.389266600001</v>
      </c>
      <c r="G24" s="52">
        <f t="shared" si="7"/>
        <v>171421.90747820001</v>
      </c>
      <c r="H24" s="52">
        <f t="shared" si="8"/>
        <v>66997.11024400001</v>
      </c>
      <c r="I24" s="52">
        <f t="shared" si="9"/>
        <v>683052.29696099996</v>
      </c>
      <c r="J24" s="52">
        <f t="shared" si="10"/>
        <v>3989.2740244899996</v>
      </c>
      <c r="K24" s="52">
        <f t="shared" si="11"/>
        <v>43025.541852369999</v>
      </c>
      <c r="L24" s="52">
        <f t="shared" si="12"/>
        <v>0.80979530519898302</v>
      </c>
      <c r="M24" s="52">
        <f t="shared" si="3"/>
        <v>0.80979530519735332</v>
      </c>
    </row>
    <row r="25" spans="1:13">
      <c r="A25" s="27">
        <v>35704</v>
      </c>
      <c r="B25" s="55">
        <v>257.43700000000001</v>
      </c>
      <c r="C25" s="55">
        <f t="shared" si="4"/>
        <v>2607.1429999999996</v>
      </c>
      <c r="D25" s="55">
        <v>63.001199999999997</v>
      </c>
      <c r="E25" s="55">
        <f t="shared" si="5"/>
        <v>651.7496000000001</v>
      </c>
      <c r="F25" s="55">
        <f t="shared" si="6"/>
        <v>16218.839924399999</v>
      </c>
      <c r="G25" s="55">
        <f t="shared" si="7"/>
        <v>169940.8468271</v>
      </c>
      <c r="H25" s="55">
        <f t="shared" si="8"/>
        <v>66273.808969000005</v>
      </c>
      <c r="I25" s="55">
        <f t="shared" si="9"/>
        <v>679764.68090499996</v>
      </c>
      <c r="J25" s="55">
        <f t="shared" si="10"/>
        <v>3969.1512014399996</v>
      </c>
      <c r="K25" s="55">
        <f t="shared" si="11"/>
        <v>42490.9543758</v>
      </c>
      <c r="L25" s="55">
        <f t="shared" si="12"/>
        <v>0.83523669999821881</v>
      </c>
      <c r="M25" s="55">
        <f t="shared" si="3"/>
        <v>0.83523669999961003</v>
      </c>
    </row>
    <row r="26" spans="1:13">
      <c r="A26" s="27">
        <v>35705</v>
      </c>
      <c r="B26" s="55">
        <v>258.464</v>
      </c>
      <c r="C26" s="55">
        <f t="shared" si="4"/>
        <v>2601.1019999999999</v>
      </c>
      <c r="D26" s="55">
        <v>63.244799999999998</v>
      </c>
      <c r="E26" s="55">
        <f t="shared" si="5"/>
        <v>648.06230000000005</v>
      </c>
      <c r="F26" s="55">
        <f t="shared" si="6"/>
        <v>16346.5039872</v>
      </c>
      <c r="G26" s="55">
        <f t="shared" si="7"/>
        <v>168583.47570380001</v>
      </c>
      <c r="H26" s="55">
        <f t="shared" si="8"/>
        <v>66803.639295999994</v>
      </c>
      <c r="I26" s="55">
        <f t="shared" si="9"/>
        <v>676605.42517599999</v>
      </c>
      <c r="J26" s="55">
        <f t="shared" si="10"/>
        <v>3999.9047270399997</v>
      </c>
      <c r="K26" s="55">
        <f t="shared" si="11"/>
        <v>42010.953092429998</v>
      </c>
      <c r="L26" s="55">
        <f t="shared" si="12"/>
        <v>0.7904900566210723</v>
      </c>
      <c r="M26" s="55">
        <f t="shared" si="3"/>
        <v>0.79049005662148697</v>
      </c>
    </row>
    <row r="27" spans="1:13">
      <c r="A27" s="26">
        <v>35706</v>
      </c>
      <c r="B27" s="52">
        <v>266.096</v>
      </c>
      <c r="C27" s="52">
        <f t="shared" si="4"/>
        <v>2605.4479999999999</v>
      </c>
      <c r="D27" s="52">
        <v>63.183300000000003</v>
      </c>
      <c r="E27" s="52">
        <f t="shared" si="5"/>
        <v>645.32340000000011</v>
      </c>
      <c r="F27" s="52">
        <f t="shared" si="6"/>
        <v>16812.823396800002</v>
      </c>
      <c r="G27" s="52">
        <f t="shared" si="7"/>
        <v>168141.16325060002</v>
      </c>
      <c r="H27" s="52">
        <f t="shared" si="8"/>
        <v>70807.081216000006</v>
      </c>
      <c r="I27" s="52">
        <f t="shared" si="9"/>
        <v>678899.44389200001</v>
      </c>
      <c r="J27" s="52">
        <f t="shared" si="10"/>
        <v>3992.1293988900002</v>
      </c>
      <c r="K27" s="52">
        <f t="shared" si="11"/>
        <v>41657.346038479998</v>
      </c>
      <c r="L27" s="52">
        <f t="shared" si="12"/>
        <v>0.19079285389917572</v>
      </c>
      <c r="M27" s="52">
        <f t="shared" si="3"/>
        <v>0.1907928538995515</v>
      </c>
    </row>
    <row r="28" spans="1:13">
      <c r="A28" s="26">
        <v>35709</v>
      </c>
      <c r="B28" s="52">
        <v>269.38499999999999</v>
      </c>
      <c r="C28" s="52">
        <f t="shared" si="4"/>
        <v>2612.2950000000001</v>
      </c>
      <c r="D28" s="52">
        <v>62.866700000000002</v>
      </c>
      <c r="E28" s="52">
        <f t="shared" si="5"/>
        <v>642.38970000000006</v>
      </c>
      <c r="F28" s="52">
        <f t="shared" si="6"/>
        <v>16935.345979499998</v>
      </c>
      <c r="G28" s="52">
        <f t="shared" si="7"/>
        <v>167801.4038149</v>
      </c>
      <c r="H28" s="52">
        <f t="shared" si="8"/>
        <v>72568.278225000002</v>
      </c>
      <c r="I28" s="52">
        <f t="shared" si="9"/>
        <v>682541.52067300002</v>
      </c>
      <c r="J28" s="52">
        <f t="shared" si="10"/>
        <v>3952.2219688900004</v>
      </c>
      <c r="K28" s="52">
        <f t="shared" si="11"/>
        <v>41279.875367209999</v>
      </c>
      <c r="L28" s="52">
        <f t="shared" si="12"/>
        <v>-0.230431921056345</v>
      </c>
      <c r="M28" s="52">
        <f t="shared" si="3"/>
        <v>-0.23043192105574437</v>
      </c>
    </row>
    <row r="29" spans="1:13">
      <c r="A29" s="27">
        <v>35710</v>
      </c>
      <c r="B29" s="55">
        <v>281.48099999999999</v>
      </c>
      <c r="C29" s="55">
        <f t="shared" si="4"/>
        <v>2631.1409999999996</v>
      </c>
      <c r="D29" s="55">
        <v>62.606299999999997</v>
      </c>
      <c r="E29" s="55">
        <f t="shared" si="5"/>
        <v>639.35310000000015</v>
      </c>
      <c r="F29" s="55">
        <f t="shared" si="6"/>
        <v>17622.483930299997</v>
      </c>
      <c r="G29" s="55">
        <f t="shared" si="7"/>
        <v>168183.76470370003</v>
      </c>
      <c r="H29" s="55">
        <f t="shared" si="8"/>
        <v>79231.553360999998</v>
      </c>
      <c r="I29" s="55">
        <f t="shared" si="9"/>
        <v>692795.93080900016</v>
      </c>
      <c r="J29" s="55">
        <f t="shared" si="10"/>
        <v>3919.5487996899997</v>
      </c>
      <c r="K29" s="55">
        <f t="shared" si="11"/>
        <v>40890.433846489999</v>
      </c>
      <c r="L29" s="55">
        <f t="shared" si="12"/>
        <v>-0.4780831121946621</v>
      </c>
      <c r="M29" s="55">
        <f t="shared" si="3"/>
        <v>-0.47808311219470434</v>
      </c>
    </row>
    <row r="30" spans="1:13">
      <c r="A30" s="27">
        <v>35711</v>
      </c>
      <c r="B30" s="55">
        <v>284.577</v>
      </c>
      <c r="C30" s="55">
        <f t="shared" si="4"/>
        <v>2654.223</v>
      </c>
      <c r="D30" s="55">
        <v>61.843699999999998</v>
      </c>
      <c r="E30" s="55">
        <f t="shared" si="5"/>
        <v>635.67779999999993</v>
      </c>
      <c r="F30" s="55">
        <f t="shared" si="6"/>
        <v>17599.294614899998</v>
      </c>
      <c r="G30" s="55">
        <f t="shared" si="7"/>
        <v>168650.16841359998</v>
      </c>
      <c r="H30" s="55">
        <f t="shared" si="8"/>
        <v>80984.068929000001</v>
      </c>
      <c r="I30" s="55">
        <f t="shared" si="9"/>
        <v>705400.36471300013</v>
      </c>
      <c r="J30" s="55">
        <f t="shared" si="10"/>
        <v>3824.6432296899998</v>
      </c>
      <c r="K30" s="55">
        <f t="shared" si="11"/>
        <v>40422.337715180001</v>
      </c>
      <c r="L30" s="55">
        <f t="shared" si="12"/>
        <v>-0.65245156372038449</v>
      </c>
      <c r="M30" s="55">
        <f t="shared" si="3"/>
        <v>-0.65245156372064783</v>
      </c>
    </row>
    <row r="31" spans="1:13">
      <c r="A31" s="26">
        <v>35712</v>
      </c>
      <c r="B31" s="52">
        <v>285.673</v>
      </c>
      <c r="C31" s="52">
        <f t="shared" si="4"/>
        <v>2679.8359999999993</v>
      </c>
      <c r="D31" s="52">
        <v>61.696399999999997</v>
      </c>
      <c r="E31" s="52">
        <f t="shared" si="5"/>
        <v>631.99519999999995</v>
      </c>
      <c r="F31" s="52">
        <f t="shared" si="6"/>
        <v>17624.995677200001</v>
      </c>
      <c r="G31" s="52">
        <f t="shared" si="7"/>
        <v>169272.70135079999</v>
      </c>
      <c r="H31" s="52">
        <f t="shared" si="8"/>
        <v>81609.062929000007</v>
      </c>
      <c r="I31" s="52">
        <f t="shared" si="9"/>
        <v>719378.22404200002</v>
      </c>
      <c r="J31" s="52">
        <f t="shared" si="10"/>
        <v>3806.4457729599994</v>
      </c>
      <c r="K31" s="52">
        <f t="shared" si="11"/>
        <v>39954.369847139998</v>
      </c>
      <c r="L31" s="52">
        <f t="shared" si="12"/>
        <v>-0.73802708721141252</v>
      </c>
      <c r="M31" s="52">
        <f t="shared" si="3"/>
        <v>-0.73802708721205446</v>
      </c>
    </row>
    <row r="32" spans="1:13">
      <c r="A32" s="26">
        <v>35713</v>
      </c>
      <c r="B32" s="52">
        <v>290.26900000000001</v>
      </c>
      <c r="C32" s="52">
        <f t="shared" si="4"/>
        <v>2711.9319999999998</v>
      </c>
      <c r="D32" s="52">
        <v>61.575000000000003</v>
      </c>
      <c r="E32" s="52">
        <f t="shared" si="5"/>
        <v>628.35350000000005</v>
      </c>
      <c r="F32" s="52">
        <f t="shared" si="6"/>
        <v>17873.313675000001</v>
      </c>
      <c r="G32" s="52">
        <f t="shared" si="7"/>
        <v>170308.82393670001</v>
      </c>
      <c r="H32" s="52">
        <f t="shared" si="8"/>
        <v>84256.092361000003</v>
      </c>
      <c r="I32" s="52">
        <f t="shared" si="9"/>
        <v>736981.01847400016</v>
      </c>
      <c r="J32" s="52">
        <f t="shared" si="10"/>
        <v>3791.4806250000001</v>
      </c>
      <c r="K32" s="52">
        <f t="shared" si="11"/>
        <v>39492.632513249991</v>
      </c>
      <c r="L32" s="52">
        <f t="shared" si="12"/>
        <v>-0.78789179064655257</v>
      </c>
      <c r="M32" s="52">
        <f t="shared" si="3"/>
        <v>-0.7878917906460684</v>
      </c>
    </row>
    <row r="33" spans="1:13">
      <c r="A33" s="27">
        <v>35716</v>
      </c>
      <c r="B33" s="55">
        <v>293.37400000000002</v>
      </c>
      <c r="C33" s="55">
        <f t="shared" si="4"/>
        <v>2745.5940000000001</v>
      </c>
      <c r="D33" s="55">
        <v>62.089300000000001</v>
      </c>
      <c r="E33" s="55">
        <f t="shared" si="5"/>
        <v>625.26739999999995</v>
      </c>
      <c r="F33" s="55">
        <f t="shared" si="6"/>
        <v>18215.386298200003</v>
      </c>
      <c r="G33" s="55">
        <f t="shared" si="7"/>
        <v>171597.3767501</v>
      </c>
      <c r="H33" s="55">
        <f t="shared" si="8"/>
        <v>86068.30387600002</v>
      </c>
      <c r="I33" s="55">
        <f t="shared" si="9"/>
        <v>755598.99940600002</v>
      </c>
      <c r="J33" s="55">
        <f t="shared" si="10"/>
        <v>3855.0811744900002</v>
      </c>
      <c r="K33" s="55">
        <f t="shared" si="11"/>
        <v>39099.880922579992</v>
      </c>
      <c r="L33" s="55">
        <f t="shared" si="12"/>
        <v>-0.90497360901254742</v>
      </c>
      <c r="M33" s="55">
        <f t="shared" si="3"/>
        <v>-0.9049736090123004</v>
      </c>
    </row>
    <row r="34" spans="1:13">
      <c r="A34" s="27">
        <v>35717</v>
      </c>
      <c r="B34" s="55">
        <v>288.154</v>
      </c>
      <c r="C34" s="55">
        <f t="shared" si="4"/>
        <v>2774.9100000000003</v>
      </c>
      <c r="D34" s="55">
        <v>62.497199999999999</v>
      </c>
      <c r="E34" s="55">
        <f t="shared" si="5"/>
        <v>624.60390000000007</v>
      </c>
      <c r="F34" s="55">
        <f t="shared" si="6"/>
        <v>18008.8181688</v>
      </c>
      <c r="G34" s="55">
        <f t="shared" si="7"/>
        <v>173257.80565230001</v>
      </c>
      <c r="H34" s="55">
        <f t="shared" si="8"/>
        <v>83032.727715999994</v>
      </c>
      <c r="I34" s="55">
        <f t="shared" si="9"/>
        <v>771634.61687800009</v>
      </c>
      <c r="J34" s="55">
        <f t="shared" si="10"/>
        <v>3905.9000078399999</v>
      </c>
      <c r="K34" s="55">
        <f t="shared" si="11"/>
        <v>39016.50690593</v>
      </c>
      <c r="L34" s="55">
        <f t="shared" si="12"/>
        <v>-0.85100647950168251</v>
      </c>
      <c r="M34" s="55">
        <f t="shared" si="3"/>
        <v>-0.85100647950013497</v>
      </c>
    </row>
    <row r="35" spans="1:13">
      <c r="A35" s="26">
        <v>35718</v>
      </c>
      <c r="B35" s="52">
        <v>292.5</v>
      </c>
      <c r="C35" s="52">
        <f t="shared" si="4"/>
        <v>2809.973</v>
      </c>
      <c r="D35" s="52">
        <v>61.642899999999997</v>
      </c>
      <c r="E35" s="52">
        <f t="shared" si="5"/>
        <v>623.24559999999997</v>
      </c>
      <c r="F35" s="52">
        <f t="shared" si="6"/>
        <v>18030.54825</v>
      </c>
      <c r="G35" s="52">
        <f t="shared" si="7"/>
        <v>175069.5139779</v>
      </c>
      <c r="H35" s="52">
        <f t="shared" si="8"/>
        <v>85556.25</v>
      </c>
      <c r="I35" s="52">
        <f t="shared" si="9"/>
        <v>790917.05790899997</v>
      </c>
      <c r="J35" s="52">
        <f t="shared" si="10"/>
        <v>3799.8471204099997</v>
      </c>
      <c r="K35" s="52">
        <f t="shared" si="11"/>
        <v>38847.2028249</v>
      </c>
      <c r="L35" s="52">
        <f t="shared" si="12"/>
        <v>-0.8700836802351285</v>
      </c>
      <c r="M35" s="52">
        <f t="shared" si="3"/>
        <v>-0.87008368023533289</v>
      </c>
    </row>
    <row r="36" spans="1:13">
      <c r="A36" s="26">
        <v>35719</v>
      </c>
      <c r="B36" s="52">
        <v>289.745</v>
      </c>
      <c r="C36" s="52">
        <f t="shared" si="4"/>
        <v>2841.2539999999999</v>
      </c>
      <c r="D36" s="52">
        <v>61.838099999999997</v>
      </c>
      <c r="E36" s="52">
        <f t="shared" si="5"/>
        <v>621.83889999999997</v>
      </c>
      <c r="F36" s="52">
        <f t="shared" si="6"/>
        <v>17917.280284500001</v>
      </c>
      <c r="G36" s="52">
        <f t="shared" si="7"/>
        <v>176640.29027519998</v>
      </c>
      <c r="H36" s="52">
        <f t="shared" si="8"/>
        <v>83952.165025000009</v>
      </c>
      <c r="I36" s="52">
        <f t="shared" si="9"/>
        <v>808065.58363800007</v>
      </c>
      <c r="J36" s="52">
        <f t="shared" si="10"/>
        <v>3823.9506116099997</v>
      </c>
      <c r="K36" s="52">
        <f t="shared" si="11"/>
        <v>38671.248709469997</v>
      </c>
      <c r="L36" s="52">
        <f t="shared" si="12"/>
        <v>-0.83457412617103222</v>
      </c>
      <c r="M36" s="52">
        <f t="shared" si="3"/>
        <v>-0.83457412617163107</v>
      </c>
    </row>
    <row r="37" spans="1:13">
      <c r="A37" s="27">
        <v>35720</v>
      </c>
      <c r="B37" s="55">
        <v>285</v>
      </c>
      <c r="C37" s="55">
        <f t="shared" si="4"/>
        <v>2860.1579999999999</v>
      </c>
      <c r="D37" s="55">
        <v>60.902799999999999</v>
      </c>
      <c r="E37" s="55">
        <f t="shared" si="5"/>
        <v>619.55840000000001</v>
      </c>
      <c r="F37" s="55">
        <f t="shared" si="6"/>
        <v>17357.297999999999</v>
      </c>
      <c r="G37" s="55">
        <f t="shared" si="7"/>
        <v>177184.76487840002</v>
      </c>
      <c r="H37" s="55">
        <f t="shared" si="8"/>
        <v>81225</v>
      </c>
      <c r="I37" s="55">
        <f t="shared" si="9"/>
        <v>818483.50242200005</v>
      </c>
      <c r="J37" s="55">
        <f t="shared" si="10"/>
        <v>3709.15104784</v>
      </c>
      <c r="K37" s="55">
        <f t="shared" si="11"/>
        <v>38388.270358419999</v>
      </c>
      <c r="L37" s="55">
        <f t="shared" si="12"/>
        <v>-0.5187067379278999</v>
      </c>
      <c r="M37" s="55">
        <f t="shared" si="3"/>
        <v>-0.51870673792853095</v>
      </c>
    </row>
    <row r="38" spans="1:13">
      <c r="A38" s="27">
        <v>35723</v>
      </c>
      <c r="B38" s="55">
        <v>286.15100000000001</v>
      </c>
      <c r="C38" s="55">
        <f t="shared" si="4"/>
        <v>2876.924</v>
      </c>
      <c r="D38" s="55">
        <v>60.451999999999998</v>
      </c>
      <c r="E38" s="55">
        <f t="shared" si="5"/>
        <v>617.14369999999997</v>
      </c>
      <c r="F38" s="55">
        <f t="shared" si="6"/>
        <v>17298.400251999999</v>
      </c>
      <c r="G38" s="55">
        <f t="shared" si="7"/>
        <v>177547.8191509</v>
      </c>
      <c r="H38" s="55">
        <f t="shared" si="8"/>
        <v>81882.394801000002</v>
      </c>
      <c r="I38" s="55">
        <f t="shared" si="9"/>
        <v>827797.61899800005</v>
      </c>
      <c r="J38" s="55">
        <f t="shared" si="10"/>
        <v>3654.4443039999996</v>
      </c>
      <c r="K38" s="55">
        <f t="shared" si="11"/>
        <v>38090.492693529988</v>
      </c>
      <c r="L38" s="55">
        <f t="shared" si="12"/>
        <v>1.1991842980837405E-2</v>
      </c>
      <c r="M38" s="55">
        <f t="shared" si="3"/>
        <v>1.1991842980501391E-2</v>
      </c>
    </row>
    <row r="39" spans="1:13">
      <c r="A39" s="26">
        <v>35724</v>
      </c>
      <c r="B39" s="52">
        <v>290.84100000000001</v>
      </c>
      <c r="C39" s="52">
        <f t="shared" si="4"/>
        <v>2886.2839999999997</v>
      </c>
      <c r="D39" s="52">
        <v>60.732100000000003</v>
      </c>
      <c r="E39" s="52">
        <f t="shared" si="5"/>
        <v>615.26949999999988</v>
      </c>
      <c r="F39" s="52">
        <f t="shared" si="6"/>
        <v>17663.384696100002</v>
      </c>
      <c r="G39" s="52">
        <f t="shared" si="7"/>
        <v>177588.71991669998</v>
      </c>
      <c r="H39" s="52">
        <f t="shared" si="8"/>
        <v>84588.487281000009</v>
      </c>
      <c r="I39" s="52">
        <f t="shared" si="9"/>
        <v>833154.55291800015</v>
      </c>
      <c r="J39" s="52">
        <f t="shared" si="10"/>
        <v>3688.3879704100004</v>
      </c>
      <c r="K39" s="52">
        <f t="shared" si="11"/>
        <v>37859.331864250002</v>
      </c>
      <c r="L39" s="52">
        <f t="shared" si="12"/>
        <v>0.24428995195429173</v>
      </c>
      <c r="M39" s="52">
        <f t="shared" si="3"/>
        <v>0.24428995195419465</v>
      </c>
    </row>
    <row r="40" spans="1:13">
      <c r="A40" s="69">
        <v>35725</v>
      </c>
      <c r="B40" s="52">
        <v>297.286</v>
      </c>
      <c r="C40" s="52">
        <f t="shared" si="4"/>
        <v>2898.9929999999999</v>
      </c>
      <c r="D40" s="52">
        <v>61.019399999999997</v>
      </c>
      <c r="E40" s="52">
        <f t="shared" si="5"/>
        <v>614.4452</v>
      </c>
      <c r="F40" s="52">
        <f t="shared" si="6"/>
        <v>18140.213348400001</v>
      </c>
      <c r="G40" s="52">
        <f t="shared" si="7"/>
        <v>178129.63865019998</v>
      </c>
      <c r="H40" s="52">
        <f t="shared" si="8"/>
        <v>88378.965796000004</v>
      </c>
      <c r="I40" s="52">
        <f t="shared" si="9"/>
        <v>840549.44978500006</v>
      </c>
      <c r="J40" s="52">
        <f t="shared" si="10"/>
        <v>3723.3671763599996</v>
      </c>
      <c r="K40" s="52">
        <f t="shared" si="11"/>
        <v>37758.055810919999</v>
      </c>
      <c r="L40" s="52">
        <f t="shared" si="12"/>
        <v>0.10731664628082803</v>
      </c>
      <c r="M40" s="52">
        <f t="shared" si="3"/>
        <v>0.10731664628152525</v>
      </c>
    </row>
    <row r="41" spans="1:13">
      <c r="A41" s="68">
        <v>35726</v>
      </c>
      <c r="B41" s="55">
        <v>291.54899999999998</v>
      </c>
      <c r="C41" s="55">
        <f t="shared" si="4"/>
        <v>2904.8690000000001</v>
      </c>
      <c r="D41" s="55">
        <v>61.410299999999999</v>
      </c>
      <c r="E41" s="55">
        <f t="shared" si="5"/>
        <v>614.15909999999997</v>
      </c>
      <c r="F41" s="55">
        <f t="shared" si="6"/>
        <v>17904.111554699997</v>
      </c>
      <c r="G41" s="55">
        <f t="shared" si="7"/>
        <v>178408.75452769999</v>
      </c>
      <c r="H41" s="55">
        <f t="shared" si="8"/>
        <v>85000.819400999986</v>
      </c>
      <c r="I41" s="55">
        <f t="shared" si="9"/>
        <v>843941.20625699987</v>
      </c>
      <c r="J41" s="55">
        <f t="shared" si="10"/>
        <v>3771.2249460899998</v>
      </c>
      <c r="K41" s="55">
        <f t="shared" si="11"/>
        <v>37722.834984049994</v>
      </c>
      <c r="L41" s="55">
        <f t="shared" si="12"/>
        <v>0.17388190019165872</v>
      </c>
      <c r="M41" s="55">
        <f t="shared" si="3"/>
        <v>0.1738819001915754</v>
      </c>
    </row>
    <row r="42" spans="1:13">
      <c r="A42" s="68">
        <v>35727</v>
      </c>
      <c r="B42" s="55">
        <v>293.21199999999999</v>
      </c>
      <c r="C42" s="55">
        <f t="shared" si="4"/>
        <v>2907.8120000000004</v>
      </c>
      <c r="D42" s="55">
        <v>62.808300000000003</v>
      </c>
      <c r="E42" s="55">
        <f t="shared" si="5"/>
        <v>615.39240000000007</v>
      </c>
      <c r="F42" s="55">
        <f t="shared" si="6"/>
        <v>18416.147259599999</v>
      </c>
      <c r="G42" s="55">
        <f t="shared" si="7"/>
        <v>178951.5881123</v>
      </c>
      <c r="H42" s="55">
        <f t="shared" si="8"/>
        <v>85973.276943999997</v>
      </c>
      <c r="I42" s="55">
        <f t="shared" si="9"/>
        <v>845658.39084000001</v>
      </c>
      <c r="J42" s="55">
        <f t="shared" si="10"/>
        <v>3944.8825488900002</v>
      </c>
      <c r="K42" s="55">
        <f t="shared" si="11"/>
        <v>37876.236907939994</v>
      </c>
      <c r="L42" s="55">
        <f t="shared" si="12"/>
        <v>0.27391078289445103</v>
      </c>
      <c r="M42" s="55">
        <f t="shared" si="3"/>
        <v>0.2739107828955189</v>
      </c>
    </row>
    <row r="43" spans="1:13">
      <c r="A43" s="69">
        <v>35730</v>
      </c>
      <c r="B43" s="52">
        <v>291.46699999999998</v>
      </c>
      <c r="C43" s="52">
        <f t="shared" si="4"/>
        <v>2905.9050000000002</v>
      </c>
      <c r="D43" s="52">
        <v>62.289299999999997</v>
      </c>
      <c r="E43" s="52">
        <f t="shared" si="5"/>
        <v>615.5924</v>
      </c>
      <c r="F43" s="52">
        <f t="shared" si="6"/>
        <v>18155.275403099997</v>
      </c>
      <c r="G43" s="52">
        <f t="shared" si="7"/>
        <v>178891.47721719998</v>
      </c>
      <c r="H43" s="52">
        <f t="shared" si="8"/>
        <v>84953.012088999996</v>
      </c>
      <c r="I43" s="52">
        <f t="shared" si="9"/>
        <v>844543.09905299998</v>
      </c>
      <c r="J43" s="52">
        <f t="shared" si="10"/>
        <v>3879.9568944899997</v>
      </c>
      <c r="K43" s="52">
        <f t="shared" si="11"/>
        <v>37901.112627939998</v>
      </c>
      <c r="L43" s="52">
        <f t="shared" si="12"/>
        <v>0.24118396424741892</v>
      </c>
      <c r="M43" s="52">
        <f t="shared" si="3"/>
        <v>0.241183964248181</v>
      </c>
    </row>
    <row r="44" spans="1:13">
      <c r="A44" s="69">
        <v>35731</v>
      </c>
      <c r="B44" s="52">
        <v>288.214</v>
      </c>
      <c r="C44" s="52">
        <f t="shared" si="4"/>
        <v>2905.9650000000001</v>
      </c>
      <c r="D44" s="52">
        <v>61.3262</v>
      </c>
      <c r="E44" s="52">
        <f t="shared" si="5"/>
        <v>614.42140000000006</v>
      </c>
      <c r="F44" s="52">
        <f t="shared" si="6"/>
        <v>17675.069406800001</v>
      </c>
      <c r="G44" s="52">
        <f t="shared" si="7"/>
        <v>178557.72845520001</v>
      </c>
      <c r="H44" s="52">
        <f t="shared" si="8"/>
        <v>83067.309796000001</v>
      </c>
      <c r="I44" s="52">
        <f t="shared" si="9"/>
        <v>844577.68113299995</v>
      </c>
      <c r="J44" s="52">
        <f t="shared" si="10"/>
        <v>3760.9028064399999</v>
      </c>
      <c r="K44" s="52">
        <f t="shared" si="11"/>
        <v>37756.115426539996</v>
      </c>
      <c r="L44" s="52">
        <f t="shared" si="12"/>
        <v>0.38691794490104026</v>
      </c>
      <c r="M44" s="52">
        <f t="shared" si="3"/>
        <v>0.38691794490126019</v>
      </c>
    </row>
    <row r="45" spans="1:13">
      <c r="A45" s="68">
        <v>35732</v>
      </c>
      <c r="B45" s="55">
        <v>285.536</v>
      </c>
      <c r="C45" s="55">
        <f t="shared" si="4"/>
        <v>2899.0010000000002</v>
      </c>
      <c r="D45" s="55">
        <v>61.65</v>
      </c>
      <c r="E45" s="55">
        <f t="shared" si="5"/>
        <v>614.42849999999999</v>
      </c>
      <c r="F45" s="55">
        <f t="shared" si="6"/>
        <v>17603.294399999999</v>
      </c>
      <c r="G45" s="55">
        <f t="shared" si="7"/>
        <v>178130.4746052</v>
      </c>
      <c r="H45" s="55">
        <f t="shared" si="8"/>
        <v>81530.807295999999</v>
      </c>
      <c r="I45" s="55">
        <f t="shared" si="9"/>
        <v>840552.2384289999</v>
      </c>
      <c r="J45" s="55">
        <f t="shared" si="10"/>
        <v>3800.7224999999999</v>
      </c>
      <c r="K45" s="55">
        <f t="shared" si="11"/>
        <v>37756.990806129994</v>
      </c>
      <c r="L45" s="55">
        <f t="shared" si="12"/>
        <v>0.30357943274533683</v>
      </c>
      <c r="M45" s="55">
        <f t="shared" si="3"/>
        <v>0.30357943274566462</v>
      </c>
    </row>
    <row r="46" spans="1:13">
      <c r="A46" s="68">
        <v>35733</v>
      </c>
      <c r="B46" s="55">
        <v>283.91800000000001</v>
      </c>
      <c r="C46" s="55">
        <f t="shared" si="4"/>
        <v>2893.174</v>
      </c>
      <c r="D46" s="55">
        <v>62.748800000000003</v>
      </c>
      <c r="E46" s="55">
        <f t="shared" si="5"/>
        <v>615.33919999999989</v>
      </c>
      <c r="F46" s="55">
        <f t="shared" si="6"/>
        <v>17815.513798400003</v>
      </c>
      <c r="G46" s="55">
        <f t="shared" si="7"/>
        <v>178028.70811910002</v>
      </c>
      <c r="H46" s="55">
        <f t="shared" si="8"/>
        <v>80609.430724000005</v>
      </c>
      <c r="I46" s="55">
        <f t="shared" si="9"/>
        <v>837209.50412799988</v>
      </c>
      <c r="J46" s="55">
        <f t="shared" si="10"/>
        <v>3937.4119014400003</v>
      </c>
      <c r="K46" s="55">
        <f t="shared" si="11"/>
        <v>37870.452095959998</v>
      </c>
      <c r="L46" s="55">
        <f t="shared" si="12"/>
        <v>1.1608873825486095E-2</v>
      </c>
      <c r="M46" s="55">
        <f t="shared" si="3"/>
        <v>1.1608873824274378E-2</v>
      </c>
    </row>
    <row r="47" spans="1:13">
      <c r="A47" s="69">
        <v>35734</v>
      </c>
      <c r="B47" s="52">
        <v>284.13499999999999</v>
      </c>
      <c r="C47" s="52">
        <f t="shared" si="4"/>
        <v>2892.3090000000002</v>
      </c>
      <c r="D47" s="52">
        <v>62.147199999999998</v>
      </c>
      <c r="E47" s="52">
        <f t="shared" si="5"/>
        <v>616.58359999999993</v>
      </c>
      <c r="F47" s="52">
        <f t="shared" si="6"/>
        <v>17658.194671999998</v>
      </c>
      <c r="G47" s="52">
        <f t="shared" si="7"/>
        <v>178329.60479110002</v>
      </c>
      <c r="H47" s="52">
        <f t="shared" si="8"/>
        <v>80732.698225</v>
      </c>
      <c r="I47" s="52">
        <f t="shared" si="9"/>
        <v>836717.20235299994</v>
      </c>
      <c r="J47" s="52">
        <f t="shared" si="10"/>
        <v>3862.2744678399999</v>
      </c>
      <c r="K47" s="52">
        <f t="shared" si="11"/>
        <v>38023.575515960001</v>
      </c>
      <c r="L47" s="52">
        <f t="shared" si="12"/>
        <v>-0.16824553591236971</v>
      </c>
      <c r="M47" s="52">
        <f t="shared" si="3"/>
        <v>-0.16824553591294314</v>
      </c>
    </row>
    <row r="48" spans="1:13">
      <c r="A48" s="69">
        <v>35737</v>
      </c>
      <c r="B48" s="52">
        <v>290.07100000000003</v>
      </c>
      <c r="C48" s="52">
        <f t="shared" si="4"/>
        <v>2896.2290000000003</v>
      </c>
      <c r="D48" s="52">
        <v>62.383299999999998</v>
      </c>
      <c r="E48" s="52">
        <f t="shared" si="5"/>
        <v>618.5148999999999</v>
      </c>
      <c r="F48" s="52">
        <f t="shared" si="6"/>
        <v>18095.586214300001</v>
      </c>
      <c r="G48" s="52">
        <f t="shared" si="7"/>
        <v>179126.79075340001</v>
      </c>
      <c r="H48" s="52">
        <f t="shared" si="8"/>
        <v>84141.185041000019</v>
      </c>
      <c r="I48" s="52">
        <f t="shared" si="9"/>
        <v>838975.99259300006</v>
      </c>
      <c r="J48" s="52">
        <f t="shared" si="10"/>
        <v>3891.67611889</v>
      </c>
      <c r="K48" s="52">
        <f t="shared" si="11"/>
        <v>38260.807330849995</v>
      </c>
      <c r="L48" s="52">
        <f t="shared" si="12"/>
        <v>-0.33547547375583381</v>
      </c>
      <c r="M48" s="52">
        <f t="shared" si="3"/>
        <v>-0.33547547375600789</v>
      </c>
    </row>
    <row r="49" spans="1:13">
      <c r="A49" s="68">
        <v>35738</v>
      </c>
      <c r="B49" s="55">
        <v>285.30500000000001</v>
      </c>
      <c r="C49" s="55">
        <f t="shared" si="4"/>
        <v>2890.6929999999998</v>
      </c>
      <c r="D49" s="55">
        <v>62.713900000000002</v>
      </c>
      <c r="E49" s="55">
        <f t="shared" si="5"/>
        <v>620.49669999999992</v>
      </c>
      <c r="F49" s="55">
        <f t="shared" si="6"/>
        <v>17892.589239500001</v>
      </c>
      <c r="G49" s="55">
        <f t="shared" si="7"/>
        <v>179355.99529679999</v>
      </c>
      <c r="H49" s="55">
        <f t="shared" si="8"/>
        <v>81398.943025</v>
      </c>
      <c r="I49" s="55">
        <f t="shared" si="9"/>
        <v>835786.4483370001</v>
      </c>
      <c r="J49" s="55">
        <f t="shared" si="10"/>
        <v>3933.0332532100001</v>
      </c>
      <c r="K49" s="55">
        <f t="shared" si="11"/>
        <v>38505.452613650006</v>
      </c>
      <c r="L49" s="55">
        <f t="shared" si="12"/>
        <v>-0.40620054001319877</v>
      </c>
      <c r="M49" s="55">
        <f t="shared" si="3"/>
        <v>-0.40620054001564893</v>
      </c>
    </row>
    <row r="50" spans="1:13">
      <c r="A50" s="68">
        <v>35739</v>
      </c>
      <c r="B50" s="55">
        <v>283.536</v>
      </c>
      <c r="C50" s="55">
        <f t="shared" si="4"/>
        <v>2876.9430000000002</v>
      </c>
      <c r="D50" s="55">
        <v>62.6571</v>
      </c>
      <c r="E50" s="55">
        <f t="shared" si="5"/>
        <v>622.13440000000003</v>
      </c>
      <c r="F50" s="55">
        <f t="shared" si="6"/>
        <v>17765.543505599999</v>
      </c>
      <c r="G50" s="55">
        <f t="shared" si="7"/>
        <v>178981.32545399998</v>
      </c>
      <c r="H50" s="55">
        <f t="shared" si="8"/>
        <v>80392.663295999999</v>
      </c>
      <c r="I50" s="55">
        <f t="shared" si="9"/>
        <v>827800.14583699999</v>
      </c>
      <c r="J50" s="55">
        <f t="shared" si="10"/>
        <v>3925.91218041</v>
      </c>
      <c r="K50" s="55">
        <f t="shared" si="11"/>
        <v>38707.997617700006</v>
      </c>
      <c r="L50" s="55">
        <f t="shared" si="12"/>
        <v>-0.1719525772536761</v>
      </c>
      <c r="M50" s="55">
        <f t="shared" si="3"/>
        <v>-0.17195257725030436</v>
      </c>
    </row>
    <row r="51" spans="1:13">
      <c r="A51" s="69">
        <v>35740</v>
      </c>
      <c r="B51" s="52">
        <v>288.01100000000002</v>
      </c>
      <c r="C51" s="52">
        <f t="shared" si="4"/>
        <v>2873.4050000000002</v>
      </c>
      <c r="D51" s="52">
        <v>62.486499999999999</v>
      </c>
      <c r="E51" s="52">
        <f t="shared" si="5"/>
        <v>623.2106</v>
      </c>
      <c r="F51" s="52">
        <f t="shared" si="6"/>
        <v>17996.799351500002</v>
      </c>
      <c r="G51" s="52">
        <f t="shared" si="7"/>
        <v>179074.01325079997</v>
      </c>
      <c r="H51" s="52">
        <f t="shared" si="8"/>
        <v>82950.336121000015</v>
      </c>
      <c r="I51" s="52">
        <f t="shared" si="9"/>
        <v>825749.66255700018</v>
      </c>
      <c r="J51" s="52">
        <f t="shared" si="10"/>
        <v>3904.5626822499999</v>
      </c>
      <c r="K51" s="52">
        <f t="shared" si="11"/>
        <v>38841.335353859999</v>
      </c>
      <c r="L51" s="52">
        <f t="shared" si="12"/>
        <v>2.4368963423727179E-2</v>
      </c>
      <c r="M51" s="52">
        <f t="shared" si="3"/>
        <v>2.4368963426991953E-2</v>
      </c>
    </row>
    <row r="52" spans="1:13">
      <c r="A52" s="69">
        <v>35741</v>
      </c>
      <c r="B52" s="52">
        <v>289.25</v>
      </c>
      <c r="C52" s="52">
        <f t="shared" si="4"/>
        <v>2869.4430000000002</v>
      </c>
      <c r="D52" s="52">
        <v>61.797199999999997</v>
      </c>
      <c r="E52" s="52">
        <f t="shared" si="5"/>
        <v>622.19950000000006</v>
      </c>
      <c r="F52" s="52">
        <f t="shared" si="6"/>
        <v>17874.840099999998</v>
      </c>
      <c r="G52" s="52">
        <f t="shared" si="7"/>
        <v>178532.70609119997</v>
      </c>
      <c r="H52" s="52">
        <f t="shared" si="8"/>
        <v>83665.5625</v>
      </c>
      <c r="I52" s="52">
        <f t="shared" si="9"/>
        <v>823441.94811300002</v>
      </c>
      <c r="J52" s="52">
        <f t="shared" si="10"/>
        <v>3818.8939278399994</v>
      </c>
      <c r="K52" s="52">
        <f t="shared" si="11"/>
        <v>38715.346732809994</v>
      </c>
      <c r="L52" s="52">
        <f t="shared" si="12"/>
        <v>-0.31560718267876881</v>
      </c>
      <c r="M52" s="52">
        <f t="shared" si="3"/>
        <v>-0.31560718267316873</v>
      </c>
    </row>
    <row r="53" spans="1:13">
      <c r="A53" s="68">
        <v>35744</v>
      </c>
      <c r="B53" s="55">
        <v>281.464</v>
      </c>
      <c r="C53" s="55">
        <f t="shared" si="4"/>
        <v>2859.44</v>
      </c>
      <c r="D53" s="55">
        <v>61.758699999999997</v>
      </c>
      <c r="E53" s="55">
        <f t="shared" si="5"/>
        <v>621.66890000000001</v>
      </c>
      <c r="F53" s="55">
        <f t="shared" si="6"/>
        <v>17382.850736799999</v>
      </c>
      <c r="G53" s="55">
        <f t="shared" si="7"/>
        <v>177760.28142489999</v>
      </c>
      <c r="H53" s="55">
        <f t="shared" si="8"/>
        <v>79221.983296000006</v>
      </c>
      <c r="I53" s="55">
        <f t="shared" si="9"/>
        <v>817710.9193200001</v>
      </c>
      <c r="J53" s="55">
        <f t="shared" si="10"/>
        <v>3814.1370256899995</v>
      </c>
      <c r="K53" s="55">
        <f t="shared" si="11"/>
        <v>38649.526864009997</v>
      </c>
      <c r="L53" s="55">
        <f t="shared" si="12"/>
        <v>-0.1725513800668593</v>
      </c>
      <c r="M53" s="55">
        <f t="shared" si="3"/>
        <v>-0.17255138006607337</v>
      </c>
    </row>
    <row r="54" spans="1:13">
      <c r="A54" s="68">
        <v>35745</v>
      </c>
      <c r="B54" s="55">
        <v>282.32400000000001</v>
      </c>
      <c r="C54" s="55">
        <f t="shared" si="4"/>
        <v>2853.5499999999997</v>
      </c>
      <c r="D54" s="55">
        <v>61.481000000000002</v>
      </c>
      <c r="E54" s="55">
        <f t="shared" si="5"/>
        <v>621.82369999999992</v>
      </c>
      <c r="F54" s="55">
        <f t="shared" si="6"/>
        <v>17357.561844</v>
      </c>
      <c r="G54" s="55">
        <f t="shared" si="7"/>
        <v>177442.7738621</v>
      </c>
      <c r="H54" s="55">
        <f t="shared" si="8"/>
        <v>79706.840976000007</v>
      </c>
      <c r="I54" s="55">
        <f t="shared" si="9"/>
        <v>814350.45050000004</v>
      </c>
      <c r="J54" s="55">
        <f t="shared" si="10"/>
        <v>3779.9133610000004</v>
      </c>
      <c r="K54" s="55">
        <f t="shared" si="11"/>
        <v>38668.537418569991</v>
      </c>
      <c r="L54" s="55">
        <f t="shared" si="12"/>
        <v>0.18168127879326024</v>
      </c>
      <c r="M54" s="55">
        <f t="shared" si="3"/>
        <v>0.18168127878985746</v>
      </c>
    </row>
    <row r="55" spans="1:13">
      <c r="A55" s="69">
        <v>35746</v>
      </c>
      <c r="B55" s="52">
        <v>280.18400000000003</v>
      </c>
      <c r="C55" s="52">
        <f t="shared" si="4"/>
        <v>2848.1980000000003</v>
      </c>
      <c r="D55" s="52">
        <v>61.857900000000001</v>
      </c>
      <c r="E55" s="52">
        <f t="shared" si="5"/>
        <v>622.03159999999991</v>
      </c>
      <c r="F55" s="52">
        <f t="shared" si="6"/>
        <v>17331.593853600003</v>
      </c>
      <c r="G55" s="52">
        <f t="shared" si="7"/>
        <v>177171.07331570002</v>
      </c>
      <c r="H55" s="52">
        <f t="shared" si="8"/>
        <v>78503.073856000017</v>
      </c>
      <c r="I55" s="52">
        <f t="shared" si="9"/>
        <v>811322.71706000005</v>
      </c>
      <c r="J55" s="52">
        <f t="shared" si="10"/>
        <v>3826.3997924099999</v>
      </c>
      <c r="K55" s="52">
        <f t="shared" si="11"/>
        <v>38694.214710979999</v>
      </c>
      <c r="L55" s="52">
        <f t="shared" si="12"/>
        <v>0.30363353803818388</v>
      </c>
      <c r="M55" s="52">
        <f t="shared" si="3"/>
        <v>0.30363353803674992</v>
      </c>
    </row>
    <row r="56" spans="1:13">
      <c r="A56" s="69">
        <v>35747</v>
      </c>
      <c r="B56" s="52">
        <v>279.14299999999997</v>
      </c>
      <c r="C56" s="52">
        <f t="shared" si="4"/>
        <v>2843.4230000000002</v>
      </c>
      <c r="D56" s="52">
        <v>62.797600000000003</v>
      </c>
      <c r="E56" s="52">
        <f t="shared" si="5"/>
        <v>622.08039999999994</v>
      </c>
      <c r="F56" s="52">
        <f t="shared" si="6"/>
        <v>17529.510456799999</v>
      </c>
      <c r="G56" s="52">
        <f t="shared" si="7"/>
        <v>176885.06997409998</v>
      </c>
      <c r="H56" s="52">
        <f t="shared" si="8"/>
        <v>77920.814448999983</v>
      </c>
      <c r="I56" s="52">
        <f t="shared" si="9"/>
        <v>808634.1007849999</v>
      </c>
      <c r="J56" s="52">
        <f t="shared" si="10"/>
        <v>3943.5385657600004</v>
      </c>
      <c r="K56" s="52">
        <f t="shared" si="11"/>
        <v>38700.341375299999</v>
      </c>
      <c r="L56" s="52">
        <f t="shared" si="12"/>
        <v>8.219466080542534E-2</v>
      </c>
      <c r="M56" s="52">
        <f t="shared" si="3"/>
        <v>8.2194660805791728E-2</v>
      </c>
    </row>
    <row r="57" spans="1:13">
      <c r="A57" s="68">
        <v>35748</v>
      </c>
      <c r="B57" s="55">
        <v>277.846</v>
      </c>
      <c r="C57" s="55">
        <f t="shared" si="4"/>
        <v>2837.134</v>
      </c>
      <c r="D57" s="55">
        <v>62.174999999999997</v>
      </c>
      <c r="E57" s="55">
        <f t="shared" si="5"/>
        <v>622.1081999999999</v>
      </c>
      <c r="F57" s="55">
        <f t="shared" si="6"/>
        <v>17275.075049999999</v>
      </c>
      <c r="G57" s="55">
        <f t="shared" si="7"/>
        <v>176501.95035210002</v>
      </c>
      <c r="H57" s="55">
        <f t="shared" si="8"/>
        <v>77198.399716</v>
      </c>
      <c r="I57" s="55">
        <f t="shared" si="9"/>
        <v>805099.80227599991</v>
      </c>
      <c r="J57" s="55">
        <f t="shared" si="10"/>
        <v>3865.7306249999997</v>
      </c>
      <c r="K57" s="55">
        <f t="shared" si="11"/>
        <v>38703.797532459997</v>
      </c>
      <c r="L57" s="55">
        <f t="shared" si="12"/>
        <v>8.443680421843866E-2</v>
      </c>
      <c r="M57" s="55">
        <f t="shared" si="3"/>
        <v>8.4436804217484951E-2</v>
      </c>
    </row>
    <row r="58" spans="1:13">
      <c r="A58" s="68">
        <v>35751</v>
      </c>
      <c r="B58" s="55">
        <v>283.423</v>
      </c>
      <c r="C58" s="55">
        <f t="shared" si="4"/>
        <v>2830.4859999999999</v>
      </c>
      <c r="D58" s="55">
        <v>62.247999999999998</v>
      </c>
      <c r="E58" s="55">
        <f t="shared" si="5"/>
        <v>621.97289999999998</v>
      </c>
      <c r="F58" s="55">
        <f t="shared" si="6"/>
        <v>17642.514904</v>
      </c>
      <c r="G58" s="55">
        <f t="shared" si="7"/>
        <v>176048.87904180001</v>
      </c>
      <c r="H58" s="55">
        <f t="shared" si="8"/>
        <v>80328.596929000007</v>
      </c>
      <c r="I58" s="55">
        <f t="shared" si="9"/>
        <v>801287.21416399989</v>
      </c>
      <c r="J58" s="55">
        <f t="shared" si="10"/>
        <v>3874.8135039999997</v>
      </c>
      <c r="K58" s="55">
        <f t="shared" si="11"/>
        <v>38686.934917569997</v>
      </c>
      <c r="L58" s="55">
        <f t="shared" si="12"/>
        <v>2.1004751799380269E-2</v>
      </c>
      <c r="M58" s="55">
        <f t="shared" si="3"/>
        <v>2.1004751796526003E-2</v>
      </c>
    </row>
    <row r="59" spans="1:13">
      <c r="A59" s="69">
        <v>35752</v>
      </c>
      <c r="B59" s="52">
        <v>282.84899999999999</v>
      </c>
      <c r="C59" s="52">
        <f t="shared" si="4"/>
        <v>2828.0299999999997</v>
      </c>
      <c r="D59" s="52">
        <v>62.605699999999999</v>
      </c>
      <c r="E59" s="52">
        <f t="shared" si="5"/>
        <v>621.86469999999997</v>
      </c>
      <c r="F59" s="52">
        <f t="shared" si="6"/>
        <v>17707.959639299999</v>
      </c>
      <c r="G59" s="52">
        <f t="shared" si="7"/>
        <v>175864.24944160003</v>
      </c>
      <c r="H59" s="52">
        <f t="shared" si="8"/>
        <v>80003.556800999999</v>
      </c>
      <c r="I59" s="52">
        <f t="shared" si="9"/>
        <v>799891.82793999999</v>
      </c>
      <c r="J59" s="52">
        <f t="shared" si="10"/>
        <v>3919.4736724899999</v>
      </c>
      <c r="K59" s="52">
        <f t="shared" si="11"/>
        <v>38673.375336849997</v>
      </c>
      <c r="L59" s="52">
        <f t="shared" si="12"/>
        <v>-6.5755105063688826E-2</v>
      </c>
      <c r="M59" s="52">
        <f t="shared" si="3"/>
        <v>-6.575510506813137E-2</v>
      </c>
    </row>
    <row r="60" spans="1:13">
      <c r="A60" s="69">
        <v>35753</v>
      </c>
      <c r="B60" s="52">
        <v>280.11799999999999</v>
      </c>
      <c r="C60" s="52">
        <f t="shared" si="4"/>
        <v>2824.6120000000001</v>
      </c>
      <c r="D60" s="52">
        <v>61.940600000000003</v>
      </c>
      <c r="E60" s="52">
        <f t="shared" si="5"/>
        <v>621.14819999999997</v>
      </c>
      <c r="F60" s="52">
        <f t="shared" si="6"/>
        <v>17350.676990800002</v>
      </c>
      <c r="G60" s="52">
        <f t="shared" si="7"/>
        <v>175449.38292680003</v>
      </c>
      <c r="H60" s="52">
        <f t="shared" si="8"/>
        <v>78466.093924000001</v>
      </c>
      <c r="I60" s="52">
        <f t="shared" si="9"/>
        <v>797965.25856800005</v>
      </c>
      <c r="J60" s="52">
        <f t="shared" si="10"/>
        <v>3836.6379283600004</v>
      </c>
      <c r="K60" s="52">
        <f t="shared" si="11"/>
        <v>38584.101084800001</v>
      </c>
      <c r="L60" s="52">
        <f t="shared" si="12"/>
        <v>-6.3361343444284013E-2</v>
      </c>
      <c r="M60" s="52">
        <f t="shared" si="3"/>
        <v>-6.3361343446267329E-2</v>
      </c>
    </row>
    <row r="61" spans="1:13">
      <c r="A61" s="68">
        <v>35754</v>
      </c>
      <c r="B61" s="55">
        <v>278.22300000000001</v>
      </c>
      <c r="C61" s="55">
        <f t="shared" si="4"/>
        <v>2814.8240000000001</v>
      </c>
      <c r="D61" s="55">
        <v>61.903700000000001</v>
      </c>
      <c r="E61" s="55">
        <f t="shared" si="5"/>
        <v>620.56539999999995</v>
      </c>
      <c r="F61" s="55">
        <f t="shared" si="6"/>
        <v>17223.033125100003</v>
      </c>
      <c r="G61" s="55">
        <f t="shared" si="7"/>
        <v>174675.61670040002</v>
      </c>
      <c r="H61" s="55">
        <f t="shared" si="8"/>
        <v>77408.037729000003</v>
      </c>
      <c r="I61" s="55">
        <f t="shared" si="9"/>
        <v>792422.96017600014</v>
      </c>
      <c r="J61" s="55">
        <f t="shared" si="10"/>
        <v>3832.0680736899999</v>
      </c>
      <c r="K61" s="55">
        <f t="shared" si="11"/>
        <v>38511.606476240006</v>
      </c>
      <c r="L61" s="55">
        <f t="shared" si="12"/>
        <v>-0.21708318785732453</v>
      </c>
      <c r="M61" s="55">
        <f t="shared" si="3"/>
        <v>-0.21708318786097669</v>
      </c>
    </row>
    <row r="62" spans="1:13">
      <c r="A62" s="2"/>
    </row>
    <row r="63" spans="1:13">
      <c r="A63" s="2" t="s">
        <v>1275</v>
      </c>
    </row>
    <row r="64" spans="1:13">
      <c r="A64" s="2" t="s">
        <v>1277</v>
      </c>
    </row>
    <row r="65" spans="1:1">
      <c r="A65" s="2" t="s">
        <v>1274</v>
      </c>
    </row>
    <row r="66" spans="1:1">
      <c r="A66" s="2" t="s">
        <v>1278</v>
      </c>
    </row>
    <row r="67" spans="1:1">
      <c r="A67" s="2" t="s">
        <v>1276</v>
      </c>
    </row>
    <row r="68" spans="1:1">
      <c r="A68" s="2" t="s">
        <v>1279</v>
      </c>
    </row>
    <row r="69" spans="1:1">
      <c r="A69" s="2" t="s">
        <v>1280</v>
      </c>
    </row>
    <row r="70" spans="1:1">
      <c r="A70" s="2" t="s">
        <v>1281</v>
      </c>
    </row>
    <row r="71" spans="1:1">
      <c r="A71" s="2" t="s">
        <v>1282</v>
      </c>
    </row>
    <row r="72" spans="1:1">
      <c r="A72" s="2" t="s">
        <v>1283</v>
      </c>
    </row>
    <row r="73" spans="1:1">
      <c r="A73" s="2" t="s">
        <v>1284</v>
      </c>
    </row>
    <row r="74" spans="1:1">
      <c r="A74" s="2"/>
    </row>
    <row r="75" spans="1:1">
      <c r="A75" s="2"/>
    </row>
    <row r="76" spans="1:1">
      <c r="A76" s="2"/>
    </row>
    <row r="77" spans="1:1">
      <c r="A77" s="2"/>
    </row>
    <row r="78" spans="1:1">
      <c r="A78" s="2"/>
    </row>
    <row r="79" spans="1:1">
      <c r="A79" s="2"/>
    </row>
    <row r="80" spans="1:1">
      <c r="A80" s="2"/>
    </row>
    <row r="81" spans="1:1">
      <c r="A81" s="2"/>
    </row>
  </sheetData>
  <phoneticPr fontId="0" type="noConversion"/>
  <pageMargins left="0.75" right="0.75" top="1" bottom="1" header="0.5" footer="0.5"/>
  <pageSetup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6322" r:id="rId3" name="Button 2">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56323" r:id="rId4" name="Button 3">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56324" r:id="rId5" name="Button 4">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56325" r:id="rId6" name="Button 5">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dimension ref="A1:N583"/>
  <sheetViews>
    <sheetView workbookViewId="0"/>
  </sheetViews>
  <sheetFormatPr baseColWidth="10" defaultColWidth="8.83203125" defaultRowHeight="12" x14ac:dyDescent="0"/>
  <cols>
    <col min="1" max="1" width="10.6640625" customWidth="1"/>
    <col min="2" max="2" width="13.33203125" customWidth="1"/>
    <col min="3" max="3" width="11.1640625" customWidth="1"/>
    <col min="4" max="4" width="13.33203125" customWidth="1"/>
    <col min="5" max="5" width="11.6640625" customWidth="1"/>
    <col min="6" max="6" width="11.1640625" customWidth="1"/>
    <col min="12" max="12" width="11.5" bestFit="1" customWidth="1"/>
  </cols>
  <sheetData>
    <row r="1" spans="1:14">
      <c r="A1" s="21"/>
      <c r="B1" s="21"/>
      <c r="C1" s="21" t="s">
        <v>846</v>
      </c>
      <c r="D1" s="21"/>
      <c r="E1" s="21"/>
      <c r="F1" s="21"/>
      <c r="G1" s="21"/>
      <c r="H1" s="21"/>
    </row>
    <row r="2" spans="1:14" ht="21" customHeight="1">
      <c r="A2" s="21"/>
      <c r="B2" s="21"/>
      <c r="C2" s="21"/>
      <c r="D2" s="374"/>
      <c r="E2" s="374"/>
      <c r="F2" s="374"/>
      <c r="G2" s="374"/>
      <c r="H2" s="374"/>
      <c r="I2" s="372"/>
      <c r="J2" s="372"/>
      <c r="K2" s="372"/>
      <c r="L2" s="372"/>
      <c r="M2" s="372"/>
      <c r="N2" s="372"/>
    </row>
    <row r="3" spans="1:14">
      <c r="A3" s="19" t="s">
        <v>1045</v>
      </c>
      <c r="B3" s="20" t="s">
        <v>1117</v>
      </c>
      <c r="C3" s="21"/>
      <c r="D3" s="21"/>
      <c r="E3" s="21"/>
      <c r="F3" s="21"/>
      <c r="G3" s="21"/>
      <c r="H3" s="21"/>
    </row>
    <row r="4" spans="1:14" ht="28.5" customHeight="1">
      <c r="A4" s="118" t="s">
        <v>779</v>
      </c>
      <c r="B4" s="446" t="s">
        <v>1055</v>
      </c>
      <c r="C4" s="446"/>
      <c r="D4" s="446"/>
      <c r="E4" s="446"/>
      <c r="F4" s="446"/>
      <c r="G4" s="21"/>
      <c r="H4" s="21"/>
    </row>
    <row r="5" spans="1:14" ht="15">
      <c r="A5" s="21"/>
      <c r="B5" s="21"/>
      <c r="C5" s="189" t="s">
        <v>961</v>
      </c>
      <c r="D5" s="21"/>
      <c r="E5" s="21"/>
      <c r="F5" s="21"/>
      <c r="G5" s="21"/>
      <c r="H5" s="21"/>
    </row>
    <row r="6" spans="1:14" ht="38.25" customHeight="1">
      <c r="A6" s="22" t="s">
        <v>1090</v>
      </c>
      <c r="B6" s="22" t="s">
        <v>1103</v>
      </c>
      <c r="C6" s="22" t="s">
        <v>1104</v>
      </c>
      <c r="D6" s="31" t="s">
        <v>1202</v>
      </c>
      <c r="E6" s="31" t="s">
        <v>1203</v>
      </c>
      <c r="F6" s="22"/>
      <c r="G6" s="22"/>
      <c r="H6" s="22"/>
    </row>
    <row r="7" spans="1:14">
      <c r="A7" s="26">
        <v>35545</v>
      </c>
      <c r="B7" s="255">
        <v>1097590</v>
      </c>
      <c r="C7" s="255">
        <v>2685030</v>
      </c>
      <c r="D7" s="255">
        <f>B7-C7</f>
        <v>-1587440</v>
      </c>
      <c r="E7" s="255">
        <f>D7</f>
        <v>-1587440</v>
      </c>
      <c r="F7" s="28"/>
      <c r="G7" s="28"/>
      <c r="H7" s="28"/>
      <c r="L7" s="206"/>
      <c r="M7" s="2"/>
      <c r="N7" s="4"/>
    </row>
    <row r="8" spans="1:14">
      <c r="A8" s="26">
        <v>35548</v>
      </c>
      <c r="B8" s="255">
        <v>2247369</v>
      </c>
      <c r="C8" s="255">
        <v>1430582</v>
      </c>
      <c r="D8" s="255">
        <f t="shared" ref="D8:D23" si="0">B8-C8</f>
        <v>816787</v>
      </c>
      <c r="E8" s="255">
        <f>E7+D8</f>
        <v>-770653</v>
      </c>
      <c r="F8" s="28"/>
      <c r="G8" s="28"/>
      <c r="H8" s="28"/>
      <c r="M8" s="2"/>
    </row>
    <row r="9" spans="1:14">
      <c r="A9" s="27">
        <v>35549</v>
      </c>
      <c r="B9" s="257">
        <v>4617427</v>
      </c>
      <c r="C9" s="257">
        <v>527997</v>
      </c>
      <c r="D9" s="257">
        <f t="shared" si="0"/>
        <v>4089430</v>
      </c>
      <c r="E9" s="257">
        <f t="shared" ref="E9:E24" si="1">E8+D9</f>
        <v>3318777</v>
      </c>
      <c r="F9" s="29"/>
      <c r="G9" s="29"/>
      <c r="H9" s="29"/>
      <c r="M9" s="2"/>
    </row>
    <row r="10" spans="1:14">
      <c r="A10" s="27">
        <v>35550</v>
      </c>
      <c r="B10" s="257">
        <v>4000089</v>
      </c>
      <c r="C10" s="257">
        <v>1163731</v>
      </c>
      <c r="D10" s="257">
        <f t="shared" si="0"/>
        <v>2836358</v>
      </c>
      <c r="E10" s="257">
        <f t="shared" si="1"/>
        <v>6155135</v>
      </c>
      <c r="F10" s="29"/>
      <c r="G10" s="29"/>
      <c r="H10" s="29"/>
      <c r="M10" s="2"/>
    </row>
    <row r="11" spans="1:14">
      <c r="A11" s="26">
        <v>35551</v>
      </c>
      <c r="B11" s="255">
        <v>2176503</v>
      </c>
      <c r="C11" s="255">
        <v>1856353</v>
      </c>
      <c r="D11" s="255">
        <f t="shared" si="0"/>
        <v>320150</v>
      </c>
      <c r="E11" s="255">
        <f t="shared" si="1"/>
        <v>6475285</v>
      </c>
      <c r="F11" s="28"/>
      <c r="G11" s="28"/>
      <c r="H11" s="28"/>
      <c r="M11" s="2"/>
    </row>
    <row r="12" spans="1:14">
      <c r="A12" s="26">
        <v>35552</v>
      </c>
      <c r="B12" s="255">
        <v>3918818</v>
      </c>
      <c r="C12" s="255">
        <v>749109</v>
      </c>
      <c r="D12" s="255">
        <f t="shared" si="0"/>
        <v>3169709</v>
      </c>
      <c r="E12" s="255">
        <f t="shared" si="1"/>
        <v>9644994</v>
      </c>
      <c r="F12" s="28"/>
      <c r="G12" s="28"/>
      <c r="H12" s="28"/>
      <c r="M12" s="2"/>
    </row>
    <row r="13" spans="1:14">
      <c r="A13" s="27">
        <v>35555</v>
      </c>
      <c r="B13" s="257">
        <v>4554564</v>
      </c>
      <c r="C13" s="257">
        <v>665110</v>
      </c>
      <c r="D13" s="257">
        <f t="shared" si="0"/>
        <v>3889454</v>
      </c>
      <c r="E13" s="257">
        <f t="shared" si="1"/>
        <v>13534448</v>
      </c>
      <c r="F13" s="29"/>
      <c r="G13" s="29"/>
      <c r="H13" s="29"/>
      <c r="M13" s="2"/>
    </row>
    <row r="14" spans="1:14">
      <c r="A14" s="27">
        <v>35556</v>
      </c>
      <c r="B14" s="257">
        <v>2774559</v>
      </c>
      <c r="C14" s="257">
        <v>2762761</v>
      </c>
      <c r="D14" s="257">
        <f t="shared" si="0"/>
        <v>11798</v>
      </c>
      <c r="E14" s="257">
        <f t="shared" si="1"/>
        <v>13546246</v>
      </c>
      <c r="F14" s="29"/>
      <c r="G14" s="29"/>
      <c r="H14" s="29"/>
      <c r="M14" s="2"/>
    </row>
    <row r="15" spans="1:14">
      <c r="A15" s="26">
        <v>35557</v>
      </c>
      <c r="B15" s="255">
        <v>1518034</v>
      </c>
      <c r="C15" s="255">
        <v>3128770</v>
      </c>
      <c r="D15" s="255">
        <f t="shared" si="0"/>
        <v>-1610736</v>
      </c>
      <c r="E15" s="255">
        <f t="shared" si="1"/>
        <v>11935510</v>
      </c>
      <c r="F15" s="28"/>
      <c r="G15" s="28"/>
      <c r="H15" s="28"/>
      <c r="M15" s="2"/>
    </row>
    <row r="16" spans="1:14">
      <c r="A16" s="26">
        <v>35558</v>
      </c>
      <c r="B16" s="255">
        <v>3072180</v>
      </c>
      <c r="C16" s="255">
        <v>1743591</v>
      </c>
      <c r="D16" s="255">
        <f t="shared" si="0"/>
        <v>1328589</v>
      </c>
      <c r="E16" s="255">
        <f t="shared" si="1"/>
        <v>13264099</v>
      </c>
      <c r="F16" s="28"/>
      <c r="G16" s="28"/>
      <c r="H16" s="28"/>
      <c r="M16" s="2"/>
    </row>
    <row r="17" spans="1:13">
      <c r="A17" s="27">
        <v>35559</v>
      </c>
      <c r="B17" s="257">
        <v>2792525</v>
      </c>
      <c r="C17" s="257">
        <v>1218893</v>
      </c>
      <c r="D17" s="257">
        <f t="shared" si="0"/>
        <v>1573632</v>
      </c>
      <c r="E17" s="257">
        <f t="shared" si="1"/>
        <v>14837731</v>
      </c>
      <c r="F17" s="29"/>
      <c r="G17" s="29"/>
      <c r="H17" s="29"/>
      <c r="M17" s="2"/>
    </row>
    <row r="18" spans="1:13">
      <c r="A18" s="27">
        <v>35562</v>
      </c>
      <c r="B18" s="257">
        <v>3387346</v>
      </c>
      <c r="C18" s="257">
        <v>850941</v>
      </c>
      <c r="D18" s="257">
        <f t="shared" si="0"/>
        <v>2536405</v>
      </c>
      <c r="E18" s="257">
        <f t="shared" si="1"/>
        <v>17374136</v>
      </c>
      <c r="F18" s="29"/>
      <c r="G18" s="29"/>
      <c r="H18" s="29"/>
      <c r="M18" s="2"/>
    </row>
    <row r="19" spans="1:13">
      <c r="A19" s="26">
        <v>35563</v>
      </c>
      <c r="B19" s="255">
        <v>1991714</v>
      </c>
      <c r="C19" s="255">
        <v>2512360</v>
      </c>
      <c r="D19" s="255">
        <f t="shared" si="0"/>
        <v>-520646</v>
      </c>
      <c r="E19" s="255">
        <f t="shared" si="1"/>
        <v>16853490</v>
      </c>
      <c r="F19" s="28"/>
      <c r="G19" s="28"/>
      <c r="H19" s="28"/>
      <c r="M19" s="2"/>
    </row>
    <row r="20" spans="1:13">
      <c r="A20" s="26">
        <v>35564</v>
      </c>
      <c r="B20" s="255">
        <v>2877363</v>
      </c>
      <c r="C20" s="255">
        <v>1616583</v>
      </c>
      <c r="D20" s="255">
        <f t="shared" si="0"/>
        <v>1260780</v>
      </c>
      <c r="E20" s="255">
        <f t="shared" si="1"/>
        <v>18114270</v>
      </c>
      <c r="F20" s="28"/>
      <c r="G20" s="28"/>
      <c r="H20" s="28"/>
      <c r="M20" s="2"/>
    </row>
    <row r="21" spans="1:13">
      <c r="A21" s="27">
        <v>35565</v>
      </c>
      <c r="B21" s="257">
        <v>2658199</v>
      </c>
      <c r="C21" s="257">
        <v>1502647</v>
      </c>
      <c r="D21" s="257">
        <f t="shared" si="0"/>
        <v>1155552</v>
      </c>
      <c r="E21" s="257">
        <f t="shared" si="1"/>
        <v>19269822</v>
      </c>
      <c r="F21" s="29"/>
      <c r="G21" s="29"/>
      <c r="H21" s="29"/>
      <c r="M21" s="2"/>
    </row>
    <row r="22" spans="1:13">
      <c r="A22" s="27">
        <v>35566</v>
      </c>
      <c r="B22" s="257">
        <v>1325088</v>
      </c>
      <c r="C22" s="257">
        <v>3133339</v>
      </c>
      <c r="D22" s="257">
        <f t="shared" si="0"/>
        <v>-1808251</v>
      </c>
      <c r="E22" s="257">
        <f t="shared" si="1"/>
        <v>17461571</v>
      </c>
      <c r="F22" s="29"/>
      <c r="G22" s="29"/>
      <c r="H22" s="29"/>
      <c r="M22" s="2"/>
    </row>
    <row r="23" spans="1:13">
      <c r="A23" s="26">
        <v>35569</v>
      </c>
      <c r="B23" s="255">
        <v>1825068</v>
      </c>
      <c r="C23" s="255">
        <v>1290328</v>
      </c>
      <c r="D23" s="255">
        <f t="shared" si="0"/>
        <v>534740</v>
      </c>
      <c r="E23" s="255">
        <f t="shared" si="1"/>
        <v>17996311</v>
      </c>
      <c r="F23" s="28"/>
      <c r="G23" s="28"/>
      <c r="H23" s="28"/>
      <c r="M23" s="2"/>
    </row>
    <row r="24" spans="1:13">
      <c r="A24" s="26">
        <v>35570</v>
      </c>
      <c r="B24" s="255">
        <v>2707087</v>
      </c>
      <c r="C24" s="255">
        <v>1284888</v>
      </c>
      <c r="D24" s="255">
        <f t="shared" ref="D24:D39" si="2">B24-C24</f>
        <v>1422199</v>
      </c>
      <c r="E24" s="255">
        <f t="shared" si="1"/>
        <v>19418510</v>
      </c>
      <c r="F24" s="28"/>
      <c r="G24" s="28"/>
      <c r="H24" s="28"/>
      <c r="M24" s="2"/>
    </row>
    <row r="25" spans="1:13">
      <c r="A25" s="27">
        <v>35571</v>
      </c>
      <c r="B25" s="257">
        <v>2377202</v>
      </c>
      <c r="C25" s="257">
        <v>2563640</v>
      </c>
      <c r="D25" s="257">
        <f t="shared" si="2"/>
        <v>-186438</v>
      </c>
      <c r="E25" s="257">
        <f t="shared" ref="E25:E39" si="3">E24+D25</f>
        <v>19232072</v>
      </c>
      <c r="F25" s="29"/>
      <c r="G25" s="29"/>
      <c r="H25" s="29"/>
      <c r="M25" s="2"/>
    </row>
    <row r="26" spans="1:13">
      <c r="A26" s="27">
        <v>35572</v>
      </c>
      <c r="B26" s="257">
        <v>1873511</v>
      </c>
      <c r="C26" s="257">
        <v>1901397</v>
      </c>
      <c r="D26" s="257">
        <f t="shared" si="2"/>
        <v>-27886</v>
      </c>
      <c r="E26" s="257">
        <f t="shared" si="3"/>
        <v>19204186</v>
      </c>
      <c r="F26" s="29"/>
      <c r="G26" s="29"/>
      <c r="H26" s="29"/>
      <c r="M26" s="2"/>
    </row>
    <row r="27" spans="1:13">
      <c r="A27" s="26">
        <v>35573</v>
      </c>
      <c r="B27" s="255">
        <v>3065330</v>
      </c>
      <c r="C27" s="255">
        <v>707489</v>
      </c>
      <c r="D27" s="255">
        <f t="shared" si="2"/>
        <v>2357841</v>
      </c>
      <c r="E27" s="255">
        <f t="shared" si="3"/>
        <v>21562027</v>
      </c>
      <c r="F27" s="28"/>
      <c r="G27" s="28"/>
      <c r="H27" s="28"/>
      <c r="M27" s="2"/>
    </row>
    <row r="28" spans="1:13">
      <c r="A28" s="26">
        <v>35577</v>
      </c>
      <c r="B28" s="255">
        <v>2378636</v>
      </c>
      <c r="C28" s="255">
        <v>1578491</v>
      </c>
      <c r="D28" s="255">
        <f t="shared" si="2"/>
        <v>800145</v>
      </c>
      <c r="E28" s="255">
        <f t="shared" si="3"/>
        <v>22362172</v>
      </c>
      <c r="F28" s="28"/>
      <c r="G28" s="28"/>
      <c r="H28" s="28"/>
      <c r="M28" s="2"/>
    </row>
    <row r="29" spans="1:13">
      <c r="A29" s="27">
        <v>35578</v>
      </c>
      <c r="B29" s="257">
        <v>2266589</v>
      </c>
      <c r="C29" s="257">
        <v>2203340</v>
      </c>
      <c r="D29" s="257">
        <f t="shared" si="2"/>
        <v>63249</v>
      </c>
      <c r="E29" s="257">
        <f t="shared" si="3"/>
        <v>22425421</v>
      </c>
      <c r="F29" s="29"/>
      <c r="G29" s="29"/>
      <c r="H29" s="29"/>
      <c r="M29" s="2"/>
    </row>
    <row r="30" spans="1:13">
      <c r="A30" s="27">
        <v>35579</v>
      </c>
      <c r="B30" s="257">
        <v>2046585</v>
      </c>
      <c r="C30" s="257">
        <v>2166830</v>
      </c>
      <c r="D30" s="257">
        <f t="shared" si="2"/>
        <v>-120245</v>
      </c>
      <c r="E30" s="257">
        <f t="shared" si="3"/>
        <v>22305176</v>
      </c>
      <c r="F30" s="29"/>
      <c r="G30" s="29"/>
      <c r="H30" s="29"/>
      <c r="M30" s="2"/>
    </row>
    <row r="31" spans="1:13">
      <c r="A31" s="26">
        <v>35580</v>
      </c>
      <c r="B31" s="255">
        <v>3040926</v>
      </c>
      <c r="C31" s="255">
        <v>1666567</v>
      </c>
      <c r="D31" s="255">
        <f t="shared" si="2"/>
        <v>1374359</v>
      </c>
      <c r="E31" s="255">
        <f t="shared" si="3"/>
        <v>23679535</v>
      </c>
      <c r="F31" s="28"/>
      <c r="G31" s="28"/>
      <c r="H31" s="28"/>
      <c r="M31" s="2"/>
    </row>
    <row r="32" spans="1:13">
      <c r="A32" s="26">
        <v>35583</v>
      </c>
      <c r="B32" s="255">
        <v>2078863</v>
      </c>
      <c r="C32" s="255">
        <v>1772313</v>
      </c>
      <c r="D32" s="255">
        <f t="shared" si="2"/>
        <v>306550</v>
      </c>
      <c r="E32" s="255">
        <f t="shared" si="3"/>
        <v>23986085</v>
      </c>
      <c r="F32" s="28"/>
      <c r="G32" s="28"/>
      <c r="H32" s="28"/>
      <c r="M32" s="2"/>
    </row>
    <row r="33" spans="1:13">
      <c r="A33" s="27">
        <v>35584</v>
      </c>
      <c r="B33" s="257">
        <v>2510516</v>
      </c>
      <c r="C33" s="257">
        <v>2251208</v>
      </c>
      <c r="D33" s="257">
        <f t="shared" si="2"/>
        <v>259308</v>
      </c>
      <c r="E33" s="257">
        <f t="shared" si="3"/>
        <v>24245393</v>
      </c>
      <c r="F33" s="29"/>
      <c r="G33" s="29"/>
      <c r="H33" s="29"/>
      <c r="M33" s="2"/>
    </row>
    <row r="34" spans="1:13">
      <c r="A34" s="27">
        <v>35585</v>
      </c>
      <c r="B34" s="257">
        <v>1774309</v>
      </c>
      <c r="C34" s="257">
        <v>2416056</v>
      </c>
      <c r="D34" s="257">
        <f t="shared" si="2"/>
        <v>-641747</v>
      </c>
      <c r="E34" s="257">
        <f t="shared" si="3"/>
        <v>23603646</v>
      </c>
      <c r="F34" s="29"/>
      <c r="G34" s="29"/>
      <c r="H34" s="29"/>
      <c r="M34" s="2"/>
    </row>
    <row r="35" spans="1:13">
      <c r="A35" s="26">
        <v>35586</v>
      </c>
      <c r="B35" s="255">
        <v>2702448</v>
      </c>
      <c r="C35" s="255">
        <v>1317814</v>
      </c>
      <c r="D35" s="255">
        <f t="shared" si="2"/>
        <v>1384634</v>
      </c>
      <c r="E35" s="255">
        <f t="shared" si="3"/>
        <v>24988280</v>
      </c>
      <c r="F35" s="28"/>
      <c r="G35" s="28"/>
      <c r="H35" s="28"/>
      <c r="M35" s="2"/>
    </row>
    <row r="36" spans="1:13">
      <c r="A36" s="26">
        <v>35587</v>
      </c>
      <c r="B36" s="255">
        <v>3291001</v>
      </c>
      <c r="C36" s="255">
        <v>999754</v>
      </c>
      <c r="D36" s="255">
        <f t="shared" si="2"/>
        <v>2291247</v>
      </c>
      <c r="E36" s="255">
        <f t="shared" si="3"/>
        <v>27279527</v>
      </c>
      <c r="F36" s="28"/>
      <c r="G36" s="28"/>
      <c r="H36" s="28"/>
      <c r="M36" s="2"/>
    </row>
    <row r="37" spans="1:13">
      <c r="A37" s="27">
        <v>35590</v>
      </c>
      <c r="B37" s="257">
        <v>2837336</v>
      </c>
      <c r="C37" s="257">
        <v>1431378</v>
      </c>
      <c r="D37" s="257">
        <f t="shared" si="2"/>
        <v>1405958</v>
      </c>
      <c r="E37" s="257">
        <f t="shared" si="3"/>
        <v>28685485</v>
      </c>
      <c r="F37" s="29"/>
      <c r="G37" s="29"/>
      <c r="H37" s="29"/>
      <c r="M37" s="2"/>
    </row>
    <row r="38" spans="1:13">
      <c r="A38" s="27">
        <v>35591</v>
      </c>
      <c r="B38" s="257">
        <v>2831112</v>
      </c>
      <c r="C38" s="257">
        <v>1901269</v>
      </c>
      <c r="D38" s="257">
        <f t="shared" si="2"/>
        <v>929843</v>
      </c>
      <c r="E38" s="257">
        <f t="shared" si="3"/>
        <v>29615328</v>
      </c>
      <c r="F38" s="29"/>
      <c r="G38" s="29"/>
      <c r="H38" s="29"/>
      <c r="M38" s="2"/>
    </row>
    <row r="39" spans="1:13">
      <c r="A39" s="26">
        <v>35592</v>
      </c>
      <c r="B39" s="255">
        <v>2843020</v>
      </c>
      <c r="C39" s="255">
        <v>1820491</v>
      </c>
      <c r="D39" s="255">
        <f t="shared" si="2"/>
        <v>1022529</v>
      </c>
      <c r="E39" s="255">
        <f t="shared" si="3"/>
        <v>30637857</v>
      </c>
      <c r="F39" s="28"/>
      <c r="G39" s="28"/>
      <c r="H39" s="28"/>
      <c r="M39" s="2"/>
    </row>
    <row r="40" spans="1:13">
      <c r="A40" s="70"/>
      <c r="B40" s="28"/>
      <c r="C40" s="28"/>
      <c r="D40" s="28"/>
      <c r="E40" s="28"/>
      <c r="F40" s="28"/>
      <c r="G40" s="28"/>
      <c r="H40" s="28"/>
      <c r="M40" s="2"/>
    </row>
    <row r="41" spans="1:13">
      <c r="M41" s="2"/>
    </row>
    <row r="42" spans="1:13" ht="15">
      <c r="A42" s="241" t="s">
        <v>1200</v>
      </c>
      <c r="M42" s="2"/>
    </row>
    <row r="43" spans="1:13" ht="15">
      <c r="A43" s="241" t="s">
        <v>1201</v>
      </c>
      <c r="M43" s="2"/>
    </row>
    <row r="44" spans="1:13">
      <c r="M44" s="2"/>
    </row>
    <row r="45" spans="1:13">
      <c r="M45" s="2"/>
    </row>
    <row r="46" spans="1:13">
      <c r="M46" s="2"/>
    </row>
    <row r="47" spans="1:13">
      <c r="M47" s="2"/>
    </row>
    <row r="48" spans="1:13">
      <c r="M48" s="2"/>
    </row>
    <row r="49" spans="13:13">
      <c r="M49" s="2"/>
    </row>
    <row r="50" spans="13:13">
      <c r="M50" s="2"/>
    </row>
    <row r="51" spans="13:13">
      <c r="M51" s="2"/>
    </row>
    <row r="52" spans="13:13">
      <c r="M52" s="2"/>
    </row>
    <row r="53" spans="13:13">
      <c r="M53" s="2"/>
    </row>
    <row r="54" spans="13:13">
      <c r="M54" s="2"/>
    </row>
    <row r="55" spans="13:13">
      <c r="M55" s="2"/>
    </row>
    <row r="56" spans="13:13">
      <c r="M56" s="2"/>
    </row>
    <row r="57" spans="13:13">
      <c r="M57" s="2"/>
    </row>
    <row r="58" spans="13:13">
      <c r="M58" s="2"/>
    </row>
    <row r="59" spans="13:13">
      <c r="M59" s="2"/>
    </row>
    <row r="60" spans="13:13">
      <c r="M60" s="2"/>
    </row>
    <row r="61" spans="13:13">
      <c r="M61" s="2"/>
    </row>
    <row r="62" spans="13:13">
      <c r="M62" s="2"/>
    </row>
    <row r="63" spans="13:13">
      <c r="M63" s="2"/>
    </row>
    <row r="64" spans="13:13">
      <c r="M64" s="2"/>
    </row>
    <row r="65" spans="13:13">
      <c r="M65" s="2"/>
    </row>
    <row r="66" spans="13:13">
      <c r="M66" s="2"/>
    </row>
    <row r="67" spans="13:13">
      <c r="M67" s="2"/>
    </row>
    <row r="68" spans="13:13">
      <c r="M68" s="2"/>
    </row>
    <row r="69" spans="13:13">
      <c r="M69" s="2"/>
    </row>
    <row r="70" spans="13:13">
      <c r="M70" s="2"/>
    </row>
    <row r="71" spans="13:13">
      <c r="M71" s="2"/>
    </row>
    <row r="72" spans="13:13">
      <c r="M72" s="2"/>
    </row>
    <row r="73" spans="13:13">
      <c r="M73" s="2"/>
    </row>
    <row r="74" spans="13:13">
      <c r="M74" s="2"/>
    </row>
    <row r="75" spans="13:13">
      <c r="M75" s="2"/>
    </row>
    <row r="76" spans="13:13">
      <c r="M76" s="2"/>
    </row>
    <row r="77" spans="13:13">
      <c r="M77" s="2"/>
    </row>
    <row r="78" spans="13:13">
      <c r="M78" s="2"/>
    </row>
    <row r="79" spans="13:13">
      <c r="M79" s="2"/>
    </row>
    <row r="80" spans="13:13">
      <c r="M80" s="2"/>
    </row>
    <row r="81" spans="13:13">
      <c r="M81" s="2"/>
    </row>
    <row r="82" spans="13:13">
      <c r="M82" s="2"/>
    </row>
    <row r="83" spans="13:13">
      <c r="M83" s="2"/>
    </row>
    <row r="84" spans="13:13">
      <c r="M84" s="2"/>
    </row>
    <row r="85" spans="13:13">
      <c r="M85" s="2"/>
    </row>
    <row r="86" spans="13:13">
      <c r="M86" s="2"/>
    </row>
    <row r="87" spans="13:13">
      <c r="M87" s="2"/>
    </row>
    <row r="88" spans="13:13">
      <c r="M88" s="2"/>
    </row>
    <row r="89" spans="13:13">
      <c r="M89" s="2"/>
    </row>
    <row r="90" spans="13:13">
      <c r="M90" s="2"/>
    </row>
    <row r="91" spans="13:13">
      <c r="M91" s="2"/>
    </row>
    <row r="92" spans="13:13">
      <c r="M92" s="2"/>
    </row>
    <row r="93" spans="13:13">
      <c r="M93" s="2"/>
    </row>
    <row r="94" spans="13:13">
      <c r="M94" s="2"/>
    </row>
    <row r="95" spans="13:13">
      <c r="M95" s="2"/>
    </row>
    <row r="96" spans="13:13">
      <c r="M96" s="2"/>
    </row>
    <row r="97" spans="13:13">
      <c r="M97" s="2"/>
    </row>
    <row r="98" spans="13:13">
      <c r="M98" s="2"/>
    </row>
    <row r="99" spans="13:13">
      <c r="M99" s="2"/>
    </row>
    <row r="100" spans="13:13">
      <c r="M100" s="2"/>
    </row>
    <row r="101" spans="13:13">
      <c r="M101" s="2"/>
    </row>
    <row r="102" spans="13:13">
      <c r="M102" s="2"/>
    </row>
    <row r="103" spans="13:13">
      <c r="M103" s="2"/>
    </row>
    <row r="104" spans="13:13">
      <c r="M104" s="2"/>
    </row>
    <row r="105" spans="13:13">
      <c r="M105" s="2"/>
    </row>
    <row r="106" spans="13:13">
      <c r="M106" s="2"/>
    </row>
    <row r="107" spans="13:13">
      <c r="M107" s="2"/>
    </row>
    <row r="108" spans="13:13">
      <c r="M108" s="2"/>
    </row>
    <row r="109" spans="13:13">
      <c r="M109" s="2"/>
    </row>
    <row r="110" spans="13:13">
      <c r="M110" s="2"/>
    </row>
    <row r="111" spans="13:13">
      <c r="M111" s="2"/>
    </row>
    <row r="112" spans="13:13">
      <c r="M112" s="2"/>
    </row>
    <row r="113" spans="13:13">
      <c r="M113" s="2"/>
    </row>
    <row r="114" spans="13:13">
      <c r="M114" s="2"/>
    </row>
    <row r="115" spans="13:13">
      <c r="M115" s="2"/>
    </row>
    <row r="116" spans="13:13">
      <c r="M116" s="2"/>
    </row>
    <row r="117" spans="13:13">
      <c r="M117" s="2"/>
    </row>
    <row r="118" spans="13:13">
      <c r="M118" s="2"/>
    </row>
    <row r="119" spans="13:13">
      <c r="M119" s="2"/>
    </row>
    <row r="120" spans="13:13">
      <c r="M120" s="2"/>
    </row>
    <row r="121" spans="13:13">
      <c r="M121" s="2"/>
    </row>
    <row r="122" spans="13:13">
      <c r="M122" s="2"/>
    </row>
    <row r="123" spans="13:13">
      <c r="M123" s="2"/>
    </row>
    <row r="124" spans="13:13">
      <c r="M124" s="2"/>
    </row>
    <row r="125" spans="13:13">
      <c r="M125" s="2"/>
    </row>
    <row r="126" spans="13:13">
      <c r="M126" s="2"/>
    </row>
    <row r="127" spans="13:13">
      <c r="M127" s="2"/>
    </row>
    <row r="128" spans="13:13">
      <c r="M128" s="2"/>
    </row>
    <row r="129" spans="13:13">
      <c r="M129" s="2"/>
    </row>
    <row r="130" spans="13:13">
      <c r="M130" s="2"/>
    </row>
    <row r="131" spans="13:13">
      <c r="M131" s="2"/>
    </row>
    <row r="132" spans="13:13">
      <c r="M132" s="2"/>
    </row>
    <row r="133" spans="13:13">
      <c r="M133" s="2"/>
    </row>
    <row r="134" spans="13:13">
      <c r="M134" s="2"/>
    </row>
    <row r="135" spans="13:13">
      <c r="M135" s="2"/>
    </row>
    <row r="136" spans="13:13">
      <c r="M136" s="2"/>
    </row>
    <row r="137" spans="13:13">
      <c r="M137" s="2"/>
    </row>
    <row r="138" spans="13:13">
      <c r="M138" s="2"/>
    </row>
    <row r="139" spans="13:13">
      <c r="M139" s="2"/>
    </row>
    <row r="140" spans="13:13">
      <c r="M140" s="2"/>
    </row>
    <row r="141" spans="13:13">
      <c r="M141" s="2"/>
    </row>
    <row r="142" spans="13:13">
      <c r="M142" s="2"/>
    </row>
    <row r="143" spans="13:13">
      <c r="M143" s="2"/>
    </row>
    <row r="144" spans="13:13">
      <c r="M144" s="2"/>
    </row>
    <row r="145" spans="13:13">
      <c r="M145" s="2"/>
    </row>
    <row r="146" spans="13:13">
      <c r="M146" s="2"/>
    </row>
    <row r="147" spans="13:13">
      <c r="M147" s="2"/>
    </row>
    <row r="148" spans="13:13">
      <c r="M148" s="2"/>
    </row>
    <row r="149" spans="13:13">
      <c r="M149" s="2"/>
    </row>
    <row r="150" spans="13:13">
      <c r="M150" s="2"/>
    </row>
    <row r="151" spans="13:13">
      <c r="M151" s="2"/>
    </row>
    <row r="152" spans="13:13">
      <c r="M152" s="2"/>
    </row>
    <row r="153" spans="13:13">
      <c r="M153" s="2"/>
    </row>
    <row r="154" spans="13:13">
      <c r="M154" s="2"/>
    </row>
    <row r="155" spans="13:13">
      <c r="M155" s="2"/>
    </row>
    <row r="156" spans="13:13">
      <c r="M156" s="2"/>
    </row>
    <row r="157" spans="13:13">
      <c r="M157" s="2"/>
    </row>
    <row r="158" spans="13:13">
      <c r="M158" s="2"/>
    </row>
    <row r="159" spans="13:13">
      <c r="M159" s="2"/>
    </row>
    <row r="160" spans="13:13">
      <c r="M160" s="2"/>
    </row>
    <row r="161" spans="13:13">
      <c r="M161" s="2"/>
    </row>
    <row r="162" spans="13:13">
      <c r="M162" s="2"/>
    </row>
    <row r="163" spans="13:13">
      <c r="M163" s="2"/>
    </row>
    <row r="164" spans="13:13">
      <c r="M164" s="2"/>
    </row>
    <row r="165" spans="13:13">
      <c r="M165" s="2"/>
    </row>
    <row r="166" spans="13:13">
      <c r="M166" s="2"/>
    </row>
    <row r="167" spans="13:13">
      <c r="M167" s="2"/>
    </row>
    <row r="168" spans="13:13">
      <c r="M168" s="2"/>
    </row>
    <row r="169" spans="13:13">
      <c r="M169" s="2"/>
    </row>
    <row r="170" spans="13:13">
      <c r="M170" s="2"/>
    </row>
    <row r="171" spans="13:13">
      <c r="M171" s="2"/>
    </row>
    <row r="172" spans="13:13">
      <c r="M172" s="2"/>
    </row>
    <row r="173" spans="13:13">
      <c r="M173" s="2"/>
    </row>
    <row r="174" spans="13:13">
      <c r="M174" s="2"/>
    </row>
    <row r="175" spans="13:13">
      <c r="M175" s="2"/>
    </row>
    <row r="176" spans="13:13">
      <c r="M176" s="2"/>
    </row>
    <row r="177" spans="13:13">
      <c r="M177" s="2"/>
    </row>
    <row r="178" spans="13:13">
      <c r="M178" s="2"/>
    </row>
    <row r="179" spans="13:13">
      <c r="M179" s="2"/>
    </row>
    <row r="180" spans="13:13">
      <c r="M180" s="2"/>
    </row>
    <row r="181" spans="13:13">
      <c r="M181" s="2"/>
    </row>
    <row r="182" spans="13:13">
      <c r="M182" s="2"/>
    </row>
    <row r="183" spans="13:13">
      <c r="M183" s="2"/>
    </row>
    <row r="184" spans="13:13">
      <c r="M184" s="2"/>
    </row>
    <row r="185" spans="13:13">
      <c r="M185" s="2"/>
    </row>
    <row r="186" spans="13:13">
      <c r="M186" s="2"/>
    </row>
    <row r="187" spans="13:13">
      <c r="M187" s="2"/>
    </row>
    <row r="188" spans="13:13">
      <c r="M188" s="2"/>
    </row>
    <row r="189" spans="13:13">
      <c r="M189" s="2"/>
    </row>
    <row r="190" spans="13:13">
      <c r="M190" s="2"/>
    </row>
    <row r="191" spans="13:13">
      <c r="M191" s="2"/>
    </row>
    <row r="192" spans="13:13">
      <c r="M192" s="2"/>
    </row>
    <row r="193" spans="13:13">
      <c r="M193" s="2"/>
    </row>
    <row r="194" spans="13:13">
      <c r="M194" s="2"/>
    </row>
    <row r="195" spans="13:13">
      <c r="M195" s="2"/>
    </row>
    <row r="196" spans="13:13">
      <c r="M196" s="2"/>
    </row>
    <row r="197" spans="13:13">
      <c r="M197" s="2"/>
    </row>
    <row r="198" spans="13:13">
      <c r="M198" s="2"/>
    </row>
    <row r="199" spans="13:13">
      <c r="M199" s="2"/>
    </row>
    <row r="200" spans="13:13">
      <c r="M200" s="2"/>
    </row>
    <row r="201" spans="13:13">
      <c r="M201" s="2"/>
    </row>
    <row r="202" spans="13:13">
      <c r="M202" s="2"/>
    </row>
    <row r="203" spans="13:13">
      <c r="M203" s="2"/>
    </row>
    <row r="204" spans="13:13">
      <c r="M204" s="2"/>
    </row>
    <row r="205" spans="13:13">
      <c r="M205" s="2"/>
    </row>
    <row r="206" spans="13:13">
      <c r="M206" s="2"/>
    </row>
    <row r="207" spans="13:13">
      <c r="M207" s="2"/>
    </row>
    <row r="208" spans="13:13">
      <c r="M208" s="2"/>
    </row>
    <row r="209" spans="13:13">
      <c r="M209" s="2"/>
    </row>
    <row r="210" spans="13:13">
      <c r="M210" s="2"/>
    </row>
    <row r="211" spans="13:13">
      <c r="M211" s="2"/>
    </row>
    <row r="212" spans="13:13">
      <c r="M212" s="2"/>
    </row>
    <row r="213" spans="13:13">
      <c r="M213" s="2"/>
    </row>
    <row r="214" spans="13:13">
      <c r="M214" s="2"/>
    </row>
    <row r="215" spans="13:13">
      <c r="M215" s="2"/>
    </row>
    <row r="216" spans="13:13">
      <c r="M216" s="2"/>
    </row>
    <row r="217" spans="13:13">
      <c r="M217" s="2"/>
    </row>
    <row r="218" spans="13:13">
      <c r="M218" s="2"/>
    </row>
    <row r="219" spans="13:13">
      <c r="M219" s="2"/>
    </row>
    <row r="220" spans="13:13">
      <c r="M220" s="2"/>
    </row>
    <row r="221" spans="13:13">
      <c r="M221" s="2"/>
    </row>
    <row r="222" spans="13:13">
      <c r="M222" s="2"/>
    </row>
    <row r="223" spans="13:13">
      <c r="M223" s="2"/>
    </row>
    <row r="224" spans="13:13">
      <c r="M224" s="2"/>
    </row>
    <row r="225" spans="13:13">
      <c r="M225" s="2"/>
    </row>
    <row r="226" spans="13:13">
      <c r="M226" s="2"/>
    </row>
    <row r="227" spans="13:13">
      <c r="M227" s="2"/>
    </row>
    <row r="228" spans="13:13">
      <c r="M228" s="2"/>
    </row>
    <row r="229" spans="13:13">
      <c r="M229" s="2"/>
    </row>
    <row r="230" spans="13:13">
      <c r="M230" s="2"/>
    </row>
    <row r="231" spans="13:13">
      <c r="M231" s="2"/>
    </row>
    <row r="232" spans="13:13">
      <c r="M232" s="2"/>
    </row>
    <row r="233" spans="13:13">
      <c r="M233" s="2"/>
    </row>
    <row r="234" spans="13:13">
      <c r="M234" s="2"/>
    </row>
    <row r="235" spans="13:13">
      <c r="M235" s="2"/>
    </row>
    <row r="236" spans="13:13">
      <c r="M236" s="2"/>
    </row>
    <row r="237" spans="13:13">
      <c r="M237" s="2"/>
    </row>
    <row r="238" spans="13:13">
      <c r="M238" s="2"/>
    </row>
    <row r="239" spans="13:13">
      <c r="M239" s="2"/>
    </row>
    <row r="240" spans="13:13">
      <c r="M240" s="2"/>
    </row>
    <row r="241" spans="13:13">
      <c r="M241" s="2"/>
    </row>
    <row r="242" spans="13:13">
      <c r="M242" s="2"/>
    </row>
    <row r="243" spans="13:13">
      <c r="M243" s="2"/>
    </row>
    <row r="244" spans="13:13">
      <c r="M244" s="2"/>
    </row>
    <row r="245" spans="13:13">
      <c r="M245" s="2"/>
    </row>
    <row r="246" spans="13:13">
      <c r="M246" s="2"/>
    </row>
    <row r="247" spans="13:13">
      <c r="M247" s="2"/>
    </row>
    <row r="248" spans="13:13">
      <c r="M248" s="2"/>
    </row>
    <row r="249" spans="13:13">
      <c r="M249" s="2"/>
    </row>
    <row r="250" spans="13:13">
      <c r="M250" s="2"/>
    </row>
    <row r="251" spans="13:13">
      <c r="M251" s="2"/>
    </row>
    <row r="252" spans="13:13">
      <c r="M252" s="2"/>
    </row>
    <row r="253" spans="13:13">
      <c r="M253" s="2"/>
    </row>
    <row r="254" spans="13:13">
      <c r="M254" s="2"/>
    </row>
    <row r="255" spans="13:13">
      <c r="M255" s="2"/>
    </row>
    <row r="256" spans="13:13">
      <c r="M256" s="2"/>
    </row>
    <row r="257" spans="13:13">
      <c r="M257" s="2"/>
    </row>
    <row r="258" spans="13:13">
      <c r="M258" s="2"/>
    </row>
    <row r="259" spans="13:13">
      <c r="M259" s="2"/>
    </row>
    <row r="260" spans="13:13">
      <c r="M260" s="2"/>
    </row>
    <row r="261" spans="13:13">
      <c r="M261" s="2"/>
    </row>
    <row r="262" spans="13:13">
      <c r="M262" s="2"/>
    </row>
    <row r="263" spans="13:13">
      <c r="M263" s="2"/>
    </row>
    <row r="264" spans="13:13">
      <c r="M264" s="2"/>
    </row>
    <row r="265" spans="13:13">
      <c r="M265" s="2"/>
    </row>
    <row r="266" spans="13:13">
      <c r="M266" s="2"/>
    </row>
    <row r="267" spans="13:13">
      <c r="M267" s="2"/>
    </row>
    <row r="268" spans="13:13">
      <c r="M268" s="2"/>
    </row>
    <row r="269" spans="13:13">
      <c r="M269" s="2"/>
    </row>
    <row r="270" spans="13:13">
      <c r="M270" s="2"/>
    </row>
    <row r="271" spans="13:13">
      <c r="M271" s="2"/>
    </row>
    <row r="272" spans="13:13">
      <c r="M272" s="2"/>
    </row>
    <row r="273" spans="13:13">
      <c r="M273" s="2"/>
    </row>
    <row r="274" spans="13:13">
      <c r="M274" s="2"/>
    </row>
    <row r="275" spans="13:13">
      <c r="M275" s="2"/>
    </row>
    <row r="276" spans="13:13">
      <c r="M276" s="2"/>
    </row>
    <row r="277" spans="13:13">
      <c r="M277" s="2"/>
    </row>
    <row r="278" spans="13:13">
      <c r="M278" s="2"/>
    </row>
    <row r="279" spans="13:13">
      <c r="M279" s="2"/>
    </row>
    <row r="280" spans="13:13">
      <c r="M280" s="2"/>
    </row>
    <row r="281" spans="13:13">
      <c r="M281" s="2"/>
    </row>
    <row r="282" spans="13:13">
      <c r="M282" s="2"/>
    </row>
    <row r="283" spans="13:13">
      <c r="M283" s="2"/>
    </row>
    <row r="284" spans="13:13">
      <c r="M284" s="2"/>
    </row>
    <row r="285" spans="13:13">
      <c r="M285" s="2"/>
    </row>
    <row r="286" spans="13:13">
      <c r="M286" s="2"/>
    </row>
    <row r="287" spans="13:13">
      <c r="M287" s="2"/>
    </row>
    <row r="288" spans="13:13">
      <c r="M288" s="2"/>
    </row>
    <row r="289" spans="13:13">
      <c r="M289" s="2"/>
    </row>
    <row r="290" spans="13:13">
      <c r="M290" s="2"/>
    </row>
    <row r="291" spans="13:13">
      <c r="M291" s="2"/>
    </row>
    <row r="292" spans="13:13">
      <c r="M292" s="2"/>
    </row>
    <row r="293" spans="13:13">
      <c r="M293" s="2"/>
    </row>
    <row r="294" spans="13:13">
      <c r="M294" s="2"/>
    </row>
    <row r="295" spans="13:13">
      <c r="M295" s="2"/>
    </row>
    <row r="296" spans="13:13">
      <c r="M296" s="2"/>
    </row>
    <row r="297" spans="13:13">
      <c r="M297" s="2"/>
    </row>
    <row r="298" spans="13:13">
      <c r="M298" s="2"/>
    </row>
    <row r="299" spans="13:13">
      <c r="M299" s="2"/>
    </row>
    <row r="300" spans="13:13">
      <c r="M300" s="2"/>
    </row>
    <row r="301" spans="13:13">
      <c r="M301" s="2"/>
    </row>
    <row r="302" spans="13:13">
      <c r="M302" s="2"/>
    </row>
    <row r="303" spans="13:13">
      <c r="M303" s="2"/>
    </row>
    <row r="304" spans="13:13">
      <c r="M304" s="2"/>
    </row>
    <row r="305" spans="13:13">
      <c r="M305" s="2"/>
    </row>
    <row r="306" spans="13:13">
      <c r="M306" s="2"/>
    </row>
    <row r="307" spans="13:13">
      <c r="M307" s="2"/>
    </row>
    <row r="308" spans="13:13">
      <c r="M308" s="2"/>
    </row>
    <row r="309" spans="13:13">
      <c r="M309" s="2"/>
    </row>
    <row r="310" spans="13:13">
      <c r="M310" s="2"/>
    </row>
    <row r="311" spans="13:13">
      <c r="M311" s="2"/>
    </row>
    <row r="312" spans="13:13">
      <c r="M312" s="2"/>
    </row>
    <row r="313" spans="13:13">
      <c r="M313" s="2"/>
    </row>
    <row r="314" spans="13:13">
      <c r="M314" s="2"/>
    </row>
    <row r="315" spans="13:13">
      <c r="M315" s="2"/>
    </row>
    <row r="316" spans="13:13">
      <c r="M316" s="2"/>
    </row>
    <row r="317" spans="13:13">
      <c r="M317" s="2"/>
    </row>
    <row r="318" spans="13:13">
      <c r="M318" s="2"/>
    </row>
    <row r="319" spans="13:13">
      <c r="M319" s="2"/>
    </row>
    <row r="320" spans="13:13">
      <c r="M320" s="2"/>
    </row>
    <row r="321" spans="13:13">
      <c r="M321" s="2"/>
    </row>
    <row r="322" spans="13:13">
      <c r="M322" s="2"/>
    </row>
    <row r="323" spans="13:13">
      <c r="M323" s="2"/>
    </row>
    <row r="324" spans="13:13">
      <c r="M324" s="2"/>
    </row>
    <row r="325" spans="13:13">
      <c r="M325" s="2"/>
    </row>
    <row r="326" spans="13:13">
      <c r="M326" s="2"/>
    </row>
    <row r="327" spans="13:13">
      <c r="M327" s="2"/>
    </row>
    <row r="328" spans="13:13">
      <c r="M328" s="2"/>
    </row>
    <row r="329" spans="13:13">
      <c r="M329" s="2"/>
    </row>
    <row r="330" spans="13:13">
      <c r="M330" s="2"/>
    </row>
    <row r="331" spans="13:13">
      <c r="M331" s="2"/>
    </row>
    <row r="332" spans="13:13">
      <c r="M332" s="2"/>
    </row>
    <row r="333" spans="13:13">
      <c r="M333" s="2"/>
    </row>
    <row r="334" spans="13:13">
      <c r="M334" s="2"/>
    </row>
    <row r="335" spans="13:13">
      <c r="M335" s="2"/>
    </row>
    <row r="336" spans="13:13">
      <c r="M336" s="2"/>
    </row>
    <row r="337" spans="13:13">
      <c r="M337" s="2"/>
    </row>
    <row r="338" spans="13:13">
      <c r="M338" s="2"/>
    </row>
    <row r="339" spans="13:13">
      <c r="M339" s="2"/>
    </row>
    <row r="340" spans="13:13">
      <c r="M340" s="2"/>
    </row>
    <row r="341" spans="13:13">
      <c r="M341" s="2"/>
    </row>
    <row r="342" spans="13:13">
      <c r="M342" s="2"/>
    </row>
    <row r="343" spans="13:13">
      <c r="M343" s="2"/>
    </row>
    <row r="344" spans="13:13">
      <c r="M344" s="2"/>
    </row>
    <row r="345" spans="13:13">
      <c r="M345" s="2"/>
    </row>
    <row r="346" spans="13:13">
      <c r="M346" s="2"/>
    </row>
    <row r="347" spans="13:13">
      <c r="M347" s="2"/>
    </row>
    <row r="348" spans="13:13">
      <c r="M348" s="2"/>
    </row>
    <row r="349" spans="13:13">
      <c r="M349" s="2"/>
    </row>
    <row r="350" spans="13:13">
      <c r="M350" s="2"/>
    </row>
    <row r="351" spans="13:13">
      <c r="M351" s="2"/>
    </row>
    <row r="352" spans="13:13">
      <c r="M352" s="2"/>
    </row>
    <row r="353" spans="13:13">
      <c r="M353" s="2"/>
    </row>
    <row r="354" spans="13:13">
      <c r="M354" s="2"/>
    </row>
    <row r="355" spans="13:13">
      <c r="M355" s="2"/>
    </row>
    <row r="356" spans="13:13">
      <c r="M356" s="2"/>
    </row>
    <row r="357" spans="13:13">
      <c r="M357" s="2"/>
    </row>
    <row r="358" spans="13:13">
      <c r="M358" s="2"/>
    </row>
    <row r="359" spans="13:13">
      <c r="M359" s="2"/>
    </row>
    <row r="360" spans="13:13">
      <c r="M360" s="2"/>
    </row>
    <row r="361" spans="13:13">
      <c r="M361" s="2"/>
    </row>
    <row r="362" spans="13:13">
      <c r="M362" s="2"/>
    </row>
    <row r="363" spans="13:13">
      <c r="M363" s="2"/>
    </row>
    <row r="364" spans="13:13">
      <c r="M364" s="2"/>
    </row>
    <row r="365" spans="13:13">
      <c r="M365" s="2"/>
    </row>
    <row r="366" spans="13:13">
      <c r="M366" s="2"/>
    </row>
    <row r="367" spans="13:13">
      <c r="M367" s="2"/>
    </row>
    <row r="368" spans="13:13">
      <c r="M368" s="2"/>
    </row>
    <row r="369" spans="13:13">
      <c r="M369" s="2"/>
    </row>
    <row r="370" spans="13:13">
      <c r="M370" s="2"/>
    </row>
    <row r="371" spans="13:13">
      <c r="M371" s="2"/>
    </row>
    <row r="372" spans="13:13">
      <c r="M372" s="2"/>
    </row>
    <row r="373" spans="13:13">
      <c r="M373" s="2"/>
    </row>
    <row r="374" spans="13:13">
      <c r="M374" s="2"/>
    </row>
    <row r="375" spans="13:13">
      <c r="M375" s="2"/>
    </row>
    <row r="376" spans="13:13">
      <c r="M376" s="2"/>
    </row>
    <row r="377" spans="13:13">
      <c r="M377" s="2"/>
    </row>
    <row r="378" spans="13:13">
      <c r="M378" s="2"/>
    </row>
    <row r="379" spans="13:13">
      <c r="M379" s="2"/>
    </row>
    <row r="380" spans="13:13">
      <c r="M380" s="2"/>
    </row>
    <row r="381" spans="13:13">
      <c r="M381" s="2"/>
    </row>
    <row r="382" spans="13:13">
      <c r="M382" s="2"/>
    </row>
    <row r="383" spans="13:13">
      <c r="M383" s="2"/>
    </row>
    <row r="384" spans="13:13">
      <c r="M384" s="2"/>
    </row>
    <row r="385" spans="13:13">
      <c r="M385" s="2"/>
    </row>
    <row r="386" spans="13:13">
      <c r="M386" s="2"/>
    </row>
    <row r="387" spans="13:13">
      <c r="M387" s="2"/>
    </row>
    <row r="388" spans="13:13">
      <c r="M388" s="2"/>
    </row>
    <row r="389" spans="13:13">
      <c r="M389" s="2"/>
    </row>
    <row r="390" spans="13:13">
      <c r="M390" s="2"/>
    </row>
    <row r="391" spans="13:13">
      <c r="M391" s="2"/>
    </row>
    <row r="392" spans="13:13">
      <c r="M392" s="2"/>
    </row>
    <row r="393" spans="13:13">
      <c r="M393" s="2"/>
    </row>
    <row r="394" spans="13:13">
      <c r="M394" s="2"/>
    </row>
    <row r="395" spans="13:13">
      <c r="M395" s="2"/>
    </row>
    <row r="396" spans="13:13">
      <c r="M396" s="2"/>
    </row>
    <row r="397" spans="13:13">
      <c r="M397" s="2"/>
    </row>
    <row r="398" spans="13:13">
      <c r="M398" s="2"/>
    </row>
    <row r="399" spans="13:13">
      <c r="M399" s="2"/>
    </row>
    <row r="400" spans="13:13">
      <c r="M400" s="2"/>
    </row>
    <row r="401" spans="13:13">
      <c r="M401" s="2"/>
    </row>
    <row r="402" spans="13:13">
      <c r="M402" s="2"/>
    </row>
    <row r="403" spans="13:13">
      <c r="M403" s="2"/>
    </row>
    <row r="404" spans="13:13">
      <c r="M404" s="2"/>
    </row>
    <row r="405" spans="13:13">
      <c r="M405" s="2"/>
    </row>
    <row r="406" spans="13:13">
      <c r="M406" s="2"/>
    </row>
    <row r="407" spans="13:13">
      <c r="M407" s="2"/>
    </row>
    <row r="408" spans="13:13">
      <c r="M408" s="2"/>
    </row>
    <row r="409" spans="13:13">
      <c r="M409" s="2"/>
    </row>
    <row r="410" spans="13:13">
      <c r="M410" s="2"/>
    </row>
    <row r="411" spans="13:13">
      <c r="M411" s="2"/>
    </row>
    <row r="412" spans="13:13">
      <c r="M412" s="2"/>
    </row>
    <row r="413" spans="13:13">
      <c r="M413" s="2"/>
    </row>
    <row r="414" spans="13:13">
      <c r="M414" s="2"/>
    </row>
    <row r="415" spans="13:13">
      <c r="M415" s="2"/>
    </row>
    <row r="416" spans="13:13">
      <c r="M416" s="2"/>
    </row>
    <row r="417" spans="13:13">
      <c r="M417" s="2"/>
    </row>
    <row r="418" spans="13:13">
      <c r="M418" s="2"/>
    </row>
    <row r="419" spans="13:13">
      <c r="M419" s="2"/>
    </row>
    <row r="420" spans="13:13">
      <c r="M420" s="2"/>
    </row>
    <row r="421" spans="13:13">
      <c r="M421" s="2"/>
    </row>
    <row r="422" spans="13:13">
      <c r="M422" s="2"/>
    </row>
    <row r="423" spans="13:13">
      <c r="M423" s="2"/>
    </row>
    <row r="424" spans="13:13">
      <c r="M424" s="2"/>
    </row>
    <row r="425" spans="13:13">
      <c r="M425" s="2"/>
    </row>
    <row r="426" spans="13:13">
      <c r="M426" s="2"/>
    </row>
    <row r="427" spans="13:13">
      <c r="M427" s="2"/>
    </row>
    <row r="428" spans="13:13">
      <c r="M428" s="2"/>
    </row>
    <row r="429" spans="13:13">
      <c r="M429" s="2"/>
    </row>
    <row r="430" spans="13:13">
      <c r="M430" s="2"/>
    </row>
    <row r="431" spans="13:13">
      <c r="M431" s="2"/>
    </row>
    <row r="432" spans="13:13">
      <c r="M432" s="2"/>
    </row>
    <row r="433" spans="13:13">
      <c r="M433" s="2"/>
    </row>
    <row r="434" spans="13:13">
      <c r="M434" s="2"/>
    </row>
    <row r="435" spans="13:13">
      <c r="M435" s="2"/>
    </row>
    <row r="436" spans="13:13">
      <c r="M436" s="2"/>
    </row>
    <row r="437" spans="13:13">
      <c r="M437" s="2"/>
    </row>
    <row r="438" spans="13:13">
      <c r="M438" s="2"/>
    </row>
    <row r="439" spans="13:13">
      <c r="M439" s="2"/>
    </row>
    <row r="440" spans="13:13">
      <c r="M440" s="2"/>
    </row>
    <row r="441" spans="13:13">
      <c r="M441" s="2"/>
    </row>
    <row r="442" spans="13:13">
      <c r="M442" s="2"/>
    </row>
    <row r="443" spans="13:13">
      <c r="M443" s="2"/>
    </row>
    <row r="444" spans="13:13">
      <c r="M444" s="2"/>
    </row>
    <row r="445" spans="13:13">
      <c r="M445" s="2"/>
    </row>
    <row r="446" spans="13:13">
      <c r="M446" s="2"/>
    </row>
    <row r="447" spans="13:13">
      <c r="M447" s="2"/>
    </row>
    <row r="448" spans="13:13">
      <c r="M448" s="2"/>
    </row>
    <row r="449" spans="13:13">
      <c r="M449" s="2"/>
    </row>
    <row r="450" spans="13:13">
      <c r="M450" s="2"/>
    </row>
    <row r="451" spans="13:13">
      <c r="M451" s="2"/>
    </row>
    <row r="452" spans="13:13">
      <c r="M452" s="2"/>
    </row>
    <row r="453" spans="13:13">
      <c r="M453" s="2"/>
    </row>
    <row r="454" spans="13:13">
      <c r="M454" s="2"/>
    </row>
    <row r="455" spans="13:13">
      <c r="M455" s="2"/>
    </row>
    <row r="456" spans="13:13">
      <c r="M456" s="2"/>
    </row>
    <row r="457" spans="13:13">
      <c r="M457" s="2"/>
    </row>
    <row r="458" spans="13:13">
      <c r="M458" s="2"/>
    </row>
    <row r="459" spans="13:13">
      <c r="M459" s="2"/>
    </row>
    <row r="460" spans="13:13">
      <c r="M460" s="2"/>
    </row>
    <row r="461" spans="13:13">
      <c r="M461" s="2"/>
    </row>
    <row r="462" spans="13:13">
      <c r="M462" s="2"/>
    </row>
    <row r="463" spans="13:13">
      <c r="M463" s="2"/>
    </row>
    <row r="464" spans="13:13">
      <c r="M464" s="2"/>
    </row>
    <row r="465" spans="13:13">
      <c r="M465" s="2"/>
    </row>
    <row r="466" spans="13:13">
      <c r="M466" s="2"/>
    </row>
    <row r="467" spans="13:13">
      <c r="M467" s="2"/>
    </row>
    <row r="468" spans="13:13">
      <c r="M468" s="2"/>
    </row>
    <row r="469" spans="13:13">
      <c r="M469" s="2"/>
    </row>
    <row r="470" spans="13:13">
      <c r="M470" s="2"/>
    </row>
    <row r="471" spans="13:13">
      <c r="M471" s="2"/>
    </row>
    <row r="472" spans="13:13">
      <c r="M472" s="2"/>
    </row>
    <row r="473" spans="13:13">
      <c r="M473" s="2"/>
    </row>
    <row r="474" spans="13:13">
      <c r="M474" s="2"/>
    </row>
    <row r="475" spans="13:13">
      <c r="M475" s="2"/>
    </row>
    <row r="476" spans="13:13">
      <c r="M476" s="2"/>
    </row>
    <row r="477" spans="13:13">
      <c r="M477" s="2"/>
    </row>
    <row r="478" spans="13:13">
      <c r="M478" s="2"/>
    </row>
    <row r="479" spans="13:13">
      <c r="M479" s="2"/>
    </row>
    <row r="480" spans="13:13">
      <c r="M480" s="2"/>
    </row>
    <row r="481" spans="13:13">
      <c r="M481" s="2"/>
    </row>
    <row r="482" spans="13:13">
      <c r="M482" s="2"/>
    </row>
    <row r="483" spans="13:13">
      <c r="M483" s="2"/>
    </row>
    <row r="484" spans="13:13">
      <c r="M484" s="2"/>
    </row>
    <row r="485" spans="13:13">
      <c r="M485" s="2"/>
    </row>
    <row r="486" spans="13:13">
      <c r="M486" s="2"/>
    </row>
    <row r="487" spans="13:13">
      <c r="M487" s="2"/>
    </row>
    <row r="488" spans="13:13">
      <c r="M488" s="2"/>
    </row>
    <row r="489" spans="13:13">
      <c r="M489" s="2"/>
    </row>
    <row r="490" spans="13:13">
      <c r="M490" s="2"/>
    </row>
    <row r="491" spans="13:13">
      <c r="M491" s="2"/>
    </row>
    <row r="492" spans="13:13">
      <c r="M492" s="2"/>
    </row>
    <row r="493" spans="13:13">
      <c r="M493" s="2"/>
    </row>
    <row r="494" spans="13:13">
      <c r="M494" s="2"/>
    </row>
    <row r="495" spans="13:13">
      <c r="M495" s="2"/>
    </row>
    <row r="496" spans="13:13">
      <c r="M496" s="2"/>
    </row>
    <row r="497" spans="13:13">
      <c r="M497" s="2"/>
    </row>
    <row r="498" spans="13:13">
      <c r="M498" s="2"/>
    </row>
    <row r="499" spans="13:13">
      <c r="M499" s="2"/>
    </row>
    <row r="500" spans="13:13">
      <c r="M500" s="2"/>
    </row>
    <row r="501" spans="13:13">
      <c r="M501" s="2"/>
    </row>
    <row r="502" spans="13:13">
      <c r="M502" s="2"/>
    </row>
    <row r="503" spans="13:13">
      <c r="M503" s="2"/>
    </row>
    <row r="504" spans="13:13">
      <c r="M504" s="2"/>
    </row>
    <row r="505" spans="13:13">
      <c r="M505" s="2"/>
    </row>
    <row r="506" spans="13:13">
      <c r="M506" s="2"/>
    </row>
    <row r="507" spans="13:13">
      <c r="M507" s="2"/>
    </row>
    <row r="508" spans="13:13">
      <c r="M508" s="2"/>
    </row>
    <row r="509" spans="13:13">
      <c r="M509" s="2"/>
    </row>
    <row r="510" spans="13:13">
      <c r="M510" s="2"/>
    </row>
    <row r="511" spans="13:13">
      <c r="M511" s="2"/>
    </row>
    <row r="512" spans="13:13">
      <c r="M512" s="2"/>
    </row>
    <row r="513" spans="13:13">
      <c r="M513" s="2"/>
    </row>
    <row r="514" spans="13:13">
      <c r="M514" s="2"/>
    </row>
    <row r="515" spans="13:13">
      <c r="M515" s="2"/>
    </row>
    <row r="516" spans="13:13">
      <c r="M516" s="2"/>
    </row>
    <row r="517" spans="13:13">
      <c r="M517" s="2"/>
    </row>
    <row r="518" spans="13:13">
      <c r="M518" s="2"/>
    </row>
    <row r="519" spans="13:13">
      <c r="M519" s="2"/>
    </row>
    <row r="520" spans="13:13">
      <c r="M520" s="2"/>
    </row>
    <row r="521" spans="13:13">
      <c r="M521" s="2"/>
    </row>
    <row r="522" spans="13:13">
      <c r="M522" s="2"/>
    </row>
    <row r="523" spans="13:13">
      <c r="M523" s="2"/>
    </row>
    <row r="524" spans="13:13">
      <c r="M524" s="2"/>
    </row>
    <row r="525" spans="13:13">
      <c r="M525" s="2"/>
    </row>
    <row r="526" spans="13:13">
      <c r="M526" s="2"/>
    </row>
    <row r="527" spans="13:13">
      <c r="M527" s="2"/>
    </row>
    <row r="528" spans="13:13">
      <c r="M528" s="2"/>
    </row>
    <row r="529" spans="13:13">
      <c r="M529" s="2"/>
    </row>
    <row r="530" spans="13:13">
      <c r="M530" s="2"/>
    </row>
    <row r="531" spans="13:13">
      <c r="M531" s="2"/>
    </row>
    <row r="532" spans="13:13">
      <c r="M532" s="2"/>
    </row>
    <row r="533" spans="13:13">
      <c r="M533" s="2"/>
    </row>
    <row r="534" spans="13:13">
      <c r="M534" s="2"/>
    </row>
    <row r="535" spans="13:13">
      <c r="M535" s="2"/>
    </row>
    <row r="536" spans="13:13">
      <c r="M536" s="2"/>
    </row>
    <row r="537" spans="13:13">
      <c r="M537" s="2"/>
    </row>
    <row r="538" spans="13:13">
      <c r="M538" s="2"/>
    </row>
    <row r="539" spans="13:13">
      <c r="M539" s="2"/>
    </row>
    <row r="540" spans="13:13">
      <c r="M540" s="2"/>
    </row>
    <row r="541" spans="13:13">
      <c r="M541" s="2"/>
    </row>
    <row r="542" spans="13:13">
      <c r="M542" s="2"/>
    </row>
    <row r="543" spans="13:13">
      <c r="M543" s="2"/>
    </row>
    <row r="544" spans="13:13">
      <c r="M544" s="2"/>
    </row>
    <row r="545" spans="13:13">
      <c r="M545" s="2"/>
    </row>
    <row r="546" spans="13:13">
      <c r="M546" s="2"/>
    </row>
    <row r="547" spans="13:13">
      <c r="M547" s="2"/>
    </row>
    <row r="548" spans="13:13">
      <c r="M548" s="2"/>
    </row>
    <row r="549" spans="13:13">
      <c r="M549" s="2"/>
    </row>
    <row r="550" spans="13:13">
      <c r="M550" s="2"/>
    </row>
    <row r="551" spans="13:13">
      <c r="M551" s="2"/>
    </row>
    <row r="552" spans="13:13">
      <c r="M552" s="2"/>
    </row>
    <row r="553" spans="13:13">
      <c r="M553" s="2"/>
    </row>
    <row r="554" spans="13:13">
      <c r="M554" s="2"/>
    </row>
    <row r="555" spans="13:13">
      <c r="M555" s="2"/>
    </row>
    <row r="556" spans="13:13">
      <c r="M556" s="2"/>
    </row>
    <row r="557" spans="13:13">
      <c r="M557" s="2"/>
    </row>
    <row r="558" spans="13:13">
      <c r="M558" s="2"/>
    </row>
    <row r="559" spans="13:13">
      <c r="M559" s="2"/>
    </row>
    <row r="560" spans="13:13">
      <c r="M560" s="2"/>
    </row>
    <row r="561" spans="13:13">
      <c r="M561" s="2"/>
    </row>
    <row r="562" spans="13:13">
      <c r="M562" s="2"/>
    </row>
    <row r="563" spans="13:13">
      <c r="M563" s="2"/>
    </row>
    <row r="564" spans="13:13">
      <c r="M564" s="2"/>
    </row>
    <row r="565" spans="13:13">
      <c r="M565" s="2"/>
    </row>
    <row r="566" spans="13:13">
      <c r="M566" s="2"/>
    </row>
    <row r="567" spans="13:13">
      <c r="M567" s="2"/>
    </row>
    <row r="568" spans="13:13">
      <c r="M568" s="2"/>
    </row>
    <row r="569" spans="13:13">
      <c r="M569" s="2"/>
    </row>
    <row r="570" spans="13:13">
      <c r="M570" s="2"/>
    </row>
    <row r="571" spans="13:13">
      <c r="M571" s="2"/>
    </row>
    <row r="572" spans="13:13">
      <c r="M572" s="2"/>
    </row>
    <row r="573" spans="13:13">
      <c r="M573" s="2"/>
    </row>
    <row r="574" spans="13:13">
      <c r="M574" s="2"/>
    </row>
    <row r="575" spans="13:13">
      <c r="M575" s="2"/>
    </row>
    <row r="576" spans="13:13">
      <c r="M576" s="2"/>
    </row>
    <row r="577" spans="13:13">
      <c r="M577" s="2"/>
    </row>
    <row r="578" spans="13:13">
      <c r="M578" s="2"/>
    </row>
    <row r="579" spans="13:13">
      <c r="M579" s="2"/>
    </row>
    <row r="580" spans="13:13">
      <c r="M580" s="2"/>
    </row>
    <row r="581" spans="13:13">
      <c r="M581" s="2"/>
    </row>
    <row r="582" spans="13:13">
      <c r="M582" s="2"/>
    </row>
    <row r="583" spans="13:13">
      <c r="M583" s="2"/>
    </row>
  </sheetData>
  <mergeCells count="1">
    <mergeCell ref="B4:F4"/>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76802"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76803"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76804"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0" enableFormatConditionsCalculation="0"/>
  <dimension ref="A1:N87"/>
  <sheetViews>
    <sheetView workbookViewId="0"/>
  </sheetViews>
  <sheetFormatPr baseColWidth="10" defaultColWidth="8.83203125" defaultRowHeight="12" x14ac:dyDescent="0"/>
  <cols>
    <col min="1" max="1" width="11.83203125" customWidth="1"/>
    <col min="2" max="3" width="10.1640625" customWidth="1"/>
    <col min="4" max="4" width="11.5" customWidth="1"/>
    <col min="5" max="5" width="12.5" customWidth="1"/>
    <col min="6" max="6" width="10.5" customWidth="1"/>
    <col min="7" max="7" width="10.1640625" customWidth="1"/>
    <col min="8" max="8" width="11.5" customWidth="1"/>
    <col min="10" max="10" width="12.332031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797</v>
      </c>
      <c r="C3" s="20"/>
      <c r="D3" s="21"/>
      <c r="E3" s="21"/>
      <c r="F3" s="21"/>
      <c r="G3" s="21"/>
      <c r="H3" s="21"/>
      <c r="I3" s="21"/>
      <c r="J3" s="21"/>
    </row>
    <row r="4" spans="1:14">
      <c r="A4" s="19" t="s">
        <v>774</v>
      </c>
      <c r="B4" s="20" t="s">
        <v>381</v>
      </c>
      <c r="C4" s="20"/>
      <c r="D4" s="21"/>
      <c r="E4" s="21"/>
      <c r="F4" s="21"/>
      <c r="G4" s="21"/>
      <c r="H4" s="21"/>
      <c r="I4" s="21"/>
      <c r="J4" s="21"/>
    </row>
    <row r="5" spans="1:14">
      <c r="A5" s="19" t="s">
        <v>779</v>
      </c>
      <c r="B5" s="20" t="s">
        <v>796</v>
      </c>
      <c r="C5" s="20"/>
      <c r="D5" s="21"/>
      <c r="E5" s="21"/>
      <c r="F5" s="21"/>
      <c r="G5" s="21"/>
      <c r="H5" s="21"/>
      <c r="I5" s="21"/>
      <c r="J5" s="21"/>
    </row>
    <row r="6" spans="1:14" ht="15">
      <c r="A6" s="19"/>
      <c r="B6" s="189" t="s">
        <v>1123</v>
      </c>
      <c r="C6" s="20"/>
      <c r="D6" s="21"/>
      <c r="E6" s="21"/>
      <c r="F6" s="21"/>
      <c r="G6" s="21"/>
      <c r="H6" s="21"/>
      <c r="I6" s="21"/>
      <c r="J6" s="21"/>
    </row>
    <row r="7" spans="1:14">
      <c r="A7" s="19"/>
      <c r="B7" s="20" t="s">
        <v>111</v>
      </c>
      <c r="C7" s="20"/>
      <c r="D7" s="21"/>
      <c r="E7" s="21"/>
      <c r="F7" s="21"/>
      <c r="G7" s="21"/>
      <c r="H7" s="21"/>
      <c r="I7" s="21"/>
      <c r="J7" s="21"/>
    </row>
    <row r="8" spans="1:14" ht="15">
      <c r="A8" s="19"/>
      <c r="B8" s="189" t="s">
        <v>1125</v>
      </c>
      <c r="C8" s="20"/>
      <c r="D8" s="21"/>
      <c r="E8" s="21"/>
      <c r="F8" s="21"/>
      <c r="G8" s="21"/>
      <c r="H8" s="21"/>
      <c r="I8" s="21"/>
      <c r="J8" s="21"/>
    </row>
    <row r="9" spans="1:14" ht="15">
      <c r="A9" s="19"/>
      <c r="B9" s="127" t="s">
        <v>1124</v>
      </c>
      <c r="C9" s="20"/>
      <c r="D9" s="21"/>
      <c r="E9" s="21"/>
      <c r="F9" s="21"/>
      <c r="G9" s="21"/>
      <c r="H9" s="21"/>
      <c r="I9" s="21"/>
      <c r="J9" s="21"/>
    </row>
    <row r="10" spans="1:14" ht="60">
      <c r="A10" s="22" t="s">
        <v>1090</v>
      </c>
      <c r="B10" s="31" t="s">
        <v>1098</v>
      </c>
      <c r="C10" s="31" t="s">
        <v>1126</v>
      </c>
      <c r="D10" s="31" t="s">
        <v>1127</v>
      </c>
      <c r="E10" s="31" t="s">
        <v>1128</v>
      </c>
      <c r="F10" s="31" t="s">
        <v>1129</v>
      </c>
      <c r="G10" s="31" t="s">
        <v>1130</v>
      </c>
      <c r="H10" s="31"/>
      <c r="I10" s="31"/>
      <c r="J10" s="31"/>
    </row>
    <row r="11" spans="1:14">
      <c r="A11" s="26">
        <v>36496</v>
      </c>
      <c r="B11" s="41">
        <v>122.90600000000001</v>
      </c>
      <c r="C11" s="52">
        <f>B11</f>
        <v>122.90600000000001</v>
      </c>
      <c r="D11" s="52"/>
      <c r="E11" s="52"/>
      <c r="F11" s="52"/>
      <c r="G11" s="52"/>
      <c r="H11" s="109"/>
      <c r="I11" s="52"/>
      <c r="J11" s="52"/>
      <c r="K11" s="2"/>
    </row>
    <row r="12" spans="1:14">
      <c r="A12" s="26">
        <v>36497</v>
      </c>
      <c r="B12" s="41">
        <v>126.5</v>
      </c>
      <c r="C12" s="52">
        <f>B12*(2/(5+1)) + (1-(2/(5+1)))*C11</f>
        <v>124.10400000000001</v>
      </c>
      <c r="D12" s="52"/>
      <c r="E12" s="52"/>
      <c r="F12" s="52"/>
      <c r="G12" s="52"/>
      <c r="H12" s="109"/>
      <c r="I12" s="52"/>
      <c r="J12" s="52"/>
      <c r="K12" s="2"/>
    </row>
    <row r="13" spans="1:14">
      <c r="A13" s="27">
        <v>36500</v>
      </c>
      <c r="B13" s="45">
        <v>140.40600000000001</v>
      </c>
      <c r="C13" s="55">
        <f t="shared" ref="C13:C60" si="0">B13*(2/(5+1)) + (1-(2/(5+1)))*C12</f>
        <v>129.53800000000001</v>
      </c>
      <c r="D13" s="55"/>
      <c r="E13" s="55"/>
      <c r="F13" s="55"/>
      <c r="G13" s="55"/>
      <c r="H13" s="110"/>
      <c r="I13" s="55"/>
      <c r="J13" s="55"/>
      <c r="K13" s="2"/>
    </row>
    <row r="14" spans="1:14">
      <c r="A14" s="27">
        <v>36501</v>
      </c>
      <c r="B14" s="45">
        <v>174</v>
      </c>
      <c r="C14" s="55">
        <f t="shared" si="0"/>
        <v>144.35866666666669</v>
      </c>
      <c r="D14" s="55"/>
      <c r="E14" s="55"/>
      <c r="F14" s="55"/>
      <c r="G14" s="55"/>
      <c r="H14" s="110"/>
      <c r="I14" s="55"/>
      <c r="J14" s="55"/>
      <c r="K14" s="2"/>
    </row>
    <row r="15" spans="1:14">
      <c r="A15" s="26">
        <v>36502</v>
      </c>
      <c r="B15" s="41">
        <v>159.81200000000001</v>
      </c>
      <c r="C15" s="52">
        <f t="shared" si="0"/>
        <v>149.5097777777778</v>
      </c>
      <c r="D15" s="52">
        <f>C15</f>
        <v>149.5097777777778</v>
      </c>
      <c r="E15" s="52"/>
      <c r="F15" s="52"/>
      <c r="G15" s="52"/>
      <c r="H15" s="109"/>
      <c r="I15" s="52"/>
      <c r="J15" s="52"/>
      <c r="K15" s="2"/>
    </row>
    <row r="16" spans="1:14">
      <c r="A16" s="26">
        <v>36503</v>
      </c>
      <c r="B16" s="41">
        <v>170</v>
      </c>
      <c r="C16" s="52">
        <f t="shared" si="0"/>
        <v>156.33985185185188</v>
      </c>
      <c r="D16" s="52">
        <f t="shared" ref="D16:D60" si="1">C16*(2/(5+1)) + (1-(2/(5+1)))*D15</f>
        <v>151.78646913580249</v>
      </c>
      <c r="E16" s="52"/>
      <c r="F16" s="52"/>
      <c r="G16" s="52"/>
      <c r="H16" s="109"/>
      <c r="I16" s="52"/>
      <c r="J16" s="52"/>
      <c r="K16" s="2"/>
    </row>
    <row r="17" spans="1:11">
      <c r="A17" s="27">
        <v>36504</v>
      </c>
      <c r="B17" s="45">
        <v>176.75</v>
      </c>
      <c r="C17" s="55">
        <f t="shared" si="0"/>
        <v>163.14323456790126</v>
      </c>
      <c r="D17" s="55">
        <f t="shared" si="1"/>
        <v>155.57205761316877</v>
      </c>
      <c r="E17" s="55"/>
      <c r="F17" s="55"/>
      <c r="G17" s="55"/>
      <c r="H17" s="110"/>
      <c r="I17" s="55"/>
      <c r="J17" s="55"/>
      <c r="K17" s="2"/>
    </row>
    <row r="18" spans="1:11">
      <c r="A18" s="27">
        <v>36507</v>
      </c>
      <c r="B18" s="45">
        <v>175.53100000000001</v>
      </c>
      <c r="C18" s="55">
        <f t="shared" si="0"/>
        <v>167.27248971193418</v>
      </c>
      <c r="D18" s="55">
        <f t="shared" si="1"/>
        <v>159.47220164609058</v>
      </c>
      <c r="E18" s="55"/>
      <c r="F18" s="55"/>
      <c r="G18" s="55"/>
      <c r="H18" s="110"/>
      <c r="I18" s="55"/>
      <c r="J18" s="55"/>
      <c r="K18" s="2"/>
    </row>
    <row r="19" spans="1:11">
      <c r="A19" s="26">
        <v>36508</v>
      </c>
      <c r="B19" s="41">
        <v>166.56200000000001</v>
      </c>
      <c r="C19" s="52">
        <f t="shared" si="0"/>
        <v>167.03565980795614</v>
      </c>
      <c r="D19" s="52">
        <f t="shared" si="1"/>
        <v>161.99335436671242</v>
      </c>
      <c r="E19" s="52">
        <f>D19</f>
        <v>161.99335436671242</v>
      </c>
      <c r="F19" s="52">
        <f>(2*C19)-D19</f>
        <v>172.07796524919985</v>
      </c>
      <c r="G19" s="52"/>
      <c r="H19" s="109"/>
      <c r="I19" s="52"/>
      <c r="J19" s="52"/>
      <c r="K19" s="2"/>
    </row>
    <row r="20" spans="1:11">
      <c r="A20" s="26">
        <v>36509</v>
      </c>
      <c r="B20" s="41">
        <v>163.75</v>
      </c>
      <c r="C20" s="52">
        <f t="shared" si="0"/>
        <v>165.94043987197077</v>
      </c>
      <c r="D20" s="52">
        <f t="shared" si="1"/>
        <v>163.30904953513189</v>
      </c>
      <c r="E20" s="52">
        <f t="shared" ref="E20:E60" si="2">D20*(2/(5+1)) + (1-(2/(5+1)))*E19</f>
        <v>162.43191942285227</v>
      </c>
      <c r="F20" s="52">
        <f t="shared" ref="F20:F60" si="3">(2*C20)-D20</f>
        <v>168.57183020880964</v>
      </c>
      <c r="G20" s="52"/>
      <c r="H20" s="109"/>
      <c r="I20" s="52"/>
      <c r="J20" s="52"/>
      <c r="K20" s="2"/>
    </row>
    <row r="21" spans="1:11">
      <c r="A21" s="27">
        <v>36510</v>
      </c>
      <c r="B21" s="45">
        <v>170.5</v>
      </c>
      <c r="C21" s="55">
        <f t="shared" si="0"/>
        <v>167.46029324798053</v>
      </c>
      <c r="D21" s="55">
        <f t="shared" si="1"/>
        <v>164.69279743941479</v>
      </c>
      <c r="E21" s="55">
        <f t="shared" si="2"/>
        <v>163.18554542837313</v>
      </c>
      <c r="F21" s="55">
        <f t="shared" si="3"/>
        <v>170.22778905654627</v>
      </c>
      <c r="G21" s="55"/>
      <c r="H21" s="110"/>
      <c r="I21" s="55"/>
      <c r="J21" s="55"/>
      <c r="K21" s="2"/>
    </row>
    <row r="22" spans="1:11">
      <c r="A22" s="27">
        <v>36511</v>
      </c>
      <c r="B22" s="45">
        <v>175</v>
      </c>
      <c r="C22" s="55">
        <f t="shared" si="0"/>
        <v>169.97352883198704</v>
      </c>
      <c r="D22" s="55">
        <f t="shared" si="1"/>
        <v>166.45304123693887</v>
      </c>
      <c r="E22" s="55">
        <f t="shared" si="2"/>
        <v>164.27471069789505</v>
      </c>
      <c r="F22" s="55">
        <f t="shared" si="3"/>
        <v>173.49401642703521</v>
      </c>
      <c r="G22" s="55"/>
      <c r="H22" s="110"/>
      <c r="I22" s="55"/>
      <c r="J22" s="55"/>
      <c r="K22" s="2"/>
    </row>
    <row r="23" spans="1:11">
      <c r="A23" s="26">
        <v>36514</v>
      </c>
      <c r="B23" s="41">
        <v>184.75</v>
      </c>
      <c r="C23" s="52">
        <f t="shared" si="0"/>
        <v>174.89901922132469</v>
      </c>
      <c r="D23" s="52">
        <f t="shared" si="1"/>
        <v>169.26836723173415</v>
      </c>
      <c r="E23" s="52">
        <f t="shared" si="2"/>
        <v>165.93926287584142</v>
      </c>
      <c r="F23" s="52">
        <f t="shared" si="3"/>
        <v>180.52967121091524</v>
      </c>
      <c r="G23" s="52">
        <f t="shared" ref="G23:G42" si="4">((3*C23)-(3*D23)+E23)</f>
        <v>182.83121884461306</v>
      </c>
      <c r="H23" s="109"/>
      <c r="I23" s="52"/>
      <c r="J23" s="52"/>
      <c r="K23" s="2"/>
    </row>
    <row r="24" spans="1:11">
      <c r="A24" s="26">
        <v>36515</v>
      </c>
      <c r="B24" s="41">
        <v>202.78100000000001</v>
      </c>
      <c r="C24" s="52">
        <f t="shared" si="0"/>
        <v>184.19301281421647</v>
      </c>
      <c r="D24" s="52">
        <f t="shared" si="1"/>
        <v>174.2432490925616</v>
      </c>
      <c r="E24" s="52">
        <f t="shared" si="2"/>
        <v>168.70725828141482</v>
      </c>
      <c r="F24" s="52">
        <f t="shared" si="3"/>
        <v>194.14277653587135</v>
      </c>
      <c r="G24" s="52">
        <f t="shared" si="4"/>
        <v>198.55654944637953</v>
      </c>
      <c r="H24" s="109"/>
      <c r="I24" s="52"/>
      <c r="J24" s="52"/>
      <c r="K24" s="2"/>
    </row>
    <row r="25" spans="1:11">
      <c r="A25" s="27">
        <v>36516</v>
      </c>
      <c r="B25" s="45">
        <v>209.65600000000001</v>
      </c>
      <c r="C25" s="55">
        <f t="shared" si="0"/>
        <v>192.68067520947767</v>
      </c>
      <c r="D25" s="55">
        <f t="shared" si="1"/>
        <v>180.3890577982003</v>
      </c>
      <c r="E25" s="55">
        <f t="shared" si="2"/>
        <v>172.60119145367665</v>
      </c>
      <c r="F25" s="55">
        <f t="shared" si="3"/>
        <v>204.97229262075504</v>
      </c>
      <c r="G25" s="55">
        <f t="shared" si="4"/>
        <v>209.47604368750879</v>
      </c>
      <c r="H25" s="110"/>
      <c r="I25" s="55"/>
      <c r="J25" s="55"/>
      <c r="K25" s="2"/>
    </row>
    <row r="26" spans="1:11">
      <c r="A26" s="27">
        <v>36517</v>
      </c>
      <c r="B26" s="45">
        <v>201.31200000000001</v>
      </c>
      <c r="C26" s="55">
        <f t="shared" si="0"/>
        <v>195.55778347298514</v>
      </c>
      <c r="D26" s="55">
        <f t="shared" si="1"/>
        <v>185.44529968979526</v>
      </c>
      <c r="E26" s="55">
        <f t="shared" si="2"/>
        <v>176.88256086571619</v>
      </c>
      <c r="F26" s="55">
        <f t="shared" si="3"/>
        <v>205.67026725617501</v>
      </c>
      <c r="G26" s="55">
        <f t="shared" si="4"/>
        <v>207.22001221528581</v>
      </c>
      <c r="H26" s="110"/>
      <c r="I26" s="55"/>
      <c r="J26" s="55"/>
      <c r="K26" s="2"/>
    </row>
    <row r="27" spans="1:11">
      <c r="A27" s="26">
        <v>36521</v>
      </c>
      <c r="B27" s="41">
        <v>207.5</v>
      </c>
      <c r="C27" s="52">
        <f t="shared" si="0"/>
        <v>199.53852231532343</v>
      </c>
      <c r="D27" s="52">
        <f t="shared" si="1"/>
        <v>190.14304056497133</v>
      </c>
      <c r="E27" s="52">
        <f t="shared" si="2"/>
        <v>181.30272076546791</v>
      </c>
      <c r="F27" s="52">
        <f t="shared" si="3"/>
        <v>208.93400406567554</v>
      </c>
      <c r="G27" s="52">
        <f t="shared" si="4"/>
        <v>209.48916601652419</v>
      </c>
      <c r="H27" s="109"/>
      <c r="I27" s="52"/>
      <c r="J27" s="52"/>
      <c r="K27" s="2"/>
    </row>
    <row r="28" spans="1:11">
      <c r="A28" s="26">
        <v>36522</v>
      </c>
      <c r="B28" s="41">
        <v>195.125</v>
      </c>
      <c r="C28" s="52">
        <f t="shared" si="0"/>
        <v>198.06734821021564</v>
      </c>
      <c r="D28" s="52">
        <f t="shared" si="1"/>
        <v>192.78447644671945</v>
      </c>
      <c r="E28" s="52">
        <f t="shared" si="2"/>
        <v>185.12997265921842</v>
      </c>
      <c r="F28" s="52">
        <f t="shared" si="3"/>
        <v>203.35021997371183</v>
      </c>
      <c r="G28" s="52">
        <f t="shared" si="4"/>
        <v>200.97858794970705</v>
      </c>
      <c r="H28" s="109"/>
      <c r="I28" s="52"/>
      <c r="J28" s="52"/>
      <c r="K28" s="2"/>
    </row>
    <row r="29" spans="1:11">
      <c r="A29" s="27">
        <v>36523</v>
      </c>
      <c r="B29" s="45">
        <v>201.84399999999999</v>
      </c>
      <c r="C29" s="55">
        <f t="shared" si="0"/>
        <v>199.32623214014376</v>
      </c>
      <c r="D29" s="55">
        <f t="shared" si="1"/>
        <v>194.96506167786092</v>
      </c>
      <c r="E29" s="55">
        <f t="shared" si="2"/>
        <v>188.40833566543259</v>
      </c>
      <c r="F29" s="55">
        <f t="shared" si="3"/>
        <v>203.6874026024266</v>
      </c>
      <c r="G29" s="55">
        <f t="shared" si="4"/>
        <v>201.4918470522812</v>
      </c>
      <c r="H29" s="110"/>
      <c r="I29" s="55"/>
      <c r="J29" s="55"/>
      <c r="K29" s="2"/>
    </row>
    <row r="30" spans="1:11">
      <c r="A30" s="27">
        <v>36524</v>
      </c>
      <c r="B30" s="45">
        <v>208.03100000000001</v>
      </c>
      <c r="C30" s="55">
        <f t="shared" si="0"/>
        <v>202.22782142676255</v>
      </c>
      <c r="D30" s="55">
        <f t="shared" si="1"/>
        <v>197.38598159416148</v>
      </c>
      <c r="E30" s="55">
        <f t="shared" si="2"/>
        <v>191.40088430834223</v>
      </c>
      <c r="F30" s="55">
        <f t="shared" si="3"/>
        <v>207.06966125936361</v>
      </c>
      <c r="G30" s="55">
        <f t="shared" si="4"/>
        <v>205.92640380614532</v>
      </c>
      <c r="H30" s="110"/>
      <c r="I30" s="55"/>
      <c r="J30" s="55"/>
      <c r="K30" s="2"/>
    </row>
    <row r="31" spans="1:11">
      <c r="A31" s="26">
        <v>36525</v>
      </c>
      <c r="B31" s="41">
        <v>216.34399999999999</v>
      </c>
      <c r="C31" s="52">
        <f t="shared" si="0"/>
        <v>206.93321428450838</v>
      </c>
      <c r="D31" s="52">
        <f t="shared" si="1"/>
        <v>200.56839249094381</v>
      </c>
      <c r="E31" s="52">
        <f t="shared" si="2"/>
        <v>194.45672036920945</v>
      </c>
      <c r="F31" s="52">
        <f t="shared" si="3"/>
        <v>213.29803607807295</v>
      </c>
      <c r="G31" s="52">
        <f t="shared" si="4"/>
        <v>213.55118574990314</v>
      </c>
      <c r="H31" s="109"/>
      <c r="I31" s="52"/>
      <c r="J31" s="52"/>
      <c r="K31" s="2"/>
    </row>
    <row r="32" spans="1:11">
      <c r="A32" s="26">
        <v>36528</v>
      </c>
      <c r="B32" s="41">
        <v>237.5</v>
      </c>
      <c r="C32" s="52">
        <f t="shared" si="0"/>
        <v>217.12214285633894</v>
      </c>
      <c r="D32" s="52">
        <f t="shared" si="1"/>
        <v>206.08630927940885</v>
      </c>
      <c r="E32" s="52">
        <f t="shared" si="2"/>
        <v>198.3332500059426</v>
      </c>
      <c r="F32" s="52">
        <f t="shared" si="3"/>
        <v>228.15797643326903</v>
      </c>
      <c r="G32" s="52">
        <f t="shared" si="4"/>
        <v>231.44075073673281</v>
      </c>
      <c r="H32" s="52"/>
      <c r="I32" s="52"/>
      <c r="J32" s="52"/>
      <c r="K32" s="2"/>
    </row>
    <row r="33" spans="1:11">
      <c r="A33" s="27">
        <v>36529</v>
      </c>
      <c r="B33" s="45">
        <v>221.5</v>
      </c>
      <c r="C33" s="55">
        <f t="shared" si="0"/>
        <v>218.58142857089263</v>
      </c>
      <c r="D33" s="55">
        <f t="shared" si="1"/>
        <v>210.25134904323679</v>
      </c>
      <c r="E33" s="55">
        <f t="shared" si="2"/>
        <v>202.30594968504067</v>
      </c>
      <c r="F33" s="55">
        <f t="shared" si="3"/>
        <v>226.91150809854847</v>
      </c>
      <c r="G33" s="55">
        <f t="shared" si="4"/>
        <v>227.29618826800822</v>
      </c>
      <c r="H33" s="55"/>
      <c r="I33" s="55"/>
      <c r="J33" s="55"/>
      <c r="K33" s="2"/>
    </row>
    <row r="34" spans="1:11">
      <c r="A34" s="27">
        <v>36530</v>
      </c>
      <c r="B34" s="45">
        <v>205.25</v>
      </c>
      <c r="C34" s="55">
        <f t="shared" si="0"/>
        <v>214.13761904726175</v>
      </c>
      <c r="D34" s="55">
        <f t="shared" si="1"/>
        <v>211.54677237791179</v>
      </c>
      <c r="E34" s="55">
        <f t="shared" si="2"/>
        <v>205.38622391599773</v>
      </c>
      <c r="F34" s="55">
        <f t="shared" si="3"/>
        <v>216.72846571661171</v>
      </c>
      <c r="G34" s="55">
        <f t="shared" si="4"/>
        <v>213.15876392404761</v>
      </c>
      <c r="H34" s="55"/>
      <c r="I34" s="55"/>
      <c r="J34" s="55"/>
      <c r="K34" s="2"/>
    </row>
    <row r="35" spans="1:11">
      <c r="A35" s="26">
        <v>36531</v>
      </c>
      <c r="B35" s="41">
        <v>184.09399999999999</v>
      </c>
      <c r="C35" s="52">
        <f t="shared" si="0"/>
        <v>204.12307936484117</v>
      </c>
      <c r="D35" s="52">
        <f t="shared" si="1"/>
        <v>209.0722080402216</v>
      </c>
      <c r="E35" s="52">
        <f t="shared" si="2"/>
        <v>206.61488529073904</v>
      </c>
      <c r="F35" s="52">
        <f t="shared" si="3"/>
        <v>199.17395068946075</v>
      </c>
      <c r="G35" s="52">
        <f t="shared" si="4"/>
        <v>191.76749926459775</v>
      </c>
      <c r="H35" s="52"/>
      <c r="I35" s="52"/>
      <c r="J35" s="52"/>
      <c r="K35" s="2"/>
    </row>
    <row r="36" spans="1:11">
      <c r="A36" s="26">
        <v>36532</v>
      </c>
      <c r="B36" s="41">
        <v>203.625</v>
      </c>
      <c r="C36" s="52">
        <f t="shared" si="0"/>
        <v>203.95705290989414</v>
      </c>
      <c r="D36" s="52">
        <f t="shared" si="1"/>
        <v>207.36715633011244</v>
      </c>
      <c r="E36" s="52">
        <f t="shared" si="2"/>
        <v>206.86564230386352</v>
      </c>
      <c r="F36" s="52">
        <f t="shared" si="3"/>
        <v>200.54694948967585</v>
      </c>
      <c r="G36" s="52">
        <f t="shared" si="4"/>
        <v>196.63533204320868</v>
      </c>
      <c r="H36" s="52"/>
      <c r="I36" s="52"/>
      <c r="J36" s="52"/>
      <c r="K36" s="2"/>
    </row>
    <row r="37" spans="1:11">
      <c r="A37" s="27">
        <v>36535</v>
      </c>
      <c r="B37" s="45">
        <v>218.03100000000001</v>
      </c>
      <c r="C37" s="55">
        <f t="shared" si="0"/>
        <v>208.64836860659611</v>
      </c>
      <c r="D37" s="55">
        <f t="shared" si="1"/>
        <v>207.79422708894032</v>
      </c>
      <c r="E37" s="55">
        <f t="shared" si="2"/>
        <v>207.17517056555579</v>
      </c>
      <c r="F37" s="55">
        <f t="shared" si="3"/>
        <v>209.5025101242519</v>
      </c>
      <c r="G37" s="55">
        <f t="shared" si="4"/>
        <v>209.73759511852307</v>
      </c>
      <c r="H37" s="55"/>
      <c r="I37" s="55"/>
      <c r="J37" s="55"/>
      <c r="K37" s="2"/>
    </row>
    <row r="38" spans="1:11">
      <c r="A38" s="27">
        <v>36536</v>
      </c>
      <c r="B38" s="45">
        <v>198.68799999999999</v>
      </c>
      <c r="C38" s="55">
        <f t="shared" si="0"/>
        <v>205.32824573773075</v>
      </c>
      <c r="D38" s="55">
        <f t="shared" si="1"/>
        <v>206.97223330520382</v>
      </c>
      <c r="E38" s="55">
        <f t="shared" si="2"/>
        <v>207.10752481210514</v>
      </c>
      <c r="F38" s="55">
        <f t="shared" si="3"/>
        <v>203.68425817025769</v>
      </c>
      <c r="G38" s="55">
        <f t="shared" si="4"/>
        <v>202.17556210968601</v>
      </c>
      <c r="H38" s="55"/>
      <c r="I38" s="55"/>
      <c r="J38" s="55"/>
      <c r="K38" s="2"/>
    </row>
    <row r="39" spans="1:11">
      <c r="A39" s="26">
        <v>36537</v>
      </c>
      <c r="B39" s="41">
        <v>178.78100000000001</v>
      </c>
      <c r="C39" s="52">
        <f t="shared" si="0"/>
        <v>196.47916382515388</v>
      </c>
      <c r="D39" s="52">
        <f t="shared" si="1"/>
        <v>203.47454347852053</v>
      </c>
      <c r="E39" s="52">
        <f t="shared" si="2"/>
        <v>205.89653103424362</v>
      </c>
      <c r="F39" s="52">
        <f t="shared" si="3"/>
        <v>189.48378417178722</v>
      </c>
      <c r="G39" s="52">
        <f t="shared" si="4"/>
        <v>184.91039207414374</v>
      </c>
      <c r="H39" s="52"/>
      <c r="I39" s="52"/>
      <c r="J39" s="52"/>
      <c r="K39" s="2"/>
    </row>
    <row r="40" spans="1:11">
      <c r="A40" s="26">
        <v>36538</v>
      </c>
      <c r="B40" s="41">
        <v>173.43799999999999</v>
      </c>
      <c r="C40" s="52">
        <f t="shared" si="0"/>
        <v>188.79877588343595</v>
      </c>
      <c r="D40" s="52">
        <f t="shared" si="1"/>
        <v>198.5826209468257</v>
      </c>
      <c r="E40" s="52">
        <f t="shared" si="2"/>
        <v>203.45856100510434</v>
      </c>
      <c r="F40" s="52">
        <f t="shared" si="3"/>
        <v>179.0149308200462</v>
      </c>
      <c r="G40" s="52">
        <f t="shared" si="4"/>
        <v>174.10702581493513</v>
      </c>
      <c r="H40" s="52"/>
      <c r="I40" s="52"/>
      <c r="J40" s="52"/>
      <c r="K40" s="2"/>
    </row>
    <row r="41" spans="1:11">
      <c r="A41" s="27">
        <v>36539</v>
      </c>
      <c r="B41" s="45">
        <v>176.5</v>
      </c>
      <c r="C41" s="55">
        <f t="shared" si="0"/>
        <v>184.69918392229064</v>
      </c>
      <c r="D41" s="55">
        <f t="shared" si="1"/>
        <v>193.95480860531404</v>
      </c>
      <c r="E41" s="55">
        <f t="shared" si="2"/>
        <v>200.2906435385076</v>
      </c>
      <c r="F41" s="55">
        <f t="shared" si="3"/>
        <v>175.44355923926724</v>
      </c>
      <c r="G41" s="55">
        <f t="shared" si="4"/>
        <v>172.52376948943737</v>
      </c>
      <c r="H41" s="55"/>
      <c r="I41" s="55"/>
      <c r="J41" s="55"/>
      <c r="K41" s="2"/>
    </row>
    <row r="42" spans="1:11">
      <c r="A42" s="27">
        <v>36543</v>
      </c>
      <c r="B42" s="45">
        <v>170.59399999999999</v>
      </c>
      <c r="C42" s="55">
        <f t="shared" si="0"/>
        <v>179.99745594819376</v>
      </c>
      <c r="D42" s="55">
        <f t="shared" si="1"/>
        <v>189.3023577196073</v>
      </c>
      <c r="E42" s="55">
        <f t="shared" si="2"/>
        <v>196.62788159887418</v>
      </c>
      <c r="F42" s="55">
        <f t="shared" si="3"/>
        <v>170.69255417678022</v>
      </c>
      <c r="G42" s="55">
        <f t="shared" si="4"/>
        <v>168.71317628463351</v>
      </c>
      <c r="H42" s="55"/>
      <c r="I42" s="55"/>
      <c r="J42" s="55"/>
      <c r="K42" s="2"/>
    </row>
    <row r="43" spans="1:11">
      <c r="A43" s="26">
        <v>36544</v>
      </c>
      <c r="B43" s="41">
        <v>182</v>
      </c>
      <c r="C43" s="52">
        <f t="shared" si="0"/>
        <v>180.66497063212918</v>
      </c>
      <c r="D43" s="52">
        <f t="shared" si="1"/>
        <v>186.42322869044796</v>
      </c>
      <c r="E43" s="52">
        <f t="shared" si="2"/>
        <v>193.22633062939877</v>
      </c>
      <c r="F43" s="52">
        <f t="shared" si="3"/>
        <v>174.90671257381041</v>
      </c>
      <c r="G43" s="52">
        <f t="shared" ref="G43:G60" si="5">((3*C43)-(3*D43)+E43)</f>
        <v>175.95155645444248</v>
      </c>
      <c r="H43" s="52"/>
      <c r="I43" s="52"/>
      <c r="J43" s="52"/>
      <c r="K43" s="2"/>
    </row>
    <row r="44" spans="1:11">
      <c r="A44" s="26">
        <v>36545</v>
      </c>
      <c r="B44" s="41">
        <v>175.96899999999999</v>
      </c>
      <c r="C44" s="52">
        <f t="shared" si="0"/>
        <v>179.09964708808613</v>
      </c>
      <c r="D44" s="52">
        <f t="shared" si="1"/>
        <v>183.98203482299402</v>
      </c>
      <c r="E44" s="52">
        <f t="shared" si="2"/>
        <v>190.14489869393054</v>
      </c>
      <c r="F44" s="52">
        <f t="shared" si="3"/>
        <v>174.21725935317824</v>
      </c>
      <c r="G44" s="52">
        <f t="shared" si="5"/>
        <v>175.49773548920683</v>
      </c>
      <c r="H44" s="52"/>
      <c r="I44" s="52"/>
      <c r="J44" s="52"/>
      <c r="K44" s="2"/>
    </row>
    <row r="45" spans="1:11">
      <c r="A45" s="27">
        <v>36546</v>
      </c>
      <c r="B45" s="45">
        <v>175.96899999999999</v>
      </c>
      <c r="C45" s="55">
        <f t="shared" si="0"/>
        <v>178.0560980587241</v>
      </c>
      <c r="D45" s="55">
        <f t="shared" si="1"/>
        <v>182.00672256823739</v>
      </c>
      <c r="E45" s="55">
        <f t="shared" si="2"/>
        <v>187.43217331869951</v>
      </c>
      <c r="F45" s="55">
        <f t="shared" si="3"/>
        <v>174.10547354921081</v>
      </c>
      <c r="G45" s="55">
        <f t="shared" si="5"/>
        <v>175.58029979015967</v>
      </c>
      <c r="H45" s="55"/>
      <c r="I45" s="55"/>
      <c r="J45" s="55"/>
      <c r="K45" s="2"/>
    </row>
    <row r="46" spans="1:11">
      <c r="A46" s="27">
        <v>36549</v>
      </c>
      <c r="B46" s="45">
        <v>162.15600000000001</v>
      </c>
      <c r="C46" s="55">
        <f t="shared" si="0"/>
        <v>172.75606537248274</v>
      </c>
      <c r="D46" s="55">
        <f t="shared" si="1"/>
        <v>178.92317016965251</v>
      </c>
      <c r="E46" s="55">
        <f t="shared" si="2"/>
        <v>184.59583893568384</v>
      </c>
      <c r="F46" s="55">
        <f t="shared" si="3"/>
        <v>166.58896057531297</v>
      </c>
      <c r="G46" s="55">
        <f t="shared" si="5"/>
        <v>166.09452454417459</v>
      </c>
      <c r="H46" s="55"/>
      <c r="I46" s="55"/>
      <c r="J46" s="55"/>
      <c r="K46" s="2"/>
    </row>
    <row r="47" spans="1:11">
      <c r="A47" s="26">
        <v>36550</v>
      </c>
      <c r="B47" s="41">
        <v>172.78100000000001</v>
      </c>
      <c r="C47" s="52">
        <f t="shared" si="0"/>
        <v>172.7643769149885</v>
      </c>
      <c r="D47" s="52">
        <f t="shared" si="1"/>
        <v>176.87023908476453</v>
      </c>
      <c r="E47" s="52">
        <f t="shared" si="2"/>
        <v>182.02063898537742</v>
      </c>
      <c r="F47" s="52">
        <f t="shared" si="3"/>
        <v>168.65851474521247</v>
      </c>
      <c r="G47" s="52">
        <f t="shared" si="5"/>
        <v>169.70305247604935</v>
      </c>
      <c r="H47" s="52"/>
      <c r="I47" s="52"/>
      <c r="J47" s="52"/>
      <c r="K47" s="2"/>
    </row>
    <row r="48" spans="1:11">
      <c r="A48" s="26">
        <v>36551</v>
      </c>
      <c r="B48" s="41">
        <v>164.28100000000001</v>
      </c>
      <c r="C48" s="52">
        <f t="shared" si="0"/>
        <v>169.93658460999234</v>
      </c>
      <c r="D48" s="52">
        <f t="shared" si="1"/>
        <v>174.55902092650715</v>
      </c>
      <c r="E48" s="52">
        <f t="shared" si="2"/>
        <v>179.533432965754</v>
      </c>
      <c r="F48" s="52">
        <f t="shared" si="3"/>
        <v>165.31414829347753</v>
      </c>
      <c r="G48" s="52">
        <f t="shared" si="5"/>
        <v>165.66612401620961</v>
      </c>
      <c r="H48" s="52"/>
      <c r="I48" s="52"/>
      <c r="J48" s="52"/>
      <c r="K48" s="2"/>
    </row>
    <row r="49" spans="1:11">
      <c r="A49" s="27">
        <v>36552</v>
      </c>
      <c r="B49" s="45">
        <v>168.68799999999999</v>
      </c>
      <c r="C49" s="55">
        <f t="shared" si="0"/>
        <v>169.5203897399949</v>
      </c>
      <c r="D49" s="55">
        <f t="shared" si="1"/>
        <v>172.87947719766976</v>
      </c>
      <c r="E49" s="55">
        <f t="shared" si="2"/>
        <v>177.31544770972593</v>
      </c>
      <c r="F49" s="55">
        <f t="shared" si="3"/>
        <v>166.16130228232004</v>
      </c>
      <c r="G49" s="55">
        <f t="shared" si="5"/>
        <v>167.23818533670132</v>
      </c>
      <c r="H49" s="55"/>
      <c r="I49" s="55"/>
      <c r="J49" s="55"/>
      <c r="K49" s="2"/>
    </row>
    <row r="50" spans="1:11">
      <c r="A50" s="27">
        <v>36553</v>
      </c>
      <c r="B50" s="45">
        <v>156.75</v>
      </c>
      <c r="C50" s="55">
        <f t="shared" si="0"/>
        <v>165.26359315999662</v>
      </c>
      <c r="D50" s="55">
        <f t="shared" si="1"/>
        <v>170.34084918511206</v>
      </c>
      <c r="E50" s="55">
        <f t="shared" si="2"/>
        <v>174.99058153485464</v>
      </c>
      <c r="F50" s="55">
        <f t="shared" si="3"/>
        <v>160.18633713488117</v>
      </c>
      <c r="G50" s="55">
        <f t="shared" si="5"/>
        <v>159.7588134595083</v>
      </c>
      <c r="H50" s="55"/>
      <c r="I50" s="55"/>
      <c r="J50" s="55"/>
    </row>
    <row r="51" spans="1:11">
      <c r="A51" s="26">
        <v>36556</v>
      </c>
      <c r="B51" s="41">
        <v>161.03100000000001</v>
      </c>
      <c r="C51" s="52">
        <f t="shared" si="0"/>
        <v>163.85272877333108</v>
      </c>
      <c r="D51" s="52">
        <f t="shared" si="1"/>
        <v>168.17814238118507</v>
      </c>
      <c r="E51" s="52">
        <f t="shared" si="2"/>
        <v>172.71976848363147</v>
      </c>
      <c r="F51" s="52">
        <f t="shared" si="3"/>
        <v>159.52731516547709</v>
      </c>
      <c r="G51" s="52">
        <f t="shared" si="5"/>
        <v>159.7435276600695</v>
      </c>
      <c r="H51" s="52"/>
      <c r="I51" s="52"/>
      <c r="J51" s="52"/>
    </row>
    <row r="52" spans="1:11">
      <c r="A52" s="26">
        <v>36557</v>
      </c>
      <c r="B52" s="41">
        <v>158.68799999999999</v>
      </c>
      <c r="C52" s="52">
        <f t="shared" si="0"/>
        <v>162.13115251555405</v>
      </c>
      <c r="D52" s="52">
        <f t="shared" si="1"/>
        <v>166.16247909264141</v>
      </c>
      <c r="E52" s="52">
        <f t="shared" si="2"/>
        <v>170.53400535330144</v>
      </c>
      <c r="F52" s="52">
        <f t="shared" si="3"/>
        <v>158.09982593846669</v>
      </c>
      <c r="G52" s="52">
        <f t="shared" si="5"/>
        <v>158.4400256220394</v>
      </c>
      <c r="H52" s="52"/>
      <c r="I52" s="52"/>
      <c r="J52" s="52"/>
    </row>
    <row r="53" spans="1:11">
      <c r="A53" s="27">
        <v>36558</v>
      </c>
      <c r="B53" s="45">
        <v>164</v>
      </c>
      <c r="C53" s="55">
        <f t="shared" si="0"/>
        <v>162.75410167703603</v>
      </c>
      <c r="D53" s="55">
        <f t="shared" si="1"/>
        <v>165.02635328743963</v>
      </c>
      <c r="E53" s="55">
        <f t="shared" si="2"/>
        <v>168.69812133134752</v>
      </c>
      <c r="F53" s="55">
        <f t="shared" si="3"/>
        <v>160.48185006663243</v>
      </c>
      <c r="G53" s="55">
        <f t="shared" si="5"/>
        <v>161.88136650013672</v>
      </c>
      <c r="H53" s="55"/>
      <c r="I53" s="55"/>
      <c r="J53" s="55"/>
    </row>
    <row r="54" spans="1:11">
      <c r="A54" s="27">
        <v>36559</v>
      </c>
      <c r="B54" s="45">
        <v>180.125</v>
      </c>
      <c r="C54" s="55">
        <f t="shared" si="0"/>
        <v>168.54440111802404</v>
      </c>
      <c r="D54" s="55">
        <f t="shared" si="1"/>
        <v>166.19903589763445</v>
      </c>
      <c r="E54" s="55">
        <f t="shared" si="2"/>
        <v>167.86509285344317</v>
      </c>
      <c r="F54" s="55">
        <f t="shared" si="3"/>
        <v>170.88976633841364</v>
      </c>
      <c r="G54" s="55">
        <f t="shared" si="5"/>
        <v>174.90118851461193</v>
      </c>
      <c r="H54" s="55"/>
      <c r="I54" s="55"/>
      <c r="J54" s="55"/>
    </row>
    <row r="55" spans="1:11">
      <c r="A55" s="26">
        <v>36560</v>
      </c>
      <c r="B55" s="41">
        <v>176.75</v>
      </c>
      <c r="C55" s="52">
        <f t="shared" si="0"/>
        <v>171.27960074534937</v>
      </c>
      <c r="D55" s="52">
        <f t="shared" si="1"/>
        <v>167.89255751353943</v>
      </c>
      <c r="E55" s="52">
        <f t="shared" si="2"/>
        <v>167.87424774014193</v>
      </c>
      <c r="F55" s="52">
        <f t="shared" si="3"/>
        <v>174.66664397715931</v>
      </c>
      <c r="G55" s="52">
        <f t="shared" si="5"/>
        <v>178.03537743557172</v>
      </c>
      <c r="H55" s="52"/>
      <c r="I55" s="52"/>
      <c r="J55" s="52"/>
    </row>
    <row r="56" spans="1:11">
      <c r="A56" s="26">
        <v>36563</v>
      </c>
      <c r="B56" s="41">
        <v>177</v>
      </c>
      <c r="C56" s="52">
        <f t="shared" si="0"/>
        <v>173.18640049689958</v>
      </c>
      <c r="D56" s="52">
        <f t="shared" si="1"/>
        <v>169.65717184132615</v>
      </c>
      <c r="E56" s="52">
        <f t="shared" si="2"/>
        <v>168.46855577387001</v>
      </c>
      <c r="F56" s="52">
        <f t="shared" si="3"/>
        <v>176.71562915247301</v>
      </c>
      <c r="G56" s="52">
        <f t="shared" si="5"/>
        <v>179.05624174059037</v>
      </c>
      <c r="H56" s="52"/>
      <c r="I56" s="52"/>
      <c r="J56" s="52"/>
    </row>
    <row r="57" spans="1:11">
      <c r="A57" s="27">
        <v>36564</v>
      </c>
      <c r="B57" s="45">
        <v>186.56200000000001</v>
      </c>
      <c r="C57" s="55">
        <f t="shared" si="0"/>
        <v>177.64493366459973</v>
      </c>
      <c r="D57" s="55">
        <f t="shared" si="1"/>
        <v>172.31975911575068</v>
      </c>
      <c r="E57" s="55">
        <f t="shared" si="2"/>
        <v>169.75229022116358</v>
      </c>
      <c r="F57" s="55">
        <f t="shared" si="3"/>
        <v>182.97010821344878</v>
      </c>
      <c r="G57" s="55">
        <f t="shared" si="5"/>
        <v>185.72781386771069</v>
      </c>
      <c r="H57" s="55"/>
      <c r="I57" s="55"/>
      <c r="J57" s="55"/>
    </row>
    <row r="58" spans="1:11">
      <c r="A58" s="27">
        <v>36565</v>
      </c>
      <c r="B58" s="45">
        <v>181.15600000000001</v>
      </c>
      <c r="C58" s="55">
        <f t="shared" si="0"/>
        <v>178.81528910973316</v>
      </c>
      <c r="D58" s="55">
        <f t="shared" si="1"/>
        <v>174.48493578041152</v>
      </c>
      <c r="E58" s="55">
        <f t="shared" si="2"/>
        <v>171.32983874091289</v>
      </c>
      <c r="F58" s="55">
        <f t="shared" si="3"/>
        <v>183.1456424390548</v>
      </c>
      <c r="G58" s="55">
        <f t="shared" si="5"/>
        <v>184.32089872887784</v>
      </c>
      <c r="H58" s="55"/>
      <c r="I58" s="55"/>
      <c r="J58" s="55"/>
    </row>
    <row r="59" spans="1:11">
      <c r="A59" s="26">
        <v>36566</v>
      </c>
      <c r="B59" s="41">
        <v>182.5</v>
      </c>
      <c r="C59" s="52">
        <f t="shared" si="0"/>
        <v>180.04352607315545</v>
      </c>
      <c r="D59" s="52">
        <f t="shared" si="1"/>
        <v>176.33779921132617</v>
      </c>
      <c r="E59" s="52">
        <f t="shared" si="2"/>
        <v>172.99915889771734</v>
      </c>
      <c r="F59" s="52">
        <f t="shared" si="3"/>
        <v>183.74925293498472</v>
      </c>
      <c r="G59" s="52">
        <f t="shared" si="5"/>
        <v>184.11633948320519</v>
      </c>
      <c r="H59" s="52"/>
      <c r="I59" s="52"/>
      <c r="J59" s="52"/>
    </row>
    <row r="60" spans="1:11">
      <c r="A60" s="26">
        <v>36567</v>
      </c>
      <c r="B60" s="41">
        <v>171.34399999999999</v>
      </c>
      <c r="C60" s="52">
        <f t="shared" si="0"/>
        <v>177.1436840487703</v>
      </c>
      <c r="D60" s="52">
        <f t="shared" si="1"/>
        <v>176.60642749047423</v>
      </c>
      <c r="E60" s="52">
        <f t="shared" si="2"/>
        <v>174.20158176196963</v>
      </c>
      <c r="F60" s="52">
        <f t="shared" si="3"/>
        <v>177.68094060706636</v>
      </c>
      <c r="G60" s="52">
        <f t="shared" si="5"/>
        <v>175.81335143685789</v>
      </c>
      <c r="H60" s="52"/>
      <c r="I60" s="52"/>
      <c r="J60" s="52"/>
    </row>
    <row r="61" spans="1:11">
      <c r="J61" s="2"/>
    </row>
    <row r="62" spans="1:11" ht="15">
      <c r="A62" s="241" t="s">
        <v>1132</v>
      </c>
      <c r="J62" s="2"/>
    </row>
    <row r="63" spans="1:11" ht="15">
      <c r="A63" s="241" t="s">
        <v>1131</v>
      </c>
      <c r="J63" s="2"/>
    </row>
    <row r="64" spans="1:11" ht="15">
      <c r="A64" s="241" t="s">
        <v>1285</v>
      </c>
      <c r="J64" s="2"/>
    </row>
    <row r="65" spans="1:10" ht="15">
      <c r="A65" s="241" t="s">
        <v>1286</v>
      </c>
      <c r="J65" s="2"/>
    </row>
    <row r="66" spans="1:10" ht="15">
      <c r="A66" s="241" t="s">
        <v>1287</v>
      </c>
      <c r="J66" s="2"/>
    </row>
    <row r="67" spans="1:10">
      <c r="J67" s="2"/>
    </row>
    <row r="68" spans="1:10">
      <c r="J68" s="2"/>
    </row>
    <row r="69" spans="1:10">
      <c r="J69" s="2"/>
    </row>
    <row r="70" spans="1:10">
      <c r="J70" s="2"/>
    </row>
    <row r="71" spans="1:10">
      <c r="J71" s="2"/>
    </row>
    <row r="72" spans="1:10">
      <c r="J72" s="2"/>
    </row>
    <row r="73" spans="1:10">
      <c r="J73" s="2"/>
    </row>
    <row r="74" spans="1:10">
      <c r="J74" s="2"/>
    </row>
    <row r="75" spans="1:10">
      <c r="J75" s="2"/>
    </row>
    <row r="76" spans="1:10">
      <c r="J76" s="2"/>
    </row>
    <row r="77" spans="1:10">
      <c r="J77" s="2"/>
    </row>
    <row r="78" spans="1:10">
      <c r="J78" s="2"/>
    </row>
    <row r="79" spans="1:10">
      <c r="J79" s="2"/>
    </row>
    <row r="80" spans="1:10">
      <c r="J80" s="2"/>
    </row>
    <row r="81" spans="10:10">
      <c r="J81" s="2"/>
    </row>
    <row r="82" spans="10:10">
      <c r="J82" s="2"/>
    </row>
    <row r="83" spans="10:10">
      <c r="J83" s="2"/>
    </row>
    <row r="84" spans="10:10">
      <c r="J84" s="2"/>
    </row>
    <row r="85" spans="10:10">
      <c r="J85" s="2"/>
    </row>
    <row r="86" spans="10:10">
      <c r="J86" s="2"/>
    </row>
    <row r="87" spans="10:10">
      <c r="J87" s="2"/>
    </row>
  </sheetData>
  <phoneticPr fontId="0" type="noConversion"/>
  <pageMargins left="0.75" right="0.75" top="1" bottom="1" header="0.5" footer="0.5"/>
  <pageSetup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77825" r:id="rId3" name="Button 1">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77826"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77827"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77828"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enableFormatConditionsCalculation="0"/>
  <dimension ref="A1:N114"/>
  <sheetViews>
    <sheetView workbookViewId="0"/>
  </sheetViews>
  <sheetFormatPr baseColWidth="10" defaultColWidth="8.83203125" defaultRowHeight="12" x14ac:dyDescent="0"/>
  <cols>
    <col min="1" max="1" width="10.6640625" customWidth="1"/>
    <col min="3" max="3" width="11.5" customWidth="1"/>
    <col min="4" max="4" width="11.33203125" customWidth="1"/>
    <col min="5" max="5" width="9.6640625" customWidth="1"/>
    <col min="6" max="6" width="10.33203125" customWidth="1"/>
    <col min="11" max="11" width="12.3320312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1118</v>
      </c>
      <c r="C3" s="21"/>
      <c r="D3" s="21"/>
      <c r="E3" s="21"/>
      <c r="F3" s="21"/>
      <c r="G3" s="21"/>
      <c r="H3" s="21"/>
      <c r="I3" s="21"/>
      <c r="J3" s="21"/>
      <c r="K3" s="21"/>
    </row>
    <row r="4" spans="1:14">
      <c r="A4" s="19" t="s">
        <v>774</v>
      </c>
      <c r="B4" s="20" t="s">
        <v>234</v>
      </c>
      <c r="C4" s="21"/>
      <c r="D4" s="21"/>
      <c r="E4" s="21"/>
      <c r="F4" s="21"/>
      <c r="G4" s="21"/>
      <c r="H4" s="21"/>
      <c r="I4" s="21"/>
      <c r="J4" s="21"/>
      <c r="K4" s="21"/>
    </row>
    <row r="5" spans="1:14" ht="15">
      <c r="A5" s="19" t="s">
        <v>779</v>
      </c>
      <c r="B5" s="127" t="s">
        <v>1136</v>
      </c>
      <c r="C5" s="21"/>
      <c r="D5" s="21"/>
      <c r="E5" s="21"/>
      <c r="F5" s="21"/>
      <c r="G5" s="21"/>
      <c r="H5" s="21"/>
      <c r="I5" s="21"/>
      <c r="J5" s="21"/>
      <c r="K5" s="21"/>
    </row>
    <row r="6" spans="1:14" ht="47.25" customHeight="1">
      <c r="A6" s="19"/>
      <c r="B6" s="446" t="s">
        <v>1288</v>
      </c>
      <c r="C6" s="446"/>
      <c r="D6" s="446"/>
      <c r="E6" s="446"/>
      <c r="F6" s="446"/>
      <c r="G6" s="446"/>
      <c r="H6" s="446"/>
      <c r="I6" s="446"/>
      <c r="J6" s="446"/>
      <c r="K6" s="446"/>
    </row>
    <row r="7" spans="1:14">
      <c r="A7" s="19"/>
      <c r="B7" s="21"/>
      <c r="C7" s="115" t="s">
        <v>235</v>
      </c>
      <c r="D7" s="21"/>
      <c r="E7" s="21"/>
      <c r="F7" s="21"/>
      <c r="G7" s="21"/>
      <c r="H7" s="21"/>
      <c r="I7" s="21"/>
      <c r="J7" s="21"/>
      <c r="K7" s="21"/>
    </row>
    <row r="8" spans="1:14">
      <c r="A8" s="19" t="s">
        <v>635</v>
      </c>
      <c r="B8" s="21" t="s">
        <v>481</v>
      </c>
      <c r="C8" s="21"/>
      <c r="D8" s="21"/>
      <c r="E8" s="21"/>
      <c r="F8" s="21"/>
      <c r="G8" s="21"/>
      <c r="H8" s="21"/>
      <c r="I8" s="21"/>
      <c r="J8" s="21"/>
      <c r="K8" s="21"/>
    </row>
    <row r="9" spans="1:14" s="12" customFormat="1" ht="39.75" customHeight="1">
      <c r="A9" s="22" t="s">
        <v>1090</v>
      </c>
      <c r="B9" s="22" t="s">
        <v>1098</v>
      </c>
      <c r="C9" s="31" t="s">
        <v>1289</v>
      </c>
      <c r="D9" s="31" t="s">
        <v>1290</v>
      </c>
      <c r="E9" s="31" t="s">
        <v>1014</v>
      </c>
      <c r="F9" s="22"/>
      <c r="G9" s="22"/>
      <c r="H9" s="22"/>
      <c r="I9" s="22"/>
      <c r="J9" s="22"/>
      <c r="K9" s="22"/>
    </row>
    <row r="10" spans="1:14">
      <c r="A10" s="26">
        <v>34001</v>
      </c>
      <c r="B10" s="100">
        <v>21.656199999999998</v>
      </c>
      <c r="C10" s="52"/>
      <c r="D10" s="52"/>
      <c r="E10" s="52"/>
      <c r="F10" s="28"/>
      <c r="G10" s="28"/>
      <c r="H10" s="28"/>
      <c r="I10" s="28"/>
      <c r="J10" s="28"/>
      <c r="K10" s="54"/>
    </row>
    <row r="11" spans="1:14">
      <c r="A11" s="26">
        <v>34002</v>
      </c>
      <c r="B11" s="100">
        <v>21.625</v>
      </c>
      <c r="C11" s="52"/>
      <c r="D11" s="52">
        <f>C15</f>
        <v>21.708316666666665</v>
      </c>
      <c r="E11" s="52">
        <f t="shared" ref="E11:E17" si="0">B11-D11</f>
        <v>-8.3316666666664929E-2</v>
      </c>
      <c r="F11" s="28"/>
      <c r="G11" s="28"/>
      <c r="H11" s="28"/>
      <c r="I11" s="28"/>
      <c r="J11" s="28"/>
      <c r="K11" s="54"/>
    </row>
    <row r="12" spans="1:14">
      <c r="A12" s="27">
        <v>34003</v>
      </c>
      <c r="B12" s="99">
        <v>21.531199999999998</v>
      </c>
      <c r="C12" s="55"/>
      <c r="D12" s="55">
        <f t="shared" ref="D12:D47" si="1">C16</f>
        <v>21.90625</v>
      </c>
      <c r="E12" s="55">
        <f t="shared" si="0"/>
        <v>-0.37505000000000166</v>
      </c>
      <c r="F12" s="29"/>
      <c r="G12" s="29"/>
      <c r="H12" s="29"/>
      <c r="I12" s="29"/>
      <c r="J12" s="29"/>
      <c r="K12" s="57"/>
    </row>
    <row r="13" spans="1:14">
      <c r="A13" s="27">
        <v>34004</v>
      </c>
      <c r="B13" s="99">
        <v>22</v>
      </c>
      <c r="C13" s="55"/>
      <c r="D13" s="55">
        <f t="shared" si="1"/>
        <v>22.145833333333332</v>
      </c>
      <c r="E13" s="55">
        <f t="shared" si="0"/>
        <v>-0.14583333333333215</v>
      </c>
      <c r="F13" s="29"/>
      <c r="G13" s="29"/>
      <c r="H13" s="29"/>
      <c r="I13" s="29"/>
      <c r="J13" s="29"/>
      <c r="K13" s="57"/>
    </row>
    <row r="14" spans="1:14">
      <c r="A14" s="26">
        <v>34005</v>
      </c>
      <c r="B14" s="100">
        <v>21.5</v>
      </c>
      <c r="C14" s="52"/>
      <c r="D14" s="52">
        <f t="shared" si="1"/>
        <v>22.35938333333333</v>
      </c>
      <c r="E14" s="52">
        <f t="shared" si="0"/>
        <v>-0.85938333333333006</v>
      </c>
      <c r="F14" s="28"/>
      <c r="G14" s="28"/>
      <c r="H14" s="28"/>
      <c r="I14" s="28"/>
      <c r="J14" s="28"/>
      <c r="K14" s="54"/>
    </row>
    <row r="15" spans="1:14">
      <c r="A15" s="26">
        <v>34008</v>
      </c>
      <c r="B15" s="100">
        <v>21.9375</v>
      </c>
      <c r="C15" s="52">
        <f>SUM(B10:B15)/6</f>
        <v>21.708316666666665</v>
      </c>
      <c r="D15" s="52">
        <f t="shared" si="1"/>
        <v>22.598966666666666</v>
      </c>
      <c r="E15" s="52">
        <f t="shared" si="0"/>
        <v>-0.66146666666666576</v>
      </c>
      <c r="F15" s="28"/>
      <c r="G15" s="28"/>
      <c r="H15" s="28"/>
      <c r="I15" s="28"/>
      <c r="J15" s="28"/>
      <c r="K15" s="54"/>
    </row>
    <row r="16" spans="1:14">
      <c r="A16" s="27">
        <v>34009</v>
      </c>
      <c r="B16" s="99">
        <v>22.843800000000002</v>
      </c>
      <c r="C16" s="55">
        <f t="shared" ref="C16:C51" si="2">SUM(B11:B16)/6</f>
        <v>21.90625</v>
      </c>
      <c r="D16" s="55">
        <f t="shared" si="1"/>
        <v>22.338549999999998</v>
      </c>
      <c r="E16" s="55">
        <f t="shared" si="0"/>
        <v>0.50525000000000375</v>
      </c>
      <c r="F16" s="29"/>
      <c r="G16" s="29"/>
      <c r="H16" s="29"/>
      <c r="I16" s="29"/>
      <c r="J16" s="29"/>
      <c r="K16" s="57"/>
    </row>
    <row r="17" spans="1:11">
      <c r="A17" s="27">
        <v>34010</v>
      </c>
      <c r="B17" s="99">
        <v>23.0625</v>
      </c>
      <c r="C17" s="55">
        <f t="shared" si="2"/>
        <v>22.145833333333332</v>
      </c>
      <c r="D17" s="55">
        <f t="shared" si="1"/>
        <v>22.093766666666667</v>
      </c>
      <c r="E17" s="55">
        <f t="shared" si="0"/>
        <v>0.96873333333333278</v>
      </c>
      <c r="F17" s="29"/>
      <c r="G17" s="29"/>
      <c r="H17" s="29"/>
      <c r="I17" s="29"/>
      <c r="J17" s="29"/>
      <c r="K17" s="57"/>
    </row>
    <row r="18" spans="1:11">
      <c r="A18" s="26">
        <v>34011</v>
      </c>
      <c r="B18" s="100">
        <v>22.8125</v>
      </c>
      <c r="C18" s="52">
        <f t="shared" si="2"/>
        <v>22.35938333333333</v>
      </c>
      <c r="D18" s="52">
        <f t="shared" si="1"/>
        <v>21.630216666666666</v>
      </c>
      <c r="E18" s="52">
        <f>B18-D18</f>
        <v>1.1822833333333342</v>
      </c>
      <c r="F18" s="28"/>
      <c r="G18" s="28"/>
      <c r="H18" s="28"/>
      <c r="I18" s="28"/>
      <c r="J18" s="28"/>
      <c r="K18" s="54"/>
    </row>
    <row r="19" spans="1:11">
      <c r="A19" s="26">
        <v>34012</v>
      </c>
      <c r="B19" s="100">
        <v>23.4375</v>
      </c>
      <c r="C19" s="52">
        <f t="shared" si="2"/>
        <v>22.598966666666666</v>
      </c>
      <c r="D19" s="52">
        <f t="shared" si="1"/>
        <v>21.078133333333334</v>
      </c>
      <c r="E19" s="52">
        <f t="shared" ref="E19:E47" si="3">B19-D19</f>
        <v>2.3593666666666664</v>
      </c>
      <c r="F19" s="28"/>
      <c r="G19" s="28"/>
      <c r="H19" s="28"/>
      <c r="I19" s="28"/>
      <c r="J19" s="28"/>
      <c r="K19" s="54"/>
    </row>
    <row r="20" spans="1:11">
      <c r="A20" s="27">
        <v>34016</v>
      </c>
      <c r="B20" s="99">
        <v>19.9375</v>
      </c>
      <c r="C20" s="55">
        <f t="shared" si="2"/>
        <v>22.338549999999998</v>
      </c>
      <c r="D20" s="55">
        <f t="shared" si="1"/>
        <v>20.484383333333334</v>
      </c>
      <c r="E20" s="55">
        <f t="shared" si="3"/>
        <v>-0.54688333333333361</v>
      </c>
      <c r="F20" s="29"/>
      <c r="G20" s="29"/>
      <c r="H20" s="29"/>
      <c r="I20" s="29"/>
      <c r="J20" s="29"/>
      <c r="K20" s="57"/>
    </row>
    <row r="21" spans="1:11">
      <c r="A21" s="27">
        <v>34017</v>
      </c>
      <c r="B21" s="99">
        <v>20.468800000000002</v>
      </c>
      <c r="C21" s="55">
        <f t="shared" si="2"/>
        <v>22.093766666666667</v>
      </c>
      <c r="D21" s="55">
        <f t="shared" si="1"/>
        <v>19.901050000000001</v>
      </c>
      <c r="E21" s="55">
        <f t="shared" si="3"/>
        <v>0.5677500000000002</v>
      </c>
      <c r="F21" s="29"/>
      <c r="G21" s="29"/>
      <c r="H21" s="29"/>
      <c r="I21" s="29"/>
      <c r="J21" s="29"/>
      <c r="K21" s="57"/>
    </row>
    <row r="22" spans="1:11">
      <c r="A22" s="26">
        <v>34018</v>
      </c>
      <c r="B22" s="100">
        <v>20.0625</v>
      </c>
      <c r="C22" s="52">
        <f t="shared" si="2"/>
        <v>21.630216666666666</v>
      </c>
      <c r="D22" s="52">
        <f t="shared" si="1"/>
        <v>19.9375</v>
      </c>
      <c r="E22" s="52">
        <f t="shared" si="3"/>
        <v>0.125</v>
      </c>
      <c r="F22" s="28"/>
      <c r="G22" s="28"/>
      <c r="H22" s="28"/>
      <c r="I22" s="28"/>
      <c r="J22" s="28"/>
      <c r="K22" s="54"/>
    </row>
    <row r="23" spans="1:11">
      <c r="A23" s="26">
        <v>34019</v>
      </c>
      <c r="B23" s="100">
        <v>19.75</v>
      </c>
      <c r="C23" s="52">
        <f t="shared" si="2"/>
        <v>21.078133333333334</v>
      </c>
      <c r="D23" s="52">
        <f t="shared" si="1"/>
        <v>19.916666666666668</v>
      </c>
      <c r="E23" s="52">
        <f t="shared" si="3"/>
        <v>-0.16666666666666785</v>
      </c>
      <c r="F23" s="28"/>
      <c r="G23" s="28"/>
      <c r="H23" s="28"/>
      <c r="I23" s="28"/>
      <c r="J23" s="28"/>
      <c r="K23" s="54"/>
    </row>
    <row r="24" spans="1:11">
      <c r="A24" s="27">
        <v>34022</v>
      </c>
      <c r="B24" s="99">
        <v>19.25</v>
      </c>
      <c r="C24" s="55">
        <f t="shared" si="2"/>
        <v>20.484383333333334</v>
      </c>
      <c r="D24" s="55">
        <f t="shared" si="1"/>
        <v>19.875</v>
      </c>
      <c r="E24" s="55">
        <f t="shared" si="3"/>
        <v>-0.625</v>
      </c>
      <c r="F24" s="29"/>
      <c r="G24" s="29"/>
      <c r="H24" s="29"/>
      <c r="I24" s="29"/>
      <c r="J24" s="29"/>
      <c r="K24" s="57"/>
    </row>
    <row r="25" spans="1:11">
      <c r="A25" s="27">
        <v>34023</v>
      </c>
      <c r="B25" s="99">
        <v>19.9375</v>
      </c>
      <c r="C25" s="55">
        <f t="shared" si="2"/>
        <v>19.901050000000001</v>
      </c>
      <c r="D25" s="55">
        <f t="shared" si="1"/>
        <v>20.020833333333332</v>
      </c>
      <c r="E25" s="55">
        <f t="shared" si="3"/>
        <v>-8.3333333333332149E-2</v>
      </c>
      <c r="F25" s="29"/>
      <c r="G25" s="29"/>
      <c r="H25" s="29"/>
      <c r="I25" s="29"/>
      <c r="J25" s="29"/>
      <c r="K25" s="57"/>
    </row>
    <row r="26" spans="1:11">
      <c r="A26" s="26">
        <v>34024</v>
      </c>
      <c r="B26" s="100">
        <v>20.156199999999998</v>
      </c>
      <c r="C26" s="52">
        <f t="shared" si="2"/>
        <v>19.9375</v>
      </c>
      <c r="D26" s="52">
        <f t="shared" si="1"/>
        <v>20.21875</v>
      </c>
      <c r="E26" s="52">
        <f t="shared" si="3"/>
        <v>-6.255000000000166E-2</v>
      </c>
      <c r="F26" s="28"/>
      <c r="G26" s="28"/>
      <c r="H26" s="28"/>
      <c r="I26" s="28"/>
      <c r="J26" s="28"/>
      <c r="K26" s="54"/>
    </row>
    <row r="27" spans="1:11">
      <c r="A27" s="26">
        <v>34025</v>
      </c>
      <c r="B27" s="100">
        <v>20.343800000000002</v>
      </c>
      <c r="C27" s="52">
        <f t="shared" si="2"/>
        <v>19.916666666666668</v>
      </c>
      <c r="D27" s="52">
        <f t="shared" si="1"/>
        <v>20.229166666666668</v>
      </c>
      <c r="E27" s="52">
        <f t="shared" si="3"/>
        <v>0.11463333333333381</v>
      </c>
      <c r="F27" s="28"/>
      <c r="G27" s="28"/>
      <c r="H27" s="28"/>
      <c r="I27" s="28"/>
      <c r="J27" s="28"/>
      <c r="K27" s="54"/>
    </row>
    <row r="28" spans="1:11">
      <c r="A28" s="27">
        <v>34026</v>
      </c>
      <c r="B28" s="99">
        <v>19.8125</v>
      </c>
      <c r="C28" s="55">
        <f t="shared" si="2"/>
        <v>19.875</v>
      </c>
      <c r="D28" s="55">
        <f t="shared" si="1"/>
        <v>20.005216666666666</v>
      </c>
      <c r="E28" s="55">
        <f t="shared" si="3"/>
        <v>-0.19271666666666576</v>
      </c>
      <c r="F28" s="29"/>
      <c r="G28" s="29"/>
      <c r="H28" s="29"/>
      <c r="I28" s="29"/>
      <c r="J28" s="29"/>
      <c r="K28" s="57"/>
    </row>
    <row r="29" spans="1:11">
      <c r="A29" s="27">
        <v>34029</v>
      </c>
      <c r="B29" s="99">
        <v>20.625</v>
      </c>
      <c r="C29" s="55">
        <f t="shared" si="2"/>
        <v>20.020833333333332</v>
      </c>
      <c r="D29" s="55">
        <f t="shared" si="1"/>
        <v>19.369783333333334</v>
      </c>
      <c r="E29" s="55">
        <f t="shared" si="3"/>
        <v>1.2552166666666658</v>
      </c>
      <c r="F29" s="29"/>
      <c r="G29" s="29"/>
      <c r="H29" s="29"/>
      <c r="I29" s="29"/>
      <c r="J29" s="29"/>
      <c r="K29" s="57"/>
    </row>
    <row r="30" spans="1:11">
      <c r="A30" s="26">
        <v>34030</v>
      </c>
      <c r="B30" s="100">
        <v>20.4375</v>
      </c>
      <c r="C30" s="52">
        <f t="shared" si="2"/>
        <v>20.21875</v>
      </c>
      <c r="D30" s="52">
        <f t="shared" si="1"/>
        <v>18.786449999999999</v>
      </c>
      <c r="E30" s="52">
        <f t="shared" si="3"/>
        <v>1.6510500000000015</v>
      </c>
      <c r="F30" s="28"/>
      <c r="G30" s="28"/>
      <c r="H30" s="28"/>
      <c r="I30" s="28"/>
      <c r="J30" s="28"/>
      <c r="K30" s="54"/>
    </row>
    <row r="31" spans="1:11">
      <c r="A31" s="26">
        <v>34031</v>
      </c>
      <c r="B31" s="100">
        <v>20</v>
      </c>
      <c r="C31" s="52">
        <f t="shared" si="2"/>
        <v>20.229166666666668</v>
      </c>
      <c r="D31" s="52">
        <f t="shared" si="1"/>
        <v>18.369783333333334</v>
      </c>
      <c r="E31" s="52">
        <f t="shared" si="3"/>
        <v>1.6302166666666658</v>
      </c>
      <c r="F31" s="28"/>
      <c r="G31" s="28"/>
      <c r="H31" s="28"/>
      <c r="I31" s="28"/>
      <c r="J31" s="28"/>
      <c r="K31" s="54"/>
    </row>
    <row r="32" spans="1:11">
      <c r="A32" s="27">
        <v>34032</v>
      </c>
      <c r="B32" s="99">
        <v>18.8125</v>
      </c>
      <c r="C32" s="55">
        <f t="shared" si="2"/>
        <v>20.005216666666666</v>
      </c>
      <c r="D32" s="55">
        <f t="shared" si="1"/>
        <v>17.911449999999999</v>
      </c>
      <c r="E32" s="55">
        <f t="shared" si="3"/>
        <v>0.90105000000000146</v>
      </c>
      <c r="F32" s="29"/>
      <c r="G32" s="29"/>
      <c r="H32" s="29"/>
      <c r="I32" s="29"/>
      <c r="J32" s="29"/>
      <c r="K32" s="57"/>
    </row>
    <row r="33" spans="1:11">
      <c r="A33" s="27">
        <v>34033</v>
      </c>
      <c r="B33" s="99">
        <v>16.531199999999998</v>
      </c>
      <c r="C33" s="55">
        <f t="shared" si="2"/>
        <v>19.369783333333334</v>
      </c>
      <c r="D33" s="55">
        <f t="shared" si="1"/>
        <v>17.364583333333332</v>
      </c>
      <c r="E33" s="55">
        <f t="shared" si="3"/>
        <v>-0.83338333333333381</v>
      </c>
      <c r="F33" s="29"/>
      <c r="G33" s="29"/>
      <c r="H33" s="29"/>
      <c r="I33" s="29"/>
      <c r="J33" s="29"/>
      <c r="K33" s="57"/>
    </row>
    <row r="34" spans="1:11">
      <c r="A34" s="26">
        <v>34036</v>
      </c>
      <c r="B34" s="100">
        <v>16.3125</v>
      </c>
      <c r="C34" s="52">
        <f t="shared" si="2"/>
        <v>18.786449999999999</v>
      </c>
      <c r="D34" s="52">
        <f t="shared" si="1"/>
        <v>17.026033333333334</v>
      </c>
      <c r="E34" s="52">
        <f t="shared" si="3"/>
        <v>-0.71353333333333424</v>
      </c>
      <c r="F34" s="28"/>
      <c r="G34" s="28"/>
      <c r="H34" s="28"/>
      <c r="I34" s="28"/>
      <c r="J34" s="28"/>
      <c r="K34" s="54"/>
    </row>
    <row r="35" spans="1:11">
      <c r="A35" s="26">
        <v>34037</v>
      </c>
      <c r="B35" s="100">
        <v>18.125</v>
      </c>
      <c r="C35" s="52">
        <f t="shared" si="2"/>
        <v>18.369783333333334</v>
      </c>
      <c r="D35" s="52">
        <f t="shared" si="1"/>
        <v>17.135416666666668</v>
      </c>
      <c r="E35" s="52">
        <f t="shared" si="3"/>
        <v>0.98958333333333215</v>
      </c>
      <c r="F35" s="28"/>
      <c r="G35" s="28"/>
      <c r="H35" s="28"/>
      <c r="I35" s="28"/>
      <c r="J35" s="28"/>
      <c r="K35" s="54"/>
    </row>
    <row r="36" spans="1:11">
      <c r="A36" s="27">
        <v>34038</v>
      </c>
      <c r="B36" s="99">
        <v>17.6875</v>
      </c>
      <c r="C36" s="55">
        <f t="shared" si="2"/>
        <v>17.911449999999999</v>
      </c>
      <c r="D36" s="55">
        <f t="shared" si="1"/>
        <v>17.484366666666666</v>
      </c>
      <c r="E36" s="55">
        <f t="shared" si="3"/>
        <v>0.20313333333333361</v>
      </c>
      <c r="F36" s="29"/>
      <c r="G36" s="29"/>
      <c r="H36" s="29"/>
      <c r="I36" s="29"/>
      <c r="J36" s="29"/>
      <c r="K36" s="57"/>
    </row>
    <row r="37" spans="1:11">
      <c r="A37" s="27">
        <v>34039</v>
      </c>
      <c r="B37" s="99">
        <v>16.718800000000002</v>
      </c>
      <c r="C37" s="55">
        <f t="shared" si="2"/>
        <v>17.364583333333332</v>
      </c>
      <c r="D37" s="55">
        <f t="shared" si="1"/>
        <v>17.578116666666666</v>
      </c>
      <c r="E37" s="55">
        <f t="shared" si="3"/>
        <v>-0.85931666666666473</v>
      </c>
      <c r="F37" s="29"/>
      <c r="G37" s="29"/>
      <c r="H37" s="29"/>
      <c r="I37" s="29"/>
      <c r="J37" s="29"/>
      <c r="K37" s="57"/>
    </row>
    <row r="38" spans="1:11">
      <c r="A38" s="26">
        <v>34040</v>
      </c>
      <c r="B38" s="100">
        <v>16.781199999999998</v>
      </c>
      <c r="C38" s="52">
        <f t="shared" si="2"/>
        <v>17.026033333333334</v>
      </c>
      <c r="D38" s="52">
        <f t="shared" si="1"/>
        <v>17.942699999999999</v>
      </c>
      <c r="E38" s="52">
        <f t="shared" si="3"/>
        <v>-1.1615000000000002</v>
      </c>
      <c r="F38" s="28"/>
      <c r="G38" s="28"/>
      <c r="H38" s="28"/>
      <c r="I38" s="28"/>
      <c r="J38" s="28"/>
      <c r="K38" s="54"/>
    </row>
    <row r="39" spans="1:11">
      <c r="A39" s="26">
        <v>34043</v>
      </c>
      <c r="B39" s="100">
        <v>17.1875</v>
      </c>
      <c r="C39" s="52">
        <f t="shared" si="2"/>
        <v>17.135416666666668</v>
      </c>
      <c r="D39" s="52">
        <f t="shared" si="1"/>
        <v>18.312483333333333</v>
      </c>
      <c r="E39" s="52">
        <f t="shared" si="3"/>
        <v>-1.1249833333333328</v>
      </c>
      <c r="F39" s="28"/>
      <c r="G39" s="28"/>
      <c r="H39" s="28"/>
      <c r="I39" s="28"/>
      <c r="J39" s="28"/>
      <c r="K39" s="54"/>
    </row>
    <row r="40" spans="1:11">
      <c r="A40" s="27">
        <v>34044</v>
      </c>
      <c r="B40" s="99">
        <v>18.406199999999998</v>
      </c>
      <c r="C40" s="55">
        <f t="shared" si="2"/>
        <v>17.484366666666666</v>
      </c>
      <c r="D40" s="55">
        <f t="shared" si="1"/>
        <v>18.53125</v>
      </c>
      <c r="E40" s="55">
        <f t="shared" si="3"/>
        <v>-0.12505000000000166</v>
      </c>
      <c r="F40" s="29"/>
      <c r="G40" s="29"/>
      <c r="H40" s="29"/>
      <c r="I40" s="29"/>
      <c r="J40" s="29"/>
      <c r="K40" s="57"/>
    </row>
    <row r="41" spans="1:11">
      <c r="A41" s="27">
        <v>34045</v>
      </c>
      <c r="B41" s="99">
        <v>18.6875</v>
      </c>
      <c r="C41" s="55">
        <f t="shared" si="2"/>
        <v>17.578116666666666</v>
      </c>
      <c r="D41" s="55">
        <f t="shared" si="1"/>
        <v>18.541666666666668</v>
      </c>
      <c r="E41" s="55">
        <f t="shared" si="3"/>
        <v>0.14583333333333215</v>
      </c>
      <c r="F41" s="29"/>
      <c r="G41" s="29"/>
      <c r="H41" s="29"/>
      <c r="I41" s="29"/>
      <c r="J41" s="29"/>
      <c r="K41" s="57"/>
    </row>
    <row r="42" spans="1:11">
      <c r="A42" s="26">
        <v>34046</v>
      </c>
      <c r="B42" s="100">
        <v>19.875</v>
      </c>
      <c r="C42" s="52">
        <f t="shared" si="2"/>
        <v>17.942699999999999</v>
      </c>
      <c r="D42" s="52">
        <f t="shared" si="1"/>
        <v>18.338550000000001</v>
      </c>
      <c r="E42" s="52">
        <f t="shared" si="3"/>
        <v>1.5364499999999985</v>
      </c>
      <c r="F42" s="28"/>
      <c r="G42" s="28"/>
      <c r="H42" s="28"/>
      <c r="I42" s="28"/>
      <c r="J42" s="28"/>
      <c r="K42" s="54"/>
    </row>
    <row r="43" spans="1:11">
      <c r="A43" s="69">
        <v>34047</v>
      </c>
      <c r="B43" s="100">
        <v>18.9375</v>
      </c>
      <c r="C43" s="52">
        <f t="shared" si="2"/>
        <v>18.312483333333333</v>
      </c>
      <c r="D43" s="52">
        <f t="shared" si="1"/>
        <v>18.130216666666666</v>
      </c>
      <c r="E43" s="52">
        <f t="shared" si="3"/>
        <v>0.80728333333333424</v>
      </c>
      <c r="F43" s="28"/>
      <c r="G43" s="28"/>
      <c r="H43" s="28"/>
      <c r="I43" s="28"/>
      <c r="J43" s="28"/>
      <c r="K43" s="54"/>
    </row>
    <row r="44" spans="1:11">
      <c r="A44" s="68">
        <v>34050</v>
      </c>
      <c r="B44" s="99">
        <v>18.093800000000002</v>
      </c>
      <c r="C44" s="55">
        <f t="shared" si="2"/>
        <v>18.53125</v>
      </c>
      <c r="D44" s="55">
        <f t="shared" si="1"/>
        <v>17.614583333333332</v>
      </c>
      <c r="E44" s="55">
        <f t="shared" si="3"/>
        <v>0.47921666666666951</v>
      </c>
      <c r="F44" s="29"/>
      <c r="G44" s="29"/>
      <c r="H44" s="29"/>
      <c r="I44" s="29"/>
      <c r="J44" s="29"/>
      <c r="K44" s="57"/>
    </row>
    <row r="45" spans="1:11">
      <c r="A45" s="68">
        <v>34051</v>
      </c>
      <c r="B45" s="99">
        <v>17.25</v>
      </c>
      <c r="C45" s="55">
        <f t="shared" si="2"/>
        <v>18.541666666666668</v>
      </c>
      <c r="D45" s="55">
        <f t="shared" si="1"/>
        <v>17</v>
      </c>
      <c r="E45" s="55">
        <f t="shared" si="3"/>
        <v>0.25</v>
      </c>
      <c r="F45" s="29"/>
      <c r="G45" s="29"/>
      <c r="H45" s="29"/>
      <c r="I45" s="29"/>
      <c r="J45" s="29"/>
      <c r="K45" s="57"/>
    </row>
    <row r="46" spans="1:11">
      <c r="A46" s="69">
        <v>34052</v>
      </c>
      <c r="B46" s="100">
        <v>17.1875</v>
      </c>
      <c r="C46" s="52">
        <f t="shared" si="2"/>
        <v>18.338550000000001</v>
      </c>
      <c r="D46" s="52">
        <f t="shared" si="1"/>
        <v>16.755199999999999</v>
      </c>
      <c r="E46" s="52">
        <f t="shared" si="3"/>
        <v>0.43230000000000146</v>
      </c>
      <c r="F46" s="28"/>
      <c r="G46" s="28"/>
      <c r="H46" s="28"/>
      <c r="I46" s="28"/>
      <c r="J46" s="28"/>
      <c r="K46" s="54"/>
    </row>
    <row r="47" spans="1:11">
      <c r="A47" s="69">
        <v>34053</v>
      </c>
      <c r="B47" s="100">
        <v>17.4375</v>
      </c>
      <c r="C47" s="52">
        <f t="shared" si="2"/>
        <v>18.130216666666666</v>
      </c>
      <c r="D47" s="52">
        <f t="shared" si="1"/>
        <v>16.427066666666665</v>
      </c>
      <c r="E47" s="52">
        <f t="shared" si="3"/>
        <v>1.0104333333333351</v>
      </c>
      <c r="F47" s="28"/>
      <c r="G47" s="28"/>
      <c r="H47" s="28"/>
      <c r="I47" s="28"/>
      <c r="J47" s="28"/>
      <c r="K47" s="54"/>
    </row>
    <row r="48" spans="1:11">
      <c r="A48" s="68">
        <v>34054</v>
      </c>
      <c r="B48" s="99">
        <v>16.781199999999998</v>
      </c>
      <c r="C48" s="55">
        <f t="shared" si="2"/>
        <v>17.614583333333332</v>
      </c>
      <c r="D48" s="55"/>
      <c r="E48" s="55"/>
      <c r="F48" s="29"/>
      <c r="G48" s="29"/>
      <c r="H48" s="29"/>
      <c r="I48" s="29"/>
      <c r="J48" s="29"/>
      <c r="K48" s="57"/>
    </row>
    <row r="49" spans="1:11">
      <c r="A49" s="68">
        <v>34057</v>
      </c>
      <c r="B49" s="99">
        <v>15.25</v>
      </c>
      <c r="C49" s="55">
        <f t="shared" si="2"/>
        <v>17</v>
      </c>
      <c r="D49" s="55"/>
      <c r="E49" s="55"/>
      <c r="F49" s="29"/>
      <c r="G49" s="29"/>
      <c r="H49" s="29"/>
      <c r="I49" s="29"/>
      <c r="J49" s="29"/>
      <c r="K49" s="57"/>
    </row>
    <row r="50" spans="1:11">
      <c r="A50" s="69">
        <v>34058</v>
      </c>
      <c r="B50" s="100">
        <v>16.625</v>
      </c>
      <c r="C50" s="52">
        <f t="shared" si="2"/>
        <v>16.755199999999999</v>
      </c>
      <c r="D50" s="52"/>
      <c r="E50" s="52"/>
      <c r="F50" s="28"/>
      <c r="G50" s="28"/>
      <c r="H50" s="28"/>
      <c r="I50" s="28"/>
      <c r="J50" s="28"/>
      <c r="K50" s="54"/>
    </row>
    <row r="51" spans="1:11">
      <c r="A51" s="69">
        <v>34059</v>
      </c>
      <c r="B51" s="100">
        <v>15.2812</v>
      </c>
      <c r="C51" s="52">
        <f t="shared" si="2"/>
        <v>16.427066666666665</v>
      </c>
      <c r="D51" s="52"/>
      <c r="E51" s="52"/>
      <c r="F51" s="28"/>
      <c r="G51" s="28"/>
      <c r="H51" s="28"/>
      <c r="I51" s="28"/>
      <c r="J51" s="28"/>
      <c r="K51" s="54"/>
    </row>
    <row r="52" spans="1:11">
      <c r="A52" s="2"/>
    </row>
    <row r="53" spans="1:11" ht="15">
      <c r="A53" s="241" t="s">
        <v>1133</v>
      </c>
    </row>
    <row r="54" spans="1:11" ht="15">
      <c r="A54" s="241" t="s">
        <v>1134</v>
      </c>
    </row>
    <row r="55" spans="1:11" ht="15">
      <c r="A55" s="241" t="s">
        <v>1135</v>
      </c>
    </row>
    <row r="56" spans="1:11">
      <c r="A56" s="2"/>
    </row>
    <row r="57" spans="1:11">
      <c r="A57" s="2"/>
    </row>
    <row r="58" spans="1:11">
      <c r="A58" s="2"/>
    </row>
    <row r="59" spans="1:11">
      <c r="A59" s="2"/>
    </row>
    <row r="60" spans="1:11">
      <c r="A60" s="2"/>
    </row>
    <row r="61" spans="1:11">
      <c r="A61" s="2"/>
    </row>
    <row r="62" spans="1:11">
      <c r="A62" s="2"/>
    </row>
    <row r="63" spans="1:11">
      <c r="A63" s="2"/>
    </row>
    <row r="64" spans="1: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sheetData>
  <mergeCells count="1">
    <mergeCell ref="B6:K6"/>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78850"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78851"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78852"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7" enableFormatConditionsCalculation="0"/>
  <dimension ref="A1:U88"/>
  <sheetViews>
    <sheetView workbookViewId="0"/>
  </sheetViews>
  <sheetFormatPr baseColWidth="10" defaultColWidth="8.83203125" defaultRowHeight="12" x14ac:dyDescent="0"/>
  <cols>
    <col min="1" max="1" width="14.1640625" customWidth="1"/>
    <col min="2" max="2" width="9.6640625" bestFit="1" customWidth="1"/>
    <col min="3" max="3" width="10.6640625" customWidth="1"/>
    <col min="4" max="4" width="11" customWidth="1"/>
    <col min="5" max="5" width="10.5" customWidth="1"/>
    <col min="6" max="6" width="11.83203125" customWidth="1"/>
    <col min="7" max="8" width="9.33203125" bestFit="1" customWidth="1"/>
    <col min="9" max="9" width="9.33203125" customWidth="1"/>
    <col min="19" max="19" width="9.33203125" bestFit="1" customWidth="1"/>
    <col min="20" max="20" width="9.33203125" customWidth="1"/>
    <col min="21" max="21" width="10" customWidth="1"/>
  </cols>
  <sheetData>
    <row r="1" spans="1:21">
      <c r="A1" s="21"/>
      <c r="B1" s="21"/>
      <c r="C1" s="21" t="s">
        <v>846</v>
      </c>
      <c r="D1" s="21"/>
      <c r="E1" s="21"/>
      <c r="F1" s="21"/>
      <c r="G1" s="21"/>
      <c r="H1" s="21"/>
      <c r="I1" s="21"/>
      <c r="J1" s="21"/>
      <c r="K1" s="21"/>
      <c r="L1" s="21"/>
      <c r="M1" s="21"/>
      <c r="N1" s="21"/>
      <c r="O1" s="21"/>
      <c r="P1" s="21"/>
      <c r="Q1" s="21"/>
      <c r="R1" s="21"/>
      <c r="S1" s="21"/>
      <c r="T1" s="21"/>
      <c r="U1" s="21"/>
    </row>
    <row r="2" spans="1:21" ht="21" customHeight="1">
      <c r="A2" s="21"/>
      <c r="B2" s="21"/>
      <c r="C2" s="21"/>
      <c r="D2" s="374"/>
      <c r="E2" s="374"/>
      <c r="F2" s="374"/>
      <c r="G2" s="374"/>
      <c r="H2" s="374"/>
      <c r="I2" s="374"/>
      <c r="J2" s="374"/>
      <c r="K2" s="374"/>
      <c r="L2" s="374"/>
      <c r="M2" s="374"/>
      <c r="N2" s="374"/>
      <c r="O2" s="21"/>
      <c r="P2" s="21"/>
      <c r="Q2" s="21"/>
      <c r="R2" s="21"/>
      <c r="S2" s="21"/>
      <c r="T2" s="21"/>
      <c r="U2" s="21"/>
    </row>
    <row r="3" spans="1:21">
      <c r="A3" s="19" t="s">
        <v>1045</v>
      </c>
      <c r="B3" s="20" t="s">
        <v>736</v>
      </c>
      <c r="C3" s="21"/>
      <c r="D3" s="21"/>
      <c r="E3" s="21"/>
      <c r="F3" s="21"/>
      <c r="G3" s="21"/>
      <c r="H3" s="21"/>
      <c r="I3" s="21"/>
      <c r="J3" s="21"/>
      <c r="K3" s="21"/>
      <c r="L3" s="21"/>
      <c r="M3" s="21"/>
      <c r="N3" s="21"/>
      <c r="O3" s="21"/>
      <c r="P3" s="21"/>
      <c r="Q3" s="21"/>
      <c r="R3" s="21"/>
      <c r="S3" s="21"/>
      <c r="T3" s="21"/>
      <c r="U3" s="21"/>
    </row>
    <row r="4" spans="1:21">
      <c r="A4" s="19" t="s">
        <v>774</v>
      </c>
      <c r="B4" s="20" t="s">
        <v>775</v>
      </c>
      <c r="C4" s="21"/>
      <c r="D4" s="21"/>
      <c r="E4" s="21"/>
      <c r="F4" s="21"/>
      <c r="G4" s="21"/>
      <c r="H4" s="21"/>
      <c r="I4" s="21"/>
      <c r="J4" s="21"/>
      <c r="K4" s="21"/>
      <c r="L4" s="21"/>
      <c r="M4" s="21"/>
      <c r="N4" s="21"/>
      <c r="O4" s="21"/>
      <c r="P4" s="21"/>
      <c r="Q4" s="21"/>
      <c r="R4" s="21"/>
      <c r="S4" s="21"/>
      <c r="T4" s="21"/>
      <c r="U4" s="21"/>
    </row>
    <row r="5" spans="1:21">
      <c r="A5" s="19" t="s">
        <v>1291</v>
      </c>
      <c r="B5" s="20" t="s">
        <v>1292</v>
      </c>
      <c r="C5" s="21"/>
      <c r="D5" s="21"/>
      <c r="E5" s="21"/>
      <c r="F5" s="21"/>
      <c r="G5" s="21"/>
      <c r="H5" s="21"/>
      <c r="I5" s="21"/>
      <c r="J5" s="21"/>
      <c r="K5" s="21"/>
      <c r="L5" s="21"/>
      <c r="M5" s="21"/>
      <c r="N5" s="21"/>
      <c r="O5" s="21"/>
      <c r="P5" s="21"/>
      <c r="Q5" s="21"/>
      <c r="R5" s="21"/>
      <c r="S5" s="21"/>
      <c r="T5" s="21"/>
      <c r="U5" s="21"/>
    </row>
    <row r="6" spans="1:21">
      <c r="A6" s="19" t="s">
        <v>635</v>
      </c>
      <c r="B6" s="21" t="s">
        <v>640</v>
      </c>
      <c r="C6" s="21"/>
      <c r="D6" s="21"/>
      <c r="E6" s="21"/>
      <c r="F6" s="21"/>
      <c r="G6" s="21"/>
      <c r="H6" s="21"/>
      <c r="I6" s="21"/>
      <c r="J6" s="21"/>
      <c r="K6" s="21"/>
      <c r="L6" s="21"/>
      <c r="M6" s="21"/>
      <c r="N6" s="21"/>
      <c r="O6" s="21"/>
      <c r="P6" s="21"/>
      <c r="Q6" s="21"/>
      <c r="R6" s="21"/>
      <c r="S6" s="21"/>
      <c r="T6" s="21"/>
      <c r="U6" s="21"/>
    </row>
    <row r="7" spans="1:21">
      <c r="A7" s="19" t="s">
        <v>739</v>
      </c>
      <c r="B7" s="115" t="s">
        <v>740</v>
      </c>
      <c r="C7" s="21"/>
      <c r="D7" s="21">
        <v>100</v>
      </c>
      <c r="E7" s="21"/>
      <c r="F7" s="21"/>
      <c r="G7" s="21"/>
      <c r="H7" s="21"/>
      <c r="I7" s="21"/>
      <c r="J7" s="21"/>
      <c r="K7" s="21"/>
      <c r="L7" s="21"/>
      <c r="M7" s="21"/>
      <c r="N7" s="21"/>
      <c r="O7" s="21"/>
      <c r="P7" s="21"/>
      <c r="Q7" s="21"/>
      <c r="R7" s="21"/>
      <c r="S7" s="21"/>
      <c r="T7" s="21"/>
      <c r="U7" s="21"/>
    </row>
    <row r="8" spans="1:21">
      <c r="A8" s="19"/>
      <c r="B8" s="115" t="s">
        <v>741</v>
      </c>
      <c r="C8" s="21"/>
      <c r="D8" s="21">
        <v>2500</v>
      </c>
      <c r="E8" s="21"/>
      <c r="F8" s="21"/>
      <c r="G8" s="21"/>
      <c r="H8" s="21"/>
      <c r="I8" s="21"/>
      <c r="J8" s="21"/>
      <c r="K8" s="21"/>
      <c r="L8" s="21"/>
      <c r="M8" s="21"/>
      <c r="N8" s="21"/>
      <c r="O8" s="21"/>
      <c r="P8" s="21"/>
      <c r="Q8" s="21"/>
      <c r="R8" s="21"/>
      <c r="S8" s="21"/>
      <c r="T8" s="21"/>
      <c r="U8" s="21"/>
    </row>
    <row r="9" spans="1:21">
      <c r="A9" s="21"/>
      <c r="B9" s="115" t="s">
        <v>742</v>
      </c>
      <c r="C9" s="21"/>
      <c r="D9" s="21">
        <v>25</v>
      </c>
      <c r="E9" s="21"/>
      <c r="F9" s="21"/>
      <c r="G9" s="21"/>
      <c r="H9" s="21"/>
      <c r="I9" s="21"/>
      <c r="J9" s="21"/>
      <c r="K9" s="21"/>
      <c r="L9" s="21"/>
      <c r="M9" s="21"/>
      <c r="N9" s="21"/>
      <c r="O9" s="21"/>
      <c r="P9" s="21"/>
      <c r="Q9" s="21"/>
      <c r="R9" s="21"/>
      <c r="S9" s="21"/>
      <c r="T9" s="21"/>
      <c r="U9" s="21"/>
    </row>
    <row r="10" spans="1:21" ht="50.25" customHeight="1">
      <c r="A10" s="22" t="s">
        <v>1090</v>
      </c>
      <c r="B10" s="22" t="s">
        <v>1206</v>
      </c>
      <c r="C10" s="22" t="s">
        <v>1096</v>
      </c>
      <c r="D10" s="31" t="s">
        <v>1097</v>
      </c>
      <c r="E10" s="31" t="s">
        <v>1098</v>
      </c>
      <c r="F10" s="31" t="s">
        <v>1108</v>
      </c>
      <c r="G10" s="199" t="s">
        <v>716</v>
      </c>
      <c r="H10" s="199" t="s">
        <v>717</v>
      </c>
      <c r="I10" s="31" t="s">
        <v>718</v>
      </c>
      <c r="J10" s="199" t="s">
        <v>719</v>
      </c>
      <c r="K10" s="199" t="s">
        <v>720</v>
      </c>
      <c r="L10" s="199" t="s">
        <v>721</v>
      </c>
      <c r="M10" s="199" t="s">
        <v>722</v>
      </c>
      <c r="N10" s="31" t="s">
        <v>723</v>
      </c>
      <c r="O10" s="31" t="s">
        <v>724</v>
      </c>
      <c r="P10" s="31" t="s">
        <v>725</v>
      </c>
      <c r="Q10" s="31" t="s">
        <v>726</v>
      </c>
      <c r="R10" s="31" t="s">
        <v>727</v>
      </c>
      <c r="S10" s="31" t="s">
        <v>737</v>
      </c>
      <c r="T10" s="31" t="s">
        <v>410</v>
      </c>
      <c r="U10" s="31" t="s">
        <v>738</v>
      </c>
    </row>
    <row r="11" spans="1:21">
      <c r="A11" s="26">
        <v>36465</v>
      </c>
      <c r="B11" s="112">
        <v>93.25</v>
      </c>
      <c r="C11" s="269">
        <v>94.1875</v>
      </c>
      <c r="D11" s="269">
        <v>92.125</v>
      </c>
      <c r="E11" s="269">
        <v>92.375</v>
      </c>
      <c r="F11" s="269"/>
      <c r="G11" s="269"/>
      <c r="H11" s="269"/>
      <c r="I11" s="269"/>
      <c r="J11" s="269"/>
      <c r="K11" s="269"/>
      <c r="L11" s="200"/>
      <c r="M11" s="200"/>
      <c r="N11" s="28"/>
      <c r="O11" s="28"/>
      <c r="P11" s="28"/>
      <c r="Q11" s="28"/>
      <c r="R11" s="54"/>
      <c r="S11" s="120"/>
      <c r="T11" s="173"/>
      <c r="U11" s="173"/>
    </row>
    <row r="12" spans="1:21">
      <c r="A12" s="26">
        <v>36466</v>
      </c>
      <c r="B12" s="112">
        <v>92.75</v>
      </c>
      <c r="C12" s="269">
        <v>94.5</v>
      </c>
      <c r="D12" s="269">
        <v>91.9375</v>
      </c>
      <c r="E12" s="269">
        <v>92.5625</v>
      </c>
      <c r="F12" s="269">
        <f>MAX(C12-D12,C12-E11,E11-D12)</f>
        <v>2.5625</v>
      </c>
      <c r="G12" s="275">
        <f>IF(AND((C12-C11 &gt; D11-D12),C12&gt;C11), C12-C11, 0)</f>
        <v>0.3125</v>
      </c>
      <c r="H12" s="275">
        <f>IF(AND((D11-D12&gt;C12-C11),D12&lt;D11),D11-D12,0)</f>
        <v>0</v>
      </c>
      <c r="I12" s="112"/>
      <c r="J12" s="269"/>
      <c r="K12" s="269"/>
      <c r="L12" s="200"/>
      <c r="M12" s="200"/>
      <c r="N12" s="28"/>
      <c r="O12" s="28"/>
      <c r="P12" s="28"/>
      <c r="Q12" s="28"/>
      <c r="R12" s="54"/>
      <c r="S12" s="120"/>
      <c r="T12" s="173"/>
      <c r="U12" s="173"/>
    </row>
    <row r="13" spans="1:21">
      <c r="A13" s="27">
        <v>36467</v>
      </c>
      <c r="B13" s="111">
        <v>92.9375</v>
      </c>
      <c r="C13" s="188">
        <v>93.5</v>
      </c>
      <c r="D13" s="188">
        <v>91.5</v>
      </c>
      <c r="E13" s="188">
        <v>92</v>
      </c>
      <c r="F13" s="188">
        <f t="shared" ref="F13:F60" si="0">MAX(C13-D13,C13-E12,E12-D13)</f>
        <v>2</v>
      </c>
      <c r="G13" s="277">
        <f t="shared" ref="G13:G60" si="1">IF(AND((C13-C12 &gt; D12-D13),C13&gt;C12), C13-C12, 0)</f>
        <v>0</v>
      </c>
      <c r="H13" s="277">
        <f t="shared" ref="H13:H60" si="2">IF(AND((D12-D13&gt;C13-C12),D13&lt;D12),D12-D13,0)</f>
        <v>0.4375</v>
      </c>
      <c r="I13" s="188"/>
      <c r="J13" s="188"/>
      <c r="K13" s="188"/>
      <c r="L13" s="201"/>
      <c r="M13" s="201"/>
      <c r="N13" s="29"/>
      <c r="O13" s="29"/>
      <c r="P13" s="29"/>
      <c r="Q13" s="29"/>
      <c r="R13" s="57"/>
      <c r="S13" s="121"/>
      <c r="T13" s="174"/>
      <c r="U13" s="174"/>
    </row>
    <row r="14" spans="1:21">
      <c r="A14" s="27">
        <v>36468</v>
      </c>
      <c r="B14" s="111">
        <v>92.3125</v>
      </c>
      <c r="C14" s="188">
        <v>92.75</v>
      </c>
      <c r="D14" s="188">
        <v>90.3125</v>
      </c>
      <c r="E14" s="188">
        <v>91.75</v>
      </c>
      <c r="F14" s="188">
        <f t="shared" si="0"/>
        <v>2.4375</v>
      </c>
      <c r="G14" s="277">
        <f t="shared" si="1"/>
        <v>0</v>
      </c>
      <c r="H14" s="277">
        <f t="shared" si="2"/>
        <v>1.1875</v>
      </c>
      <c r="I14" s="188"/>
      <c r="J14" s="188"/>
      <c r="K14" s="188"/>
      <c r="L14" s="201"/>
      <c r="M14" s="201"/>
      <c r="N14" s="29"/>
      <c r="O14" s="29"/>
      <c r="P14" s="29"/>
      <c r="Q14" s="29"/>
      <c r="R14" s="57"/>
      <c r="S14" s="121"/>
      <c r="T14" s="174"/>
      <c r="U14" s="174"/>
    </row>
    <row r="15" spans="1:21">
      <c r="A15" s="69">
        <v>36469</v>
      </c>
      <c r="B15" s="269">
        <v>91.8125</v>
      </c>
      <c r="C15" s="269">
        <v>92.875</v>
      </c>
      <c r="D15" s="269">
        <v>90.5</v>
      </c>
      <c r="E15" s="269">
        <v>91.5625</v>
      </c>
      <c r="F15" s="269">
        <f t="shared" si="0"/>
        <v>2.375</v>
      </c>
      <c r="G15" s="275">
        <f t="shared" si="1"/>
        <v>0.125</v>
      </c>
      <c r="H15" s="275">
        <f t="shared" si="2"/>
        <v>0</v>
      </c>
      <c r="I15" s="269"/>
      <c r="J15" s="269"/>
      <c r="K15" s="269"/>
      <c r="L15" s="200"/>
      <c r="M15" s="200"/>
      <c r="N15" s="28"/>
      <c r="O15" s="28"/>
      <c r="P15" s="28"/>
      <c r="Q15" s="28"/>
      <c r="R15" s="54"/>
      <c r="S15" s="120"/>
      <c r="T15" s="173"/>
      <c r="U15" s="173"/>
    </row>
    <row r="16" spans="1:21">
      <c r="A16" s="69">
        <v>36472</v>
      </c>
      <c r="B16" s="269">
        <v>84.8125</v>
      </c>
      <c r="C16" s="269">
        <v>90.75</v>
      </c>
      <c r="D16" s="269">
        <v>84.375</v>
      </c>
      <c r="E16" s="269">
        <v>89.9375</v>
      </c>
      <c r="F16" s="269">
        <f t="shared" si="0"/>
        <v>7.1875</v>
      </c>
      <c r="G16" s="275">
        <f t="shared" si="1"/>
        <v>0</v>
      </c>
      <c r="H16" s="275">
        <f t="shared" si="2"/>
        <v>6.125</v>
      </c>
      <c r="I16" s="269"/>
      <c r="J16" s="269"/>
      <c r="K16" s="269"/>
      <c r="L16" s="200"/>
      <c r="M16" s="200"/>
      <c r="N16" s="28"/>
      <c r="O16" s="28"/>
      <c r="P16" s="28"/>
      <c r="Q16" s="28"/>
      <c r="R16" s="54"/>
      <c r="S16" s="120"/>
      <c r="T16" s="173"/>
      <c r="U16" s="173"/>
    </row>
    <row r="17" spans="1:21">
      <c r="A17" s="68">
        <v>36473</v>
      </c>
      <c r="B17" s="188">
        <v>89.75</v>
      </c>
      <c r="C17" s="188">
        <v>89.875</v>
      </c>
      <c r="D17" s="188">
        <v>86.4375</v>
      </c>
      <c r="E17" s="188">
        <v>88.875</v>
      </c>
      <c r="F17" s="188">
        <f t="shared" si="0"/>
        <v>3.5</v>
      </c>
      <c r="G17" s="277">
        <f t="shared" si="1"/>
        <v>0</v>
      </c>
      <c r="H17" s="277">
        <f t="shared" si="2"/>
        <v>0</v>
      </c>
      <c r="I17" s="188"/>
      <c r="J17" s="188"/>
      <c r="K17" s="188"/>
      <c r="L17" s="201"/>
      <c r="M17" s="201"/>
      <c r="N17" s="29"/>
      <c r="O17" s="29"/>
      <c r="P17" s="29"/>
      <c r="Q17" s="29"/>
      <c r="R17" s="57"/>
      <c r="S17" s="121"/>
      <c r="T17" s="174"/>
      <c r="U17" s="174"/>
    </row>
    <row r="18" spans="1:21">
      <c r="A18" s="68">
        <v>36474</v>
      </c>
      <c r="B18" s="188">
        <v>88.125</v>
      </c>
      <c r="C18" s="188">
        <v>89.125</v>
      </c>
      <c r="D18" s="188">
        <v>86.4375</v>
      </c>
      <c r="E18" s="188">
        <v>87.125</v>
      </c>
      <c r="F18" s="188">
        <f t="shared" si="0"/>
        <v>2.6875</v>
      </c>
      <c r="G18" s="277">
        <f t="shared" si="1"/>
        <v>0</v>
      </c>
      <c r="H18" s="277">
        <f t="shared" si="2"/>
        <v>0</v>
      </c>
      <c r="I18" s="188"/>
      <c r="J18" s="188"/>
      <c r="K18" s="188"/>
      <c r="L18" s="201"/>
      <c r="M18" s="201"/>
      <c r="N18" s="29"/>
      <c r="O18" s="29"/>
      <c r="P18" s="29"/>
      <c r="Q18" s="29"/>
      <c r="R18" s="57"/>
      <c r="S18" s="121"/>
      <c r="T18" s="174"/>
      <c r="U18" s="174"/>
    </row>
    <row r="19" spans="1:21">
      <c r="A19" s="69">
        <v>36475</v>
      </c>
      <c r="B19" s="269">
        <v>88.25</v>
      </c>
      <c r="C19" s="269">
        <v>90.4375</v>
      </c>
      <c r="D19" s="269">
        <v>88.25</v>
      </c>
      <c r="E19" s="269">
        <v>89.625</v>
      </c>
      <c r="F19" s="269">
        <f t="shared" si="0"/>
        <v>3.3125</v>
      </c>
      <c r="G19" s="275">
        <f t="shared" si="1"/>
        <v>1.3125</v>
      </c>
      <c r="H19" s="275">
        <f t="shared" si="2"/>
        <v>0</v>
      </c>
      <c r="I19" s="269"/>
      <c r="J19" s="269"/>
      <c r="K19" s="269"/>
      <c r="L19" s="200"/>
      <c r="M19" s="200"/>
      <c r="N19" s="28"/>
      <c r="O19" s="28"/>
      <c r="P19" s="28"/>
      <c r="Q19" s="28"/>
      <c r="R19" s="54"/>
      <c r="S19" s="120"/>
      <c r="T19" s="173"/>
      <c r="U19" s="173"/>
    </row>
    <row r="20" spans="1:21">
      <c r="A20" s="69">
        <v>36476</v>
      </c>
      <c r="B20" s="269">
        <v>89.75</v>
      </c>
      <c r="C20" s="269">
        <v>90</v>
      </c>
      <c r="D20" s="269">
        <v>87.0625</v>
      </c>
      <c r="E20" s="269">
        <v>89.1875</v>
      </c>
      <c r="F20" s="269">
        <f t="shared" si="0"/>
        <v>2.9375</v>
      </c>
      <c r="G20" s="275">
        <f t="shared" si="1"/>
        <v>0</v>
      </c>
      <c r="H20" s="275">
        <f t="shared" si="2"/>
        <v>1.1875</v>
      </c>
      <c r="I20" s="269"/>
      <c r="J20" s="269"/>
      <c r="K20" s="269"/>
      <c r="L20" s="200"/>
      <c r="M20" s="200"/>
      <c r="N20" s="28"/>
      <c r="O20" s="28"/>
      <c r="P20" s="28"/>
      <c r="Q20" s="28"/>
      <c r="R20" s="54"/>
      <c r="S20" s="120"/>
      <c r="T20" s="173"/>
      <c r="U20" s="173"/>
    </row>
    <row r="21" spans="1:21">
      <c r="A21" s="68">
        <v>36479</v>
      </c>
      <c r="B21" s="188">
        <v>88.25</v>
      </c>
      <c r="C21" s="188">
        <v>88.5</v>
      </c>
      <c r="D21" s="188">
        <v>86.9375</v>
      </c>
      <c r="E21" s="188">
        <v>87</v>
      </c>
      <c r="F21" s="188">
        <f t="shared" si="0"/>
        <v>2.25</v>
      </c>
      <c r="G21" s="277">
        <f t="shared" si="1"/>
        <v>0</v>
      </c>
      <c r="H21" s="277">
        <f t="shared" si="2"/>
        <v>0.125</v>
      </c>
      <c r="I21" s="188"/>
      <c r="J21" s="188"/>
      <c r="K21" s="188"/>
      <c r="L21" s="201"/>
      <c r="M21" s="201"/>
      <c r="N21" s="29"/>
      <c r="O21" s="29"/>
      <c r="P21" s="29"/>
      <c r="Q21" s="29"/>
      <c r="R21" s="57"/>
      <c r="S21" s="121"/>
      <c r="T21" s="174"/>
      <c r="U21" s="174"/>
    </row>
    <row r="22" spans="1:21">
      <c r="A22" s="68">
        <v>36480</v>
      </c>
      <c r="B22" s="188">
        <v>86.9375</v>
      </c>
      <c r="C22" s="188">
        <v>87.75</v>
      </c>
      <c r="D22" s="188">
        <v>85.875</v>
      </c>
      <c r="E22" s="188">
        <v>87.3125</v>
      </c>
      <c r="F22" s="188">
        <f t="shared" si="0"/>
        <v>1.875</v>
      </c>
      <c r="G22" s="277">
        <f t="shared" si="1"/>
        <v>0</v>
      </c>
      <c r="H22" s="277">
        <f t="shared" si="2"/>
        <v>1.0625</v>
      </c>
      <c r="I22" s="188"/>
      <c r="J22" s="188"/>
      <c r="K22" s="188"/>
      <c r="L22" s="201"/>
      <c r="M22" s="201"/>
      <c r="N22" s="29"/>
      <c r="O22" s="29"/>
      <c r="P22" s="29"/>
      <c r="Q22" s="29"/>
      <c r="R22" s="57"/>
      <c r="S22" s="121"/>
      <c r="T22" s="174"/>
      <c r="U22" s="174"/>
    </row>
    <row r="23" spans="1:21">
      <c r="A23" s="69">
        <v>36481</v>
      </c>
      <c r="B23" s="269">
        <v>86.4375</v>
      </c>
      <c r="C23" s="269">
        <v>87.0625</v>
      </c>
      <c r="D23" s="269">
        <v>85</v>
      </c>
      <c r="E23" s="269">
        <v>85</v>
      </c>
      <c r="F23" s="269">
        <f t="shared" si="0"/>
        <v>2.3125</v>
      </c>
      <c r="G23" s="275">
        <f t="shared" si="1"/>
        <v>0</v>
      </c>
      <c r="H23" s="275">
        <f t="shared" si="2"/>
        <v>0.875</v>
      </c>
      <c r="I23" s="269"/>
      <c r="J23" s="269"/>
      <c r="K23" s="269"/>
      <c r="L23" s="200"/>
      <c r="M23" s="200"/>
      <c r="N23" s="28"/>
      <c r="O23" s="28"/>
      <c r="P23" s="28"/>
      <c r="Q23" s="28"/>
      <c r="R23" s="54"/>
      <c r="S23" s="120"/>
      <c r="T23" s="173"/>
      <c r="U23" s="173"/>
    </row>
    <row r="24" spans="1:21">
      <c r="A24" s="69">
        <v>36482</v>
      </c>
      <c r="B24" s="269">
        <v>84.9375</v>
      </c>
      <c r="C24" s="269">
        <v>85.8125</v>
      </c>
      <c r="D24" s="269">
        <v>84.5</v>
      </c>
      <c r="E24" s="269">
        <v>84.9375</v>
      </c>
      <c r="F24" s="269">
        <f t="shared" si="0"/>
        <v>1.3125</v>
      </c>
      <c r="G24" s="275">
        <f t="shared" si="1"/>
        <v>0</v>
      </c>
      <c r="H24" s="275">
        <f t="shared" si="2"/>
        <v>0.5</v>
      </c>
      <c r="I24" s="269">
        <f>SUM(F12:F24)</f>
        <v>36.75</v>
      </c>
      <c r="J24" s="269">
        <f>SUM(G12:G24)</f>
        <v>1.75</v>
      </c>
      <c r="K24" s="269">
        <f>SUM(H12:H24)</f>
        <v>11.5</v>
      </c>
      <c r="L24" s="200"/>
      <c r="M24" s="200"/>
      <c r="N24" s="28"/>
      <c r="O24" s="28"/>
      <c r="P24" s="28"/>
      <c r="Q24" s="28"/>
      <c r="R24" s="54"/>
      <c r="S24" s="112">
        <f>I24/14</f>
        <v>2.625</v>
      </c>
      <c r="T24" s="271"/>
      <c r="U24" s="271"/>
    </row>
    <row r="25" spans="1:21">
      <c r="A25" s="68">
        <v>36483</v>
      </c>
      <c r="B25" s="188">
        <v>84.4375</v>
      </c>
      <c r="C25" s="188">
        <v>86.5625</v>
      </c>
      <c r="D25" s="188">
        <v>84.375</v>
      </c>
      <c r="E25" s="188">
        <v>86</v>
      </c>
      <c r="F25" s="188">
        <f t="shared" si="0"/>
        <v>2.1875</v>
      </c>
      <c r="G25" s="277">
        <f t="shared" si="1"/>
        <v>0.75</v>
      </c>
      <c r="H25" s="277">
        <f t="shared" si="2"/>
        <v>0</v>
      </c>
      <c r="I25" s="188">
        <f t="shared" ref="I25:I60" si="3">I24-(I24/14) +F25</f>
        <v>36.3125</v>
      </c>
      <c r="J25" s="188">
        <f t="shared" ref="J25:J60" si="4">J24-(J24/14) +G25</f>
        <v>2.375</v>
      </c>
      <c r="K25" s="188">
        <f t="shared" ref="K25:K60" si="5">K24-(K24/14) +H25</f>
        <v>10.678571428571429</v>
      </c>
      <c r="L25" s="80">
        <f>ROUND(J25/I25*100,0)</f>
        <v>7</v>
      </c>
      <c r="M25" s="80">
        <f>ROUND(K25/I25*100,0)</f>
        <v>29</v>
      </c>
      <c r="N25" s="56">
        <f>ABS(L25-M25)</f>
        <v>22</v>
      </c>
      <c r="O25" s="56">
        <f>L25+M25</f>
        <v>36</v>
      </c>
      <c r="P25" s="29">
        <f>ROUND(N25/O25*100,0)</f>
        <v>61</v>
      </c>
      <c r="Q25" s="29"/>
      <c r="R25" s="57"/>
      <c r="S25" s="111">
        <f t="shared" ref="S25:S60" si="6">I25/14</f>
        <v>2.59375</v>
      </c>
      <c r="T25" s="272"/>
      <c r="U25" s="272"/>
    </row>
    <row r="26" spans="1:21">
      <c r="A26" s="68">
        <v>36486</v>
      </c>
      <c r="B26" s="188">
        <v>89.625</v>
      </c>
      <c r="C26" s="188">
        <v>90.375</v>
      </c>
      <c r="D26" s="188">
        <v>88.4375</v>
      </c>
      <c r="E26" s="188">
        <v>89.8125</v>
      </c>
      <c r="F26" s="188">
        <f t="shared" si="0"/>
        <v>4.375</v>
      </c>
      <c r="G26" s="277">
        <f t="shared" si="1"/>
        <v>3.8125</v>
      </c>
      <c r="H26" s="277">
        <f t="shared" si="2"/>
        <v>0</v>
      </c>
      <c r="I26" s="188">
        <f t="shared" si="3"/>
        <v>38.09375</v>
      </c>
      <c r="J26" s="188">
        <f t="shared" si="4"/>
        <v>6.0178571428571423</v>
      </c>
      <c r="K26" s="188">
        <f t="shared" si="5"/>
        <v>9.9158163265306118</v>
      </c>
      <c r="L26" s="80">
        <f t="shared" ref="L26:L60" si="7">ROUND(J26/I26*100,0)</f>
        <v>16</v>
      </c>
      <c r="M26" s="80">
        <f t="shared" ref="M26:M60" si="8">ROUND(K26/I26*100,0)</f>
        <v>26</v>
      </c>
      <c r="N26" s="56">
        <f t="shared" ref="N26:N60" si="9">ABS(L26-M26)</f>
        <v>10</v>
      </c>
      <c r="O26" s="56">
        <f t="shared" ref="O26:O60" si="10">L26+M26</f>
        <v>42</v>
      </c>
      <c r="P26" s="29">
        <f t="shared" ref="P26:P60" si="11">ROUND(N26/O26*100,0)</f>
        <v>24</v>
      </c>
      <c r="Q26" s="29"/>
      <c r="R26" s="57"/>
      <c r="S26" s="111">
        <f t="shared" si="6"/>
        <v>2.7209821428571428</v>
      </c>
      <c r="T26" s="272"/>
      <c r="U26" s="272"/>
    </row>
    <row r="27" spans="1:21">
      <c r="A27" s="69">
        <v>36487</v>
      </c>
      <c r="B27" s="269">
        <v>89.25</v>
      </c>
      <c r="C27" s="269">
        <v>91.375</v>
      </c>
      <c r="D27" s="269">
        <v>88.375</v>
      </c>
      <c r="E27" s="269">
        <v>89.625</v>
      </c>
      <c r="F27" s="269">
        <f t="shared" si="0"/>
        <v>3</v>
      </c>
      <c r="G27" s="275">
        <f t="shared" si="1"/>
        <v>1</v>
      </c>
      <c r="H27" s="275">
        <f t="shared" si="2"/>
        <v>0</v>
      </c>
      <c r="I27" s="269">
        <f t="shared" si="3"/>
        <v>38.372767857142854</v>
      </c>
      <c r="J27" s="269">
        <f t="shared" si="4"/>
        <v>6.5880102040816322</v>
      </c>
      <c r="K27" s="269">
        <f t="shared" si="5"/>
        <v>9.2075437317784257</v>
      </c>
      <c r="L27" s="78">
        <f t="shared" si="7"/>
        <v>17</v>
      </c>
      <c r="M27" s="78">
        <f t="shared" si="8"/>
        <v>24</v>
      </c>
      <c r="N27" s="53">
        <f t="shared" si="9"/>
        <v>7</v>
      </c>
      <c r="O27" s="53">
        <f t="shared" si="10"/>
        <v>41</v>
      </c>
      <c r="P27" s="28">
        <f t="shared" si="11"/>
        <v>17</v>
      </c>
      <c r="Q27" s="28"/>
      <c r="R27" s="54"/>
      <c r="S27" s="112">
        <f t="shared" si="6"/>
        <v>2.7409119897959182</v>
      </c>
      <c r="T27" s="271"/>
      <c r="U27" s="271"/>
    </row>
    <row r="28" spans="1:21">
      <c r="A28" s="69">
        <v>36488</v>
      </c>
      <c r="B28" s="269">
        <v>89.5625</v>
      </c>
      <c r="C28" s="269">
        <v>92.25</v>
      </c>
      <c r="D28" s="269">
        <v>89.5</v>
      </c>
      <c r="E28" s="269">
        <v>91.6875</v>
      </c>
      <c r="F28" s="269">
        <f t="shared" si="0"/>
        <v>2.75</v>
      </c>
      <c r="G28" s="275">
        <f t="shared" si="1"/>
        <v>0.875</v>
      </c>
      <c r="H28" s="275">
        <f t="shared" si="2"/>
        <v>0</v>
      </c>
      <c r="I28" s="269">
        <f t="shared" si="3"/>
        <v>38.381855867346935</v>
      </c>
      <c r="J28" s="269">
        <f t="shared" si="4"/>
        <v>6.99243804664723</v>
      </c>
      <c r="K28" s="269">
        <f t="shared" si="5"/>
        <v>8.5498620366513958</v>
      </c>
      <c r="L28" s="78">
        <f t="shared" si="7"/>
        <v>18</v>
      </c>
      <c r="M28" s="78">
        <f t="shared" si="8"/>
        <v>22</v>
      </c>
      <c r="N28" s="53">
        <f t="shared" si="9"/>
        <v>4</v>
      </c>
      <c r="O28" s="53">
        <f t="shared" si="10"/>
        <v>40</v>
      </c>
      <c r="P28" s="28">
        <f t="shared" si="11"/>
        <v>10</v>
      </c>
      <c r="Q28" s="28"/>
      <c r="R28" s="54"/>
      <c r="S28" s="112">
        <f t="shared" si="6"/>
        <v>2.7415611333819241</v>
      </c>
      <c r="T28" s="271"/>
      <c r="U28" s="271"/>
    </row>
    <row r="29" spans="1:21">
      <c r="A29" s="68">
        <v>36490</v>
      </c>
      <c r="B29" s="188">
        <v>91.625</v>
      </c>
      <c r="C29" s="188">
        <v>93.375</v>
      </c>
      <c r="D29" s="188">
        <v>91</v>
      </c>
      <c r="E29" s="188">
        <v>91.125</v>
      </c>
      <c r="F29" s="188">
        <f t="shared" si="0"/>
        <v>2.375</v>
      </c>
      <c r="G29" s="277">
        <f t="shared" si="1"/>
        <v>1.125</v>
      </c>
      <c r="H29" s="277">
        <f t="shared" si="2"/>
        <v>0</v>
      </c>
      <c r="I29" s="188">
        <f t="shared" si="3"/>
        <v>38.015294733965014</v>
      </c>
      <c r="J29" s="188">
        <f t="shared" si="4"/>
        <v>7.6179781861724276</v>
      </c>
      <c r="K29" s="188">
        <f t="shared" si="5"/>
        <v>7.9391576054620101</v>
      </c>
      <c r="L29" s="80">
        <f t="shared" si="7"/>
        <v>20</v>
      </c>
      <c r="M29" s="80">
        <f t="shared" si="8"/>
        <v>21</v>
      </c>
      <c r="N29" s="56">
        <f t="shared" si="9"/>
        <v>1</v>
      </c>
      <c r="O29" s="56">
        <f t="shared" si="10"/>
        <v>41</v>
      </c>
      <c r="P29" s="29">
        <f t="shared" si="11"/>
        <v>2</v>
      </c>
      <c r="Q29" s="29"/>
      <c r="R29" s="57"/>
      <c r="S29" s="111">
        <f t="shared" si="6"/>
        <v>2.7153781952832152</v>
      </c>
      <c r="T29" s="272"/>
      <c r="U29" s="272"/>
    </row>
    <row r="30" spans="1:21">
      <c r="A30" s="68">
        <v>36493</v>
      </c>
      <c r="B30" s="188">
        <v>90.125</v>
      </c>
      <c r="C30" s="188">
        <v>92.0625</v>
      </c>
      <c r="D30" s="188">
        <v>89.5</v>
      </c>
      <c r="E30" s="188">
        <v>90.1875</v>
      </c>
      <c r="F30" s="188">
        <f t="shared" si="0"/>
        <v>2.5625</v>
      </c>
      <c r="G30" s="277">
        <f t="shared" si="1"/>
        <v>0</v>
      </c>
      <c r="H30" s="277">
        <f t="shared" si="2"/>
        <v>1.5</v>
      </c>
      <c r="I30" s="188">
        <f t="shared" si="3"/>
        <v>37.862416538681799</v>
      </c>
      <c r="J30" s="188">
        <f t="shared" si="4"/>
        <v>7.0738368871601116</v>
      </c>
      <c r="K30" s="188">
        <f t="shared" si="5"/>
        <v>8.8720749193575799</v>
      </c>
      <c r="L30" s="80">
        <f t="shared" si="7"/>
        <v>19</v>
      </c>
      <c r="M30" s="80">
        <f t="shared" si="8"/>
        <v>23</v>
      </c>
      <c r="N30" s="56">
        <f t="shared" si="9"/>
        <v>4</v>
      </c>
      <c r="O30" s="56">
        <f t="shared" si="10"/>
        <v>42</v>
      </c>
      <c r="P30" s="29">
        <f t="shared" si="11"/>
        <v>10</v>
      </c>
      <c r="Q30" s="29"/>
      <c r="R30" s="57"/>
      <c r="S30" s="111">
        <f t="shared" si="6"/>
        <v>2.704458324191557</v>
      </c>
      <c r="T30" s="272"/>
      <c r="U30" s="272"/>
    </row>
    <row r="31" spans="1:21">
      <c r="A31" s="69">
        <v>36494</v>
      </c>
      <c r="B31" s="269">
        <v>89.75</v>
      </c>
      <c r="C31" s="269">
        <v>92.875</v>
      </c>
      <c r="D31" s="269">
        <v>89.5625</v>
      </c>
      <c r="E31" s="269">
        <v>91.046899999999994</v>
      </c>
      <c r="F31" s="269">
        <f t="shared" si="0"/>
        <v>3.3125</v>
      </c>
      <c r="G31" s="275">
        <f t="shared" si="1"/>
        <v>0.8125</v>
      </c>
      <c r="H31" s="275">
        <f t="shared" si="2"/>
        <v>0</v>
      </c>
      <c r="I31" s="269">
        <f t="shared" si="3"/>
        <v>38.470458214490243</v>
      </c>
      <c r="J31" s="269">
        <f t="shared" si="4"/>
        <v>7.3810628237915319</v>
      </c>
      <c r="K31" s="269">
        <f t="shared" si="5"/>
        <v>8.2383552822606099</v>
      </c>
      <c r="L31" s="78">
        <f t="shared" si="7"/>
        <v>19</v>
      </c>
      <c r="M31" s="78">
        <f t="shared" si="8"/>
        <v>21</v>
      </c>
      <c r="N31" s="53">
        <f t="shared" si="9"/>
        <v>2</v>
      </c>
      <c r="O31" s="53">
        <f t="shared" si="10"/>
        <v>40</v>
      </c>
      <c r="P31" s="28">
        <f t="shared" si="11"/>
        <v>5</v>
      </c>
      <c r="Q31" s="28"/>
      <c r="R31" s="54"/>
      <c r="S31" s="112">
        <f t="shared" si="6"/>
        <v>2.7478898724635887</v>
      </c>
      <c r="T31" s="271"/>
      <c r="U31" s="271"/>
    </row>
    <row r="32" spans="1:21">
      <c r="A32" s="69">
        <v>36495</v>
      </c>
      <c r="B32" s="269">
        <v>91.0625</v>
      </c>
      <c r="C32" s="269">
        <v>93.9375</v>
      </c>
      <c r="D32" s="269">
        <v>90.875</v>
      </c>
      <c r="E32" s="269">
        <v>93.1875</v>
      </c>
      <c r="F32" s="269">
        <f t="shared" si="0"/>
        <v>3.0625</v>
      </c>
      <c r="G32" s="275">
        <f t="shared" si="1"/>
        <v>1.0625</v>
      </c>
      <c r="H32" s="275">
        <f t="shared" si="2"/>
        <v>0</v>
      </c>
      <c r="I32" s="269">
        <f t="shared" si="3"/>
        <v>38.785068342026655</v>
      </c>
      <c r="J32" s="269">
        <f t="shared" si="4"/>
        <v>7.9163440506635654</v>
      </c>
      <c r="K32" s="269">
        <f t="shared" si="5"/>
        <v>7.6499013335277093</v>
      </c>
      <c r="L32" s="78">
        <f t="shared" si="7"/>
        <v>20</v>
      </c>
      <c r="M32" s="78">
        <f t="shared" si="8"/>
        <v>20</v>
      </c>
      <c r="N32" s="53">
        <f t="shared" si="9"/>
        <v>0</v>
      </c>
      <c r="O32" s="53">
        <f t="shared" si="10"/>
        <v>40</v>
      </c>
      <c r="P32" s="28">
        <f t="shared" si="11"/>
        <v>0</v>
      </c>
      <c r="Q32" s="28"/>
      <c r="R32" s="54"/>
      <c r="S32" s="112">
        <f t="shared" si="6"/>
        <v>2.7703620244304754</v>
      </c>
      <c r="T32" s="271"/>
      <c r="U32" s="271"/>
    </row>
    <row r="33" spans="1:21">
      <c r="A33" s="68">
        <v>36496</v>
      </c>
      <c r="B33" s="188">
        <v>93.0625</v>
      </c>
      <c r="C33" s="188">
        <v>95.25</v>
      </c>
      <c r="D33" s="188">
        <v>92.875</v>
      </c>
      <c r="E33" s="188">
        <v>94.8125</v>
      </c>
      <c r="F33" s="188">
        <f t="shared" si="0"/>
        <v>2.375</v>
      </c>
      <c r="G33" s="277">
        <f t="shared" si="1"/>
        <v>1.3125</v>
      </c>
      <c r="H33" s="277">
        <f t="shared" si="2"/>
        <v>0</v>
      </c>
      <c r="I33" s="188">
        <f t="shared" si="3"/>
        <v>38.389706317596179</v>
      </c>
      <c r="J33" s="188">
        <f t="shared" si="4"/>
        <v>8.6633909041875974</v>
      </c>
      <c r="K33" s="188">
        <f t="shared" si="5"/>
        <v>7.1034798097043019</v>
      </c>
      <c r="L33" s="80">
        <f t="shared" si="7"/>
        <v>23</v>
      </c>
      <c r="M33" s="80">
        <f t="shared" si="8"/>
        <v>19</v>
      </c>
      <c r="N33" s="56">
        <f t="shared" si="9"/>
        <v>4</v>
      </c>
      <c r="O33" s="56">
        <f t="shared" si="10"/>
        <v>42</v>
      </c>
      <c r="P33" s="29">
        <f t="shared" si="11"/>
        <v>10</v>
      </c>
      <c r="Q33" s="29"/>
      <c r="R33" s="57"/>
      <c r="S33" s="111">
        <f t="shared" si="6"/>
        <v>2.7421218798282987</v>
      </c>
      <c r="T33" s="272"/>
      <c r="U33" s="272"/>
    </row>
    <row r="34" spans="1:21">
      <c r="A34" s="68">
        <v>36497</v>
      </c>
      <c r="B34" s="188">
        <v>95.8125</v>
      </c>
      <c r="C34" s="188">
        <v>97.125</v>
      </c>
      <c r="D34" s="188">
        <v>95.734399999999994</v>
      </c>
      <c r="E34" s="188">
        <v>96.125</v>
      </c>
      <c r="F34" s="188">
        <f t="shared" si="0"/>
        <v>2.3125</v>
      </c>
      <c r="G34" s="277">
        <f t="shared" si="1"/>
        <v>1.875</v>
      </c>
      <c r="H34" s="277">
        <f t="shared" si="2"/>
        <v>0</v>
      </c>
      <c r="I34" s="188">
        <f t="shared" si="3"/>
        <v>37.960084437767883</v>
      </c>
      <c r="J34" s="188">
        <f t="shared" si="4"/>
        <v>9.9195772681741978</v>
      </c>
      <c r="K34" s="188">
        <f t="shared" si="5"/>
        <v>6.596088394725423</v>
      </c>
      <c r="L34" s="80">
        <f t="shared" si="7"/>
        <v>26</v>
      </c>
      <c r="M34" s="80">
        <f t="shared" si="8"/>
        <v>17</v>
      </c>
      <c r="N34" s="56">
        <f t="shared" si="9"/>
        <v>9</v>
      </c>
      <c r="O34" s="56">
        <f t="shared" si="10"/>
        <v>43</v>
      </c>
      <c r="P34" s="29">
        <f t="shared" si="11"/>
        <v>21</v>
      </c>
      <c r="Q34" s="29"/>
      <c r="R34" s="57"/>
      <c r="S34" s="111">
        <f t="shared" si="6"/>
        <v>2.7114346026977061</v>
      </c>
      <c r="T34" s="272"/>
      <c r="U34" s="272"/>
    </row>
    <row r="35" spans="1:21">
      <c r="A35" s="69">
        <v>36500</v>
      </c>
      <c r="B35" s="269">
        <v>95.25</v>
      </c>
      <c r="C35" s="269">
        <v>97.1875</v>
      </c>
      <c r="D35" s="269">
        <v>94.75</v>
      </c>
      <c r="E35" s="269">
        <v>95.4375</v>
      </c>
      <c r="F35" s="269">
        <f t="shared" si="0"/>
        <v>2.4375</v>
      </c>
      <c r="G35" s="275">
        <f t="shared" si="1"/>
        <v>0</v>
      </c>
      <c r="H35" s="275">
        <f t="shared" si="2"/>
        <v>0.98439999999999372</v>
      </c>
      <c r="I35" s="269">
        <f t="shared" si="3"/>
        <v>37.686149835070175</v>
      </c>
      <c r="J35" s="269">
        <f t="shared" si="4"/>
        <v>9.2110360347331834</v>
      </c>
      <c r="K35" s="269">
        <f t="shared" si="5"/>
        <v>7.1093392236736008</v>
      </c>
      <c r="L35" s="78">
        <f t="shared" si="7"/>
        <v>24</v>
      </c>
      <c r="M35" s="78">
        <f t="shared" si="8"/>
        <v>19</v>
      </c>
      <c r="N35" s="53">
        <f t="shared" si="9"/>
        <v>5</v>
      </c>
      <c r="O35" s="53">
        <f t="shared" si="10"/>
        <v>43</v>
      </c>
      <c r="P35" s="28">
        <f t="shared" si="11"/>
        <v>12</v>
      </c>
      <c r="Q35" s="28"/>
      <c r="R35" s="54"/>
      <c r="S35" s="112">
        <f t="shared" si="6"/>
        <v>2.6918678453621552</v>
      </c>
      <c r="T35" s="271"/>
      <c r="U35" s="271"/>
    </row>
    <row r="36" spans="1:21">
      <c r="A36" s="69">
        <v>36501</v>
      </c>
      <c r="B36" s="269">
        <v>94.75</v>
      </c>
      <c r="C36" s="269">
        <v>94.875</v>
      </c>
      <c r="D36" s="269">
        <v>92.875</v>
      </c>
      <c r="E36" s="269">
        <v>93</v>
      </c>
      <c r="F36" s="269">
        <f t="shared" si="0"/>
        <v>2.5625</v>
      </c>
      <c r="G36" s="275">
        <f t="shared" si="1"/>
        <v>0</v>
      </c>
      <c r="H36" s="275">
        <f t="shared" si="2"/>
        <v>1.875</v>
      </c>
      <c r="I36" s="269">
        <f t="shared" si="3"/>
        <v>37.556781989708021</v>
      </c>
      <c r="J36" s="269">
        <f t="shared" si="4"/>
        <v>8.5531048893950992</v>
      </c>
      <c r="K36" s="269">
        <f t="shared" si="5"/>
        <v>8.4765292791254865</v>
      </c>
      <c r="L36" s="78">
        <f t="shared" si="7"/>
        <v>23</v>
      </c>
      <c r="M36" s="78">
        <f t="shared" si="8"/>
        <v>23</v>
      </c>
      <c r="N36" s="53">
        <f t="shared" si="9"/>
        <v>0</v>
      </c>
      <c r="O36" s="53">
        <f t="shared" si="10"/>
        <v>46</v>
      </c>
      <c r="P36" s="28">
        <f t="shared" si="11"/>
        <v>0</v>
      </c>
      <c r="Q36" s="28"/>
      <c r="R36" s="54"/>
      <c r="S36" s="112">
        <f t="shared" si="6"/>
        <v>2.6826272849791444</v>
      </c>
      <c r="T36" s="271"/>
      <c r="U36" s="271"/>
    </row>
    <row r="37" spans="1:21">
      <c r="A37" s="68">
        <v>36502</v>
      </c>
      <c r="B37" s="188">
        <v>93.125</v>
      </c>
      <c r="C37" s="188">
        <v>94.3125</v>
      </c>
      <c r="D37" s="188">
        <v>91.6875</v>
      </c>
      <c r="E37" s="188">
        <v>91.75</v>
      </c>
      <c r="F37" s="188">
        <f t="shared" si="0"/>
        <v>2.625</v>
      </c>
      <c r="G37" s="277">
        <f t="shared" si="1"/>
        <v>0</v>
      </c>
      <c r="H37" s="277">
        <f t="shared" si="2"/>
        <v>1.1875</v>
      </c>
      <c r="I37" s="188">
        <f t="shared" si="3"/>
        <v>37.49915470472888</v>
      </c>
      <c r="J37" s="188">
        <f t="shared" si="4"/>
        <v>7.9421688258668777</v>
      </c>
      <c r="K37" s="188">
        <f t="shared" si="5"/>
        <v>9.0585629020450948</v>
      </c>
      <c r="L37" s="80">
        <f t="shared" si="7"/>
        <v>21</v>
      </c>
      <c r="M37" s="80">
        <f t="shared" si="8"/>
        <v>24</v>
      </c>
      <c r="N37" s="56">
        <f t="shared" si="9"/>
        <v>3</v>
      </c>
      <c r="O37" s="56">
        <f t="shared" si="10"/>
        <v>45</v>
      </c>
      <c r="P37" s="29">
        <f t="shared" si="11"/>
        <v>7</v>
      </c>
      <c r="Q37" s="29"/>
      <c r="R37" s="57"/>
      <c r="S37" s="111">
        <f t="shared" si="6"/>
        <v>2.6785110503377774</v>
      </c>
      <c r="T37" s="272"/>
      <c r="U37" s="272"/>
    </row>
    <row r="38" spans="1:21">
      <c r="A38" s="68">
        <v>36503</v>
      </c>
      <c r="B38" s="188">
        <v>92</v>
      </c>
      <c r="C38" s="188">
        <v>93.3125</v>
      </c>
      <c r="D38" s="188">
        <v>91.4375</v>
      </c>
      <c r="E38" s="188">
        <v>92.75</v>
      </c>
      <c r="F38" s="188">
        <f t="shared" si="0"/>
        <v>1.875</v>
      </c>
      <c r="G38" s="277">
        <f t="shared" si="1"/>
        <v>0</v>
      </c>
      <c r="H38" s="277">
        <f t="shared" si="2"/>
        <v>0.25</v>
      </c>
      <c r="I38" s="188">
        <f t="shared" si="3"/>
        <v>36.695643654391105</v>
      </c>
      <c r="J38" s="188">
        <f t="shared" si="4"/>
        <v>7.374871052590672</v>
      </c>
      <c r="K38" s="188">
        <f t="shared" si="5"/>
        <v>8.6615226947561599</v>
      </c>
      <c r="L38" s="80">
        <f t="shared" si="7"/>
        <v>20</v>
      </c>
      <c r="M38" s="80">
        <f t="shared" si="8"/>
        <v>24</v>
      </c>
      <c r="N38" s="56">
        <f t="shared" si="9"/>
        <v>4</v>
      </c>
      <c r="O38" s="56">
        <f t="shared" si="10"/>
        <v>44</v>
      </c>
      <c r="P38" s="29">
        <f t="shared" si="11"/>
        <v>9</v>
      </c>
      <c r="Q38" s="29">
        <f>ROUND(SUM(P25:P38)/14,0)</f>
        <v>13</v>
      </c>
      <c r="R38" s="57"/>
      <c r="S38" s="111">
        <f t="shared" si="6"/>
        <v>2.6211174038850791</v>
      </c>
      <c r="T38" s="272"/>
      <c r="U38" s="272"/>
    </row>
    <row r="39" spans="1:21">
      <c r="A39" s="69">
        <v>36504</v>
      </c>
      <c r="B39" s="269">
        <v>93.375</v>
      </c>
      <c r="C39" s="269">
        <v>94.125</v>
      </c>
      <c r="D39" s="269">
        <v>92.25</v>
      </c>
      <c r="E39" s="269">
        <v>93.875</v>
      </c>
      <c r="F39" s="269">
        <f t="shared" si="0"/>
        <v>1.875</v>
      </c>
      <c r="G39" s="275">
        <f t="shared" si="1"/>
        <v>0.8125</v>
      </c>
      <c r="H39" s="275">
        <f t="shared" si="2"/>
        <v>0</v>
      </c>
      <c r="I39" s="269">
        <f t="shared" si="3"/>
        <v>35.949526250506025</v>
      </c>
      <c r="J39" s="269">
        <f t="shared" si="4"/>
        <v>7.6605945488341955</v>
      </c>
      <c r="K39" s="269">
        <f t="shared" si="5"/>
        <v>8.0428425022735777</v>
      </c>
      <c r="L39" s="78">
        <f t="shared" si="7"/>
        <v>21</v>
      </c>
      <c r="M39" s="78">
        <f t="shared" si="8"/>
        <v>22</v>
      </c>
      <c r="N39" s="53">
        <f t="shared" si="9"/>
        <v>1</v>
      </c>
      <c r="O39" s="53">
        <f t="shared" si="10"/>
        <v>43</v>
      </c>
      <c r="P39" s="28">
        <f t="shared" si="11"/>
        <v>2</v>
      </c>
      <c r="Q39" s="28">
        <f>ROUND((Q38*13 + P39)/14,0)</f>
        <v>12</v>
      </c>
      <c r="R39" s="54"/>
      <c r="S39" s="112">
        <f t="shared" si="6"/>
        <v>2.567823303607573</v>
      </c>
      <c r="T39" s="271"/>
      <c r="U39" s="271"/>
    </row>
    <row r="40" spans="1:21">
      <c r="A40" s="69">
        <v>36507</v>
      </c>
      <c r="B40" s="269">
        <v>93.609399999999994</v>
      </c>
      <c r="C40" s="269">
        <v>96.9375</v>
      </c>
      <c r="D40" s="269">
        <v>92.75</v>
      </c>
      <c r="E40" s="269">
        <v>96.625</v>
      </c>
      <c r="F40" s="269">
        <f t="shared" si="0"/>
        <v>4.1875</v>
      </c>
      <c r="G40" s="275">
        <f t="shared" si="1"/>
        <v>2.8125</v>
      </c>
      <c r="H40" s="275">
        <f t="shared" si="2"/>
        <v>0</v>
      </c>
      <c r="I40" s="269">
        <f t="shared" si="3"/>
        <v>37.56920294689845</v>
      </c>
      <c r="J40" s="269">
        <f t="shared" si="4"/>
        <v>9.9259092239174684</v>
      </c>
      <c r="K40" s="269">
        <f t="shared" si="5"/>
        <v>7.4683537521111791</v>
      </c>
      <c r="L40" s="78">
        <f t="shared" si="7"/>
        <v>26</v>
      </c>
      <c r="M40" s="78">
        <f t="shared" si="8"/>
        <v>20</v>
      </c>
      <c r="N40" s="53">
        <f t="shared" si="9"/>
        <v>6</v>
      </c>
      <c r="O40" s="53">
        <f t="shared" si="10"/>
        <v>46</v>
      </c>
      <c r="P40" s="28">
        <f t="shared" si="11"/>
        <v>13</v>
      </c>
      <c r="Q40" s="28">
        <f t="shared" ref="Q40:Q60" si="12">ROUND((Q39*13 + P40)/14,0)</f>
        <v>12</v>
      </c>
      <c r="R40" s="54"/>
      <c r="S40" s="112">
        <f t="shared" si="6"/>
        <v>2.6835144962070321</v>
      </c>
      <c r="T40" s="271"/>
      <c r="U40" s="271"/>
    </row>
    <row r="41" spans="1:21">
      <c r="A41" s="68">
        <v>36508</v>
      </c>
      <c r="B41" s="188">
        <v>96.1875</v>
      </c>
      <c r="C41" s="188">
        <v>101.125</v>
      </c>
      <c r="D41" s="188">
        <v>95.3125</v>
      </c>
      <c r="E41" s="188">
        <v>98.6875</v>
      </c>
      <c r="F41" s="188">
        <f t="shared" si="0"/>
        <v>5.8125</v>
      </c>
      <c r="G41" s="277">
        <f t="shared" si="1"/>
        <v>4.1875</v>
      </c>
      <c r="H41" s="277">
        <f t="shared" si="2"/>
        <v>0</v>
      </c>
      <c r="I41" s="188">
        <f t="shared" si="3"/>
        <v>40.698188450691418</v>
      </c>
      <c r="J41" s="188">
        <f t="shared" si="4"/>
        <v>13.404415707923363</v>
      </c>
      <c r="K41" s="188">
        <f t="shared" si="5"/>
        <v>6.9348999126746662</v>
      </c>
      <c r="L41" s="80">
        <f t="shared" si="7"/>
        <v>33</v>
      </c>
      <c r="M41" s="80">
        <f t="shared" si="8"/>
        <v>17</v>
      </c>
      <c r="N41" s="56">
        <f t="shared" si="9"/>
        <v>16</v>
      </c>
      <c r="O41" s="56">
        <f t="shared" si="10"/>
        <v>50</v>
      </c>
      <c r="P41" s="29">
        <f t="shared" si="11"/>
        <v>32</v>
      </c>
      <c r="Q41" s="29">
        <f t="shared" si="12"/>
        <v>13</v>
      </c>
      <c r="R41" s="57"/>
      <c r="S41" s="111">
        <f t="shared" si="6"/>
        <v>2.9070134607636726</v>
      </c>
      <c r="T41" s="272"/>
      <c r="U41" s="272"/>
    </row>
    <row r="42" spans="1:21">
      <c r="A42" s="68">
        <v>36509</v>
      </c>
      <c r="B42" s="188">
        <v>98.5625</v>
      </c>
      <c r="C42" s="188">
        <v>108.75</v>
      </c>
      <c r="D42" s="188">
        <v>98.5</v>
      </c>
      <c r="E42" s="188">
        <v>108.438</v>
      </c>
      <c r="F42" s="188">
        <f t="shared" si="0"/>
        <v>10.25</v>
      </c>
      <c r="G42" s="277">
        <f t="shared" si="1"/>
        <v>7.625</v>
      </c>
      <c r="H42" s="277">
        <f t="shared" si="2"/>
        <v>0</v>
      </c>
      <c r="I42" s="188">
        <f t="shared" si="3"/>
        <v>48.041174989927747</v>
      </c>
      <c r="J42" s="188">
        <f t="shared" si="4"/>
        <v>20.071957443071696</v>
      </c>
      <c r="K42" s="188">
        <f t="shared" si="5"/>
        <v>6.4395499189121903</v>
      </c>
      <c r="L42" s="80">
        <f t="shared" si="7"/>
        <v>42</v>
      </c>
      <c r="M42" s="80">
        <f t="shared" si="8"/>
        <v>13</v>
      </c>
      <c r="N42" s="56">
        <f t="shared" si="9"/>
        <v>29</v>
      </c>
      <c r="O42" s="56">
        <f t="shared" si="10"/>
        <v>55</v>
      </c>
      <c r="P42" s="29">
        <f t="shared" si="11"/>
        <v>53</v>
      </c>
      <c r="Q42" s="29">
        <f t="shared" si="12"/>
        <v>16</v>
      </c>
      <c r="R42" s="57"/>
      <c r="S42" s="111">
        <f t="shared" si="6"/>
        <v>3.4315124992805535</v>
      </c>
      <c r="T42" s="272"/>
      <c r="U42" s="272"/>
    </row>
    <row r="43" spans="1:21">
      <c r="A43" s="69">
        <v>36510</v>
      </c>
      <c r="B43" s="269">
        <v>109.25</v>
      </c>
      <c r="C43" s="269">
        <v>115</v>
      </c>
      <c r="D43" s="269">
        <v>108.938</v>
      </c>
      <c r="E43" s="269">
        <v>113.688</v>
      </c>
      <c r="F43" s="269">
        <f t="shared" si="0"/>
        <v>6.5619999999999976</v>
      </c>
      <c r="G43" s="275">
        <f t="shared" si="1"/>
        <v>6.25</v>
      </c>
      <c r="H43" s="275">
        <f t="shared" si="2"/>
        <v>0</v>
      </c>
      <c r="I43" s="269">
        <f t="shared" si="3"/>
        <v>51.171662490647194</v>
      </c>
      <c r="J43" s="269">
        <f t="shared" si="4"/>
        <v>24.888246197138002</v>
      </c>
      <c r="K43" s="269">
        <f t="shared" si="5"/>
        <v>5.9795820675613198</v>
      </c>
      <c r="L43" s="78">
        <f t="shared" si="7"/>
        <v>49</v>
      </c>
      <c r="M43" s="78">
        <f t="shared" si="8"/>
        <v>12</v>
      </c>
      <c r="N43" s="53">
        <f t="shared" si="9"/>
        <v>37</v>
      </c>
      <c r="O43" s="53">
        <f t="shared" si="10"/>
        <v>61</v>
      </c>
      <c r="P43" s="28">
        <f t="shared" si="11"/>
        <v>61</v>
      </c>
      <c r="Q43" s="28">
        <f t="shared" si="12"/>
        <v>19</v>
      </c>
      <c r="R43" s="54"/>
      <c r="S43" s="112">
        <f t="shared" si="6"/>
        <v>3.6551187493319426</v>
      </c>
      <c r="T43" s="271"/>
      <c r="U43" s="271"/>
    </row>
    <row r="44" spans="1:21">
      <c r="A44" s="69">
        <v>36511</v>
      </c>
      <c r="B44" s="269">
        <v>116.625</v>
      </c>
      <c r="C44" s="269">
        <v>117.125</v>
      </c>
      <c r="D44" s="269">
        <v>113.625</v>
      </c>
      <c r="E44" s="269">
        <v>115.25</v>
      </c>
      <c r="F44" s="269">
        <f t="shared" si="0"/>
        <v>3.5</v>
      </c>
      <c r="G44" s="275">
        <f t="shared" si="1"/>
        <v>2.125</v>
      </c>
      <c r="H44" s="275">
        <f t="shared" si="2"/>
        <v>0</v>
      </c>
      <c r="I44" s="269">
        <f t="shared" si="3"/>
        <v>51.016543741315253</v>
      </c>
      <c r="J44" s="269">
        <f t="shared" si="4"/>
        <v>25.235514325913858</v>
      </c>
      <c r="K44" s="269">
        <f t="shared" si="5"/>
        <v>5.5524690627355113</v>
      </c>
      <c r="L44" s="78">
        <f t="shared" si="7"/>
        <v>49</v>
      </c>
      <c r="M44" s="78">
        <f t="shared" si="8"/>
        <v>11</v>
      </c>
      <c r="N44" s="53">
        <f t="shared" si="9"/>
        <v>38</v>
      </c>
      <c r="O44" s="53">
        <f t="shared" si="10"/>
        <v>60</v>
      </c>
      <c r="P44" s="28">
        <f t="shared" si="11"/>
        <v>63</v>
      </c>
      <c r="Q44" s="28">
        <f t="shared" si="12"/>
        <v>22</v>
      </c>
      <c r="R44" s="54"/>
      <c r="S44" s="112">
        <f t="shared" si="6"/>
        <v>3.644038838665375</v>
      </c>
      <c r="T44" s="271"/>
      <c r="U44" s="271"/>
    </row>
    <row r="45" spans="1:21">
      <c r="A45" s="68">
        <v>36514</v>
      </c>
      <c r="B45" s="188">
        <v>114.812</v>
      </c>
      <c r="C45" s="188">
        <v>115</v>
      </c>
      <c r="D45" s="188">
        <v>111.188</v>
      </c>
      <c r="E45" s="188">
        <v>112.75</v>
      </c>
      <c r="F45" s="188">
        <f t="shared" si="0"/>
        <v>4.0619999999999976</v>
      </c>
      <c r="G45" s="277">
        <f t="shared" si="1"/>
        <v>0</v>
      </c>
      <c r="H45" s="277">
        <f t="shared" si="2"/>
        <v>2.4369999999999976</v>
      </c>
      <c r="I45" s="188">
        <f t="shared" si="3"/>
        <v>51.434504902649877</v>
      </c>
      <c r="J45" s="188">
        <f t="shared" si="4"/>
        <v>23.432977588348582</v>
      </c>
      <c r="K45" s="188">
        <f t="shared" si="5"/>
        <v>7.5928641296829724</v>
      </c>
      <c r="L45" s="80">
        <f t="shared" si="7"/>
        <v>46</v>
      </c>
      <c r="M45" s="80">
        <f t="shared" si="8"/>
        <v>15</v>
      </c>
      <c r="N45" s="56">
        <f t="shared" si="9"/>
        <v>31</v>
      </c>
      <c r="O45" s="56">
        <f t="shared" si="10"/>
        <v>61</v>
      </c>
      <c r="P45" s="29">
        <f t="shared" si="11"/>
        <v>51</v>
      </c>
      <c r="Q45" s="29">
        <f t="shared" si="12"/>
        <v>24</v>
      </c>
      <c r="R45" s="57"/>
      <c r="S45" s="111">
        <f t="shared" si="6"/>
        <v>3.6738932073321342</v>
      </c>
      <c r="T45" s="272"/>
      <c r="U45" s="272"/>
    </row>
    <row r="46" spans="1:21">
      <c r="A46" s="68">
        <v>36515</v>
      </c>
      <c r="B46" s="188">
        <v>112.375</v>
      </c>
      <c r="C46" s="188">
        <v>116.625</v>
      </c>
      <c r="D46" s="188">
        <v>110.625</v>
      </c>
      <c r="E46" s="188">
        <v>115.875</v>
      </c>
      <c r="F46" s="188">
        <f t="shared" si="0"/>
        <v>6</v>
      </c>
      <c r="G46" s="277">
        <f t="shared" si="1"/>
        <v>1.625</v>
      </c>
      <c r="H46" s="277">
        <f t="shared" si="2"/>
        <v>0</v>
      </c>
      <c r="I46" s="188">
        <f t="shared" si="3"/>
        <v>53.760611695317742</v>
      </c>
      <c r="J46" s="188">
        <f t="shared" si="4"/>
        <v>23.384193474895113</v>
      </c>
      <c r="K46" s="188">
        <f t="shared" si="5"/>
        <v>7.0505166918484745</v>
      </c>
      <c r="L46" s="80">
        <f t="shared" si="7"/>
        <v>43</v>
      </c>
      <c r="M46" s="80">
        <f t="shared" si="8"/>
        <v>13</v>
      </c>
      <c r="N46" s="56">
        <f t="shared" si="9"/>
        <v>30</v>
      </c>
      <c r="O46" s="56">
        <f t="shared" si="10"/>
        <v>56</v>
      </c>
      <c r="P46" s="29">
        <f t="shared" si="11"/>
        <v>54</v>
      </c>
      <c r="Q46" s="29">
        <f t="shared" si="12"/>
        <v>26</v>
      </c>
      <c r="R46" s="57"/>
      <c r="S46" s="111">
        <f t="shared" si="6"/>
        <v>3.8400436925226957</v>
      </c>
      <c r="T46" s="272"/>
      <c r="U46" s="272"/>
    </row>
    <row r="47" spans="1:21">
      <c r="A47" s="69">
        <v>36516</v>
      </c>
      <c r="B47" s="269">
        <v>116.297</v>
      </c>
      <c r="C47" s="269">
        <v>118</v>
      </c>
      <c r="D47" s="269">
        <v>115.125</v>
      </c>
      <c r="E47" s="269">
        <v>117.562</v>
      </c>
      <c r="F47" s="269">
        <f t="shared" si="0"/>
        <v>2.875</v>
      </c>
      <c r="G47" s="275">
        <f t="shared" si="1"/>
        <v>1.375</v>
      </c>
      <c r="H47" s="275">
        <f t="shared" si="2"/>
        <v>0</v>
      </c>
      <c r="I47" s="269">
        <f t="shared" si="3"/>
        <v>52.795568002795044</v>
      </c>
      <c r="J47" s="269">
        <f t="shared" si="4"/>
        <v>23.088893940974035</v>
      </c>
      <c r="K47" s="269">
        <f t="shared" si="5"/>
        <v>6.5469083567164406</v>
      </c>
      <c r="L47" s="78">
        <f t="shared" si="7"/>
        <v>44</v>
      </c>
      <c r="M47" s="78">
        <f t="shared" si="8"/>
        <v>12</v>
      </c>
      <c r="N47" s="53">
        <f t="shared" si="9"/>
        <v>32</v>
      </c>
      <c r="O47" s="53">
        <f t="shared" si="10"/>
        <v>56</v>
      </c>
      <c r="P47" s="28">
        <f t="shared" si="11"/>
        <v>57</v>
      </c>
      <c r="Q47" s="28">
        <f t="shared" si="12"/>
        <v>28</v>
      </c>
      <c r="R47" s="54"/>
      <c r="S47" s="112">
        <f t="shared" si="6"/>
        <v>3.7711120001996461</v>
      </c>
      <c r="T47" s="271"/>
      <c r="U47" s="271"/>
    </row>
    <row r="48" spans="1:21">
      <c r="A48" s="69">
        <v>36517</v>
      </c>
      <c r="B48" s="269">
        <v>117.25</v>
      </c>
      <c r="C48" s="269">
        <v>119.25</v>
      </c>
      <c r="D48" s="269">
        <v>116.75</v>
      </c>
      <c r="E48" s="269">
        <v>117.438</v>
      </c>
      <c r="F48" s="269">
        <f t="shared" si="0"/>
        <v>2.5</v>
      </c>
      <c r="G48" s="275">
        <f t="shared" si="1"/>
        <v>1.25</v>
      </c>
      <c r="H48" s="275">
        <f t="shared" si="2"/>
        <v>0</v>
      </c>
      <c r="I48" s="269">
        <f t="shared" si="3"/>
        <v>51.5244560025954</v>
      </c>
      <c r="J48" s="269">
        <f t="shared" si="4"/>
        <v>22.689687230904461</v>
      </c>
      <c r="K48" s="269">
        <f t="shared" si="5"/>
        <v>6.0792720455224094</v>
      </c>
      <c r="L48" s="78">
        <f t="shared" si="7"/>
        <v>44</v>
      </c>
      <c r="M48" s="78">
        <f t="shared" si="8"/>
        <v>12</v>
      </c>
      <c r="N48" s="53">
        <f t="shared" si="9"/>
        <v>32</v>
      </c>
      <c r="O48" s="53">
        <f t="shared" si="10"/>
        <v>56</v>
      </c>
      <c r="P48" s="28">
        <f t="shared" si="11"/>
        <v>57</v>
      </c>
      <c r="Q48" s="28">
        <f t="shared" si="12"/>
        <v>30</v>
      </c>
      <c r="R48" s="54"/>
      <c r="S48" s="112">
        <f t="shared" si="6"/>
        <v>3.6803182858996712</v>
      </c>
      <c r="T48" s="271"/>
      <c r="U48" s="271"/>
    </row>
    <row r="49" spans="1:21">
      <c r="A49" s="68">
        <v>36521</v>
      </c>
      <c r="B49" s="188">
        <v>118.438</v>
      </c>
      <c r="C49" s="188">
        <v>119.25</v>
      </c>
      <c r="D49" s="188">
        <v>116.125</v>
      </c>
      <c r="E49" s="188">
        <v>119.125</v>
      </c>
      <c r="F49" s="188">
        <f t="shared" si="0"/>
        <v>3.125</v>
      </c>
      <c r="G49" s="277">
        <f t="shared" si="1"/>
        <v>0</v>
      </c>
      <c r="H49" s="277">
        <f t="shared" si="2"/>
        <v>0.625</v>
      </c>
      <c r="I49" s="188">
        <f t="shared" si="3"/>
        <v>50.969137716695727</v>
      </c>
      <c r="J49" s="188">
        <f t="shared" si="4"/>
        <v>21.068995285839858</v>
      </c>
      <c r="K49" s="188">
        <f t="shared" si="5"/>
        <v>6.2700383279850946</v>
      </c>
      <c r="L49" s="80">
        <f t="shared" si="7"/>
        <v>41</v>
      </c>
      <c r="M49" s="80">
        <f t="shared" si="8"/>
        <v>12</v>
      </c>
      <c r="N49" s="56">
        <f t="shared" si="9"/>
        <v>29</v>
      </c>
      <c r="O49" s="56">
        <f t="shared" si="10"/>
        <v>53</v>
      </c>
      <c r="P49" s="29">
        <f t="shared" si="11"/>
        <v>55</v>
      </c>
      <c r="Q49" s="29">
        <f t="shared" si="12"/>
        <v>32</v>
      </c>
      <c r="R49" s="57"/>
      <c r="S49" s="111">
        <f t="shared" si="6"/>
        <v>3.6406526940496948</v>
      </c>
      <c r="T49" s="272"/>
      <c r="U49" s="272"/>
    </row>
    <row r="50" spans="1:21">
      <c r="A50" s="68">
        <v>36522</v>
      </c>
      <c r="B50" s="188">
        <v>118.75</v>
      </c>
      <c r="C50" s="188">
        <v>118.812</v>
      </c>
      <c r="D50" s="188">
        <v>117.062</v>
      </c>
      <c r="E50" s="188">
        <v>117.5</v>
      </c>
      <c r="F50" s="188">
        <f t="shared" si="0"/>
        <v>2.0630000000000024</v>
      </c>
      <c r="G50" s="277">
        <f t="shared" si="1"/>
        <v>0</v>
      </c>
      <c r="H50" s="277">
        <f t="shared" si="2"/>
        <v>0</v>
      </c>
      <c r="I50" s="188">
        <f t="shared" si="3"/>
        <v>49.391485022646037</v>
      </c>
      <c r="J50" s="188">
        <f t="shared" si="4"/>
        <v>19.564067051137009</v>
      </c>
      <c r="K50" s="188">
        <f t="shared" si="5"/>
        <v>5.8221784474147311</v>
      </c>
      <c r="L50" s="80">
        <f t="shared" si="7"/>
        <v>40</v>
      </c>
      <c r="M50" s="80">
        <f t="shared" si="8"/>
        <v>12</v>
      </c>
      <c r="N50" s="56">
        <f t="shared" si="9"/>
        <v>28</v>
      </c>
      <c r="O50" s="56">
        <f t="shared" si="10"/>
        <v>52</v>
      </c>
      <c r="P50" s="29">
        <f t="shared" si="11"/>
        <v>54</v>
      </c>
      <c r="Q50" s="29">
        <f t="shared" si="12"/>
        <v>34</v>
      </c>
      <c r="R50" s="57"/>
      <c r="S50" s="111">
        <f t="shared" si="6"/>
        <v>3.5279632159032883</v>
      </c>
      <c r="T50" s="272"/>
      <c r="U50" s="272"/>
    </row>
    <row r="51" spans="1:21">
      <c r="A51" s="69">
        <v>36523</v>
      </c>
      <c r="B51" s="269">
        <v>116.938</v>
      </c>
      <c r="C51" s="269">
        <v>118.375</v>
      </c>
      <c r="D51" s="269">
        <v>116.812</v>
      </c>
      <c r="E51" s="269">
        <v>117.938</v>
      </c>
      <c r="F51" s="269">
        <f t="shared" si="0"/>
        <v>1.5630000000000024</v>
      </c>
      <c r="G51" s="275">
        <f t="shared" si="1"/>
        <v>0</v>
      </c>
      <c r="H51" s="275">
        <f t="shared" si="2"/>
        <v>0.25</v>
      </c>
      <c r="I51" s="269">
        <f t="shared" si="3"/>
        <v>47.426521806742748</v>
      </c>
      <c r="J51" s="269">
        <f t="shared" si="4"/>
        <v>18.166633690341509</v>
      </c>
      <c r="K51" s="269">
        <f t="shared" si="5"/>
        <v>5.656308558313679</v>
      </c>
      <c r="L51" s="78">
        <f t="shared" si="7"/>
        <v>38</v>
      </c>
      <c r="M51" s="78">
        <f t="shared" si="8"/>
        <v>12</v>
      </c>
      <c r="N51" s="53">
        <f t="shared" si="9"/>
        <v>26</v>
      </c>
      <c r="O51" s="53">
        <f t="shared" si="10"/>
        <v>50</v>
      </c>
      <c r="P51" s="28">
        <f t="shared" si="11"/>
        <v>52</v>
      </c>
      <c r="Q51" s="28">
        <f t="shared" si="12"/>
        <v>35</v>
      </c>
      <c r="R51" s="54">
        <f>ROUND((Q51+Q38)/2,0)</f>
        <v>24</v>
      </c>
      <c r="S51" s="112">
        <f t="shared" si="6"/>
        <v>3.3876087004816249</v>
      </c>
      <c r="T51" s="271">
        <f>(D$7/SQRT(D$8)*1/(150+D$9))*100</f>
        <v>1.1428571428571428</v>
      </c>
      <c r="U51" s="271">
        <f>R51*S51*T51</f>
        <v>92.91726721321028</v>
      </c>
    </row>
    <row r="52" spans="1:21">
      <c r="A52" s="69">
        <v>36524</v>
      </c>
      <c r="B52" s="269">
        <v>117.875</v>
      </c>
      <c r="C52" s="269">
        <v>119.938</v>
      </c>
      <c r="D52" s="269">
        <v>117.125</v>
      </c>
      <c r="E52" s="269">
        <v>117.625</v>
      </c>
      <c r="F52" s="269">
        <f t="shared" si="0"/>
        <v>2.8130000000000024</v>
      </c>
      <c r="G52" s="275">
        <f t="shared" si="1"/>
        <v>1.5630000000000024</v>
      </c>
      <c r="H52" s="275">
        <f t="shared" si="2"/>
        <v>0</v>
      </c>
      <c r="I52" s="269">
        <f t="shared" si="3"/>
        <v>46.851913106261122</v>
      </c>
      <c r="J52" s="269">
        <f t="shared" si="4"/>
        <v>18.432016998174262</v>
      </c>
      <c r="K52" s="269">
        <f t="shared" si="5"/>
        <v>5.2522865184341301</v>
      </c>
      <c r="L52" s="78">
        <f t="shared" si="7"/>
        <v>39</v>
      </c>
      <c r="M52" s="78">
        <f t="shared" si="8"/>
        <v>11</v>
      </c>
      <c r="N52" s="53">
        <f t="shared" si="9"/>
        <v>28</v>
      </c>
      <c r="O52" s="53">
        <f t="shared" si="10"/>
        <v>50</v>
      </c>
      <c r="P52" s="28">
        <f t="shared" si="11"/>
        <v>56</v>
      </c>
      <c r="Q52" s="28">
        <f t="shared" si="12"/>
        <v>37</v>
      </c>
      <c r="R52" s="54">
        <f t="shared" ref="R52:R60" si="13">ROUND((Q52+Q39)/2,0)</f>
        <v>25</v>
      </c>
      <c r="S52" s="112">
        <f t="shared" si="6"/>
        <v>3.3465652218757946</v>
      </c>
      <c r="T52" s="271">
        <f t="shared" ref="T52:T60" si="14">(D$7/SQRT(D$8)*1/(150+D$9))*100</f>
        <v>1.1428571428571428</v>
      </c>
      <c r="U52" s="271">
        <f t="shared" ref="U52:U60" si="15">R52*S52*T52</f>
        <v>95.616149196451275</v>
      </c>
    </row>
    <row r="53" spans="1:21">
      <c r="A53" s="68">
        <v>36525</v>
      </c>
      <c r="B53" s="188">
        <v>117.5</v>
      </c>
      <c r="C53" s="188">
        <v>117.75</v>
      </c>
      <c r="D53" s="188">
        <v>116.25</v>
      </c>
      <c r="E53" s="188">
        <v>116.75</v>
      </c>
      <c r="F53" s="188">
        <f t="shared" si="0"/>
        <v>1.5</v>
      </c>
      <c r="G53" s="277">
        <f t="shared" si="1"/>
        <v>0</v>
      </c>
      <c r="H53" s="277">
        <f t="shared" si="2"/>
        <v>0.875</v>
      </c>
      <c r="I53" s="270">
        <f t="shared" si="3"/>
        <v>45.00534788438533</v>
      </c>
      <c r="J53" s="270">
        <f t="shared" si="4"/>
        <v>17.115444355447529</v>
      </c>
      <c r="K53" s="270">
        <f t="shared" si="5"/>
        <v>5.752123195688835</v>
      </c>
      <c r="L53" s="80">
        <f t="shared" si="7"/>
        <v>38</v>
      </c>
      <c r="M53" s="80">
        <f t="shared" si="8"/>
        <v>13</v>
      </c>
      <c r="N53" s="56">
        <f t="shared" si="9"/>
        <v>25</v>
      </c>
      <c r="O53" s="56">
        <f t="shared" si="10"/>
        <v>51</v>
      </c>
      <c r="P53" s="29">
        <f t="shared" si="11"/>
        <v>49</v>
      </c>
      <c r="Q53" s="29">
        <f t="shared" si="12"/>
        <v>38</v>
      </c>
      <c r="R53" s="57">
        <f t="shared" si="13"/>
        <v>25</v>
      </c>
      <c r="S53" s="111">
        <f t="shared" si="6"/>
        <v>3.2146677060275235</v>
      </c>
      <c r="T53" s="272">
        <f t="shared" si="14"/>
        <v>1.1428571428571428</v>
      </c>
      <c r="U53" s="272">
        <f t="shared" si="15"/>
        <v>91.847648743643532</v>
      </c>
    </row>
    <row r="54" spans="1:21">
      <c r="A54" s="68">
        <v>36528</v>
      </c>
      <c r="B54" s="188">
        <v>117.375</v>
      </c>
      <c r="C54" s="188">
        <v>118.625</v>
      </c>
      <c r="D54" s="188">
        <v>112</v>
      </c>
      <c r="E54" s="188">
        <v>116.562</v>
      </c>
      <c r="F54" s="188">
        <f t="shared" si="0"/>
        <v>6.625</v>
      </c>
      <c r="G54" s="277">
        <f t="shared" si="1"/>
        <v>0</v>
      </c>
      <c r="H54" s="277">
        <f t="shared" si="2"/>
        <v>4.25</v>
      </c>
      <c r="I54" s="188">
        <f t="shared" si="3"/>
        <v>48.415680178357803</v>
      </c>
      <c r="J54" s="188">
        <f t="shared" si="4"/>
        <v>15.892912615772707</v>
      </c>
      <c r="K54" s="188">
        <f t="shared" si="5"/>
        <v>9.5912572531396325</v>
      </c>
      <c r="L54" s="80">
        <f t="shared" si="7"/>
        <v>33</v>
      </c>
      <c r="M54" s="80">
        <f t="shared" si="8"/>
        <v>20</v>
      </c>
      <c r="N54" s="56">
        <f t="shared" si="9"/>
        <v>13</v>
      </c>
      <c r="O54" s="56">
        <f t="shared" si="10"/>
        <v>53</v>
      </c>
      <c r="P54" s="29">
        <f t="shared" si="11"/>
        <v>25</v>
      </c>
      <c r="Q54" s="29">
        <f t="shared" si="12"/>
        <v>37</v>
      </c>
      <c r="R54" s="57">
        <f t="shared" si="13"/>
        <v>25</v>
      </c>
      <c r="S54" s="111">
        <f t="shared" si="6"/>
        <v>3.4582628698827</v>
      </c>
      <c r="T54" s="272">
        <f t="shared" si="14"/>
        <v>1.1428571428571428</v>
      </c>
      <c r="U54" s="272">
        <f t="shared" si="15"/>
        <v>98.807510568077134</v>
      </c>
    </row>
    <row r="55" spans="1:21">
      <c r="A55" s="69">
        <v>36529</v>
      </c>
      <c r="B55" s="269">
        <v>113.562</v>
      </c>
      <c r="C55" s="269">
        <v>117.125</v>
      </c>
      <c r="D55" s="269">
        <v>112.25</v>
      </c>
      <c r="E55" s="269">
        <v>112.625</v>
      </c>
      <c r="F55" s="269">
        <f t="shared" si="0"/>
        <v>4.875</v>
      </c>
      <c r="G55" s="275">
        <f t="shared" si="1"/>
        <v>0</v>
      </c>
      <c r="H55" s="275">
        <f t="shared" si="2"/>
        <v>0</v>
      </c>
      <c r="I55" s="269">
        <f t="shared" si="3"/>
        <v>49.832417308475101</v>
      </c>
      <c r="J55" s="269">
        <f t="shared" si="4"/>
        <v>14.757704571788942</v>
      </c>
      <c r="K55" s="269">
        <f t="shared" si="5"/>
        <v>8.9061674493439451</v>
      </c>
      <c r="L55" s="78">
        <f t="shared" si="7"/>
        <v>30</v>
      </c>
      <c r="M55" s="78">
        <f t="shared" si="8"/>
        <v>18</v>
      </c>
      <c r="N55" s="53">
        <f t="shared" si="9"/>
        <v>12</v>
      </c>
      <c r="O55" s="53">
        <f t="shared" si="10"/>
        <v>48</v>
      </c>
      <c r="P55" s="28">
        <f t="shared" si="11"/>
        <v>25</v>
      </c>
      <c r="Q55" s="28">
        <f t="shared" si="12"/>
        <v>36</v>
      </c>
      <c r="R55" s="54">
        <f t="shared" si="13"/>
        <v>26</v>
      </c>
      <c r="S55" s="112">
        <f t="shared" si="6"/>
        <v>3.5594583791767929</v>
      </c>
      <c r="T55" s="271">
        <f t="shared" si="14"/>
        <v>1.1428571428571428</v>
      </c>
      <c r="U55" s="271">
        <f t="shared" si="15"/>
        <v>105.76676326696754</v>
      </c>
    </row>
    <row r="56" spans="1:21">
      <c r="A56" s="69">
        <v>36530</v>
      </c>
      <c r="B56" s="269">
        <v>111.125</v>
      </c>
      <c r="C56" s="269">
        <v>116.375</v>
      </c>
      <c r="D56" s="269">
        <v>109.375</v>
      </c>
      <c r="E56" s="269">
        <v>113.812</v>
      </c>
      <c r="F56" s="269">
        <f t="shared" si="0"/>
        <v>7</v>
      </c>
      <c r="G56" s="275">
        <f t="shared" si="1"/>
        <v>0</v>
      </c>
      <c r="H56" s="275">
        <f t="shared" si="2"/>
        <v>2.875</v>
      </c>
      <c r="I56" s="269">
        <f t="shared" si="3"/>
        <v>53.272958929298305</v>
      </c>
      <c r="J56" s="269">
        <f t="shared" si="4"/>
        <v>13.703582816661161</v>
      </c>
      <c r="K56" s="269">
        <f t="shared" si="5"/>
        <v>11.145012631533664</v>
      </c>
      <c r="L56" s="78">
        <f t="shared" si="7"/>
        <v>26</v>
      </c>
      <c r="M56" s="78">
        <f t="shared" si="8"/>
        <v>21</v>
      </c>
      <c r="N56" s="53">
        <f t="shared" si="9"/>
        <v>5</v>
      </c>
      <c r="O56" s="53">
        <f t="shared" si="10"/>
        <v>47</v>
      </c>
      <c r="P56" s="28">
        <f t="shared" si="11"/>
        <v>11</v>
      </c>
      <c r="Q56" s="28">
        <f t="shared" si="12"/>
        <v>34</v>
      </c>
      <c r="R56" s="54">
        <f t="shared" si="13"/>
        <v>27</v>
      </c>
      <c r="S56" s="112">
        <f t="shared" si="6"/>
        <v>3.8052113520927362</v>
      </c>
      <c r="T56" s="271">
        <f t="shared" si="14"/>
        <v>1.1428571428571428</v>
      </c>
      <c r="U56" s="271">
        <f t="shared" si="15"/>
        <v>117.41795029314729</v>
      </c>
    </row>
    <row r="57" spans="1:21">
      <c r="A57" s="68">
        <v>36531</v>
      </c>
      <c r="B57" s="188">
        <v>112.188</v>
      </c>
      <c r="C57" s="188">
        <v>113.875</v>
      </c>
      <c r="D57" s="188">
        <v>108.375</v>
      </c>
      <c r="E57" s="188">
        <v>110</v>
      </c>
      <c r="F57" s="188">
        <f t="shared" si="0"/>
        <v>5.5</v>
      </c>
      <c r="G57" s="277">
        <f t="shared" si="1"/>
        <v>0</v>
      </c>
      <c r="H57" s="277">
        <f t="shared" si="2"/>
        <v>1</v>
      </c>
      <c r="I57" s="188">
        <f t="shared" si="3"/>
        <v>54.967747577205571</v>
      </c>
      <c r="J57" s="188">
        <f t="shared" si="4"/>
        <v>12.724755472613936</v>
      </c>
      <c r="K57" s="188">
        <f t="shared" si="5"/>
        <v>11.348940300709831</v>
      </c>
      <c r="L57" s="80">
        <f t="shared" si="7"/>
        <v>23</v>
      </c>
      <c r="M57" s="80">
        <f t="shared" si="8"/>
        <v>21</v>
      </c>
      <c r="N57" s="56">
        <f t="shared" si="9"/>
        <v>2</v>
      </c>
      <c r="O57" s="56">
        <f t="shared" si="10"/>
        <v>44</v>
      </c>
      <c r="P57" s="29">
        <f t="shared" si="11"/>
        <v>5</v>
      </c>
      <c r="Q57" s="29">
        <f t="shared" si="12"/>
        <v>32</v>
      </c>
      <c r="R57" s="57">
        <f t="shared" si="13"/>
        <v>27</v>
      </c>
      <c r="S57" s="111">
        <f t="shared" si="6"/>
        <v>3.9262676840861124</v>
      </c>
      <c r="T57" s="272">
        <f t="shared" si="14"/>
        <v>1.1428571428571428</v>
      </c>
      <c r="U57" s="272">
        <f t="shared" si="15"/>
        <v>121.1534028232286</v>
      </c>
    </row>
    <row r="58" spans="1:21">
      <c r="A58" s="68">
        <v>36532</v>
      </c>
      <c r="B58" s="188">
        <v>108.625</v>
      </c>
      <c r="C58" s="188">
        <v>112.25</v>
      </c>
      <c r="D58" s="188">
        <v>107.312</v>
      </c>
      <c r="E58" s="188">
        <v>111.438</v>
      </c>
      <c r="F58" s="188">
        <f t="shared" si="0"/>
        <v>4.9380000000000024</v>
      </c>
      <c r="G58" s="277">
        <f t="shared" si="1"/>
        <v>0</v>
      </c>
      <c r="H58" s="277">
        <f t="shared" si="2"/>
        <v>1.0630000000000024</v>
      </c>
      <c r="I58" s="188">
        <f t="shared" si="3"/>
        <v>55.979479893119461</v>
      </c>
      <c r="J58" s="188">
        <f t="shared" si="4"/>
        <v>11.815844367427227</v>
      </c>
      <c r="K58" s="188">
        <f t="shared" si="5"/>
        <v>11.601301707801989</v>
      </c>
      <c r="L58" s="80">
        <f t="shared" si="7"/>
        <v>21</v>
      </c>
      <c r="M58" s="80">
        <f t="shared" si="8"/>
        <v>21</v>
      </c>
      <c r="N58" s="56">
        <f t="shared" si="9"/>
        <v>0</v>
      </c>
      <c r="O58" s="56">
        <f t="shared" si="10"/>
        <v>42</v>
      </c>
      <c r="P58" s="29">
        <f t="shared" si="11"/>
        <v>0</v>
      </c>
      <c r="Q58" s="29">
        <f t="shared" si="12"/>
        <v>30</v>
      </c>
      <c r="R58" s="57">
        <f t="shared" si="13"/>
        <v>27</v>
      </c>
      <c r="S58" s="111">
        <f t="shared" si="6"/>
        <v>3.9985342780799615</v>
      </c>
      <c r="T58" s="272">
        <f t="shared" si="14"/>
        <v>1.1428571428571428</v>
      </c>
      <c r="U58" s="272">
        <f t="shared" si="15"/>
        <v>123.38334343789595</v>
      </c>
    </row>
    <row r="59" spans="1:21">
      <c r="A59" s="69">
        <v>36535</v>
      </c>
      <c r="B59" s="269">
        <v>113.438</v>
      </c>
      <c r="C59" s="269">
        <v>113.688</v>
      </c>
      <c r="D59" s="269">
        <v>111.375</v>
      </c>
      <c r="E59" s="269">
        <v>112.25</v>
      </c>
      <c r="F59" s="269">
        <f t="shared" si="0"/>
        <v>2.3130000000000024</v>
      </c>
      <c r="G59" s="275">
        <f t="shared" si="1"/>
        <v>1.4380000000000024</v>
      </c>
      <c r="H59" s="275">
        <f t="shared" si="2"/>
        <v>0</v>
      </c>
      <c r="I59" s="269">
        <f t="shared" si="3"/>
        <v>54.293945615039505</v>
      </c>
      <c r="J59" s="269">
        <f t="shared" si="4"/>
        <v>12.40985548403957</v>
      </c>
      <c r="K59" s="269">
        <f t="shared" si="5"/>
        <v>10.772637300101847</v>
      </c>
      <c r="L59" s="78">
        <f t="shared" si="7"/>
        <v>23</v>
      </c>
      <c r="M59" s="78">
        <f t="shared" si="8"/>
        <v>20</v>
      </c>
      <c r="N59" s="53">
        <f t="shared" si="9"/>
        <v>3</v>
      </c>
      <c r="O59" s="53">
        <f t="shared" si="10"/>
        <v>43</v>
      </c>
      <c r="P59" s="28">
        <f t="shared" si="11"/>
        <v>7</v>
      </c>
      <c r="Q59" s="28">
        <f t="shared" si="12"/>
        <v>28</v>
      </c>
      <c r="R59" s="54">
        <f t="shared" si="13"/>
        <v>27</v>
      </c>
      <c r="S59" s="112">
        <f t="shared" si="6"/>
        <v>3.8781389725028217</v>
      </c>
      <c r="T59" s="271">
        <f t="shared" si="14"/>
        <v>1.1428571428571428</v>
      </c>
      <c r="U59" s="271">
        <f t="shared" si="15"/>
        <v>119.66828829437277</v>
      </c>
    </row>
    <row r="60" spans="1:21">
      <c r="A60" s="69">
        <v>36536</v>
      </c>
      <c r="B60" s="269">
        <v>111.5</v>
      </c>
      <c r="C60" s="269">
        <v>114.25</v>
      </c>
      <c r="D60" s="269">
        <v>108.688</v>
      </c>
      <c r="E60" s="269">
        <v>109.375</v>
      </c>
      <c r="F60" s="269">
        <f t="shared" si="0"/>
        <v>5.5619999999999976</v>
      </c>
      <c r="G60" s="275">
        <f t="shared" si="1"/>
        <v>0</v>
      </c>
      <c r="H60" s="275">
        <f t="shared" si="2"/>
        <v>2.6869999999999976</v>
      </c>
      <c r="I60" s="269">
        <f t="shared" si="3"/>
        <v>55.977806642536677</v>
      </c>
      <c r="J60" s="269">
        <f t="shared" si="4"/>
        <v>11.5234372351796</v>
      </c>
      <c r="K60" s="269">
        <f t="shared" si="5"/>
        <v>12.690163207237427</v>
      </c>
      <c r="L60" s="78">
        <f t="shared" si="7"/>
        <v>21</v>
      </c>
      <c r="M60" s="78">
        <f t="shared" si="8"/>
        <v>23</v>
      </c>
      <c r="N60" s="53">
        <f t="shared" si="9"/>
        <v>2</v>
      </c>
      <c r="O60" s="53">
        <f t="shared" si="10"/>
        <v>44</v>
      </c>
      <c r="P60" s="28">
        <f t="shared" si="11"/>
        <v>5</v>
      </c>
      <c r="Q60" s="28">
        <f t="shared" si="12"/>
        <v>26</v>
      </c>
      <c r="R60" s="54">
        <f t="shared" si="13"/>
        <v>27</v>
      </c>
      <c r="S60" s="112">
        <f t="shared" si="6"/>
        <v>3.9984147601811912</v>
      </c>
      <c r="T60" s="271">
        <f t="shared" si="14"/>
        <v>1.1428571428571428</v>
      </c>
      <c r="U60" s="271">
        <f t="shared" si="15"/>
        <v>123.37965545701961</v>
      </c>
    </row>
    <row r="63" spans="1:21">
      <c r="A63" t="s">
        <v>215</v>
      </c>
      <c r="B63" t="s">
        <v>348</v>
      </c>
    </row>
    <row r="64" spans="1:21">
      <c r="A64" t="s">
        <v>364</v>
      </c>
      <c r="B64" t="s">
        <v>365</v>
      </c>
    </row>
    <row r="65" spans="1:2">
      <c r="A65" t="s">
        <v>483</v>
      </c>
      <c r="B65" t="s">
        <v>366</v>
      </c>
    </row>
    <row r="66" spans="1:2">
      <c r="A66" t="s">
        <v>484</v>
      </c>
      <c r="B66" t="s">
        <v>368</v>
      </c>
    </row>
    <row r="67" spans="1:2">
      <c r="A67" t="s">
        <v>485</v>
      </c>
      <c r="B67" t="s">
        <v>367</v>
      </c>
    </row>
    <row r="68" spans="1:2">
      <c r="A68" t="s">
        <v>486</v>
      </c>
      <c r="B68" t="s">
        <v>1079</v>
      </c>
    </row>
    <row r="69" spans="1:2">
      <c r="A69" t="s">
        <v>1320</v>
      </c>
      <c r="B69" t="s">
        <v>1080</v>
      </c>
    </row>
    <row r="70" spans="1:2">
      <c r="A70" t="s">
        <v>341</v>
      </c>
      <c r="B70" t="s">
        <v>369</v>
      </c>
    </row>
    <row r="71" spans="1:2">
      <c r="A71" t="s">
        <v>448</v>
      </c>
      <c r="B71" t="s">
        <v>370</v>
      </c>
    </row>
    <row r="72" spans="1:2">
      <c r="A72" t="s">
        <v>360</v>
      </c>
      <c r="B72" t="s">
        <v>371</v>
      </c>
    </row>
    <row r="73" spans="1:2">
      <c r="A73" t="s">
        <v>361</v>
      </c>
      <c r="B73" t="s">
        <v>372</v>
      </c>
    </row>
    <row r="74" spans="1:2">
      <c r="A74" t="s">
        <v>373</v>
      </c>
      <c r="B74" t="s">
        <v>374</v>
      </c>
    </row>
    <row r="75" spans="1:2">
      <c r="A75" t="s">
        <v>375</v>
      </c>
      <c r="B75" t="s">
        <v>411</v>
      </c>
    </row>
    <row r="76" spans="1:2">
      <c r="A76" t="s">
        <v>412</v>
      </c>
      <c r="B76" t="s">
        <v>413</v>
      </c>
    </row>
    <row r="77" spans="1:2">
      <c r="A77" t="s">
        <v>414</v>
      </c>
      <c r="B77" t="s">
        <v>376</v>
      </c>
    </row>
    <row r="82" spans="3:4">
      <c r="C82" t="s">
        <v>835</v>
      </c>
    </row>
    <row r="83" spans="3:4">
      <c r="D83" t="s">
        <v>1074</v>
      </c>
    </row>
    <row r="84" spans="3:4">
      <c r="D84" t="s">
        <v>1075</v>
      </c>
    </row>
    <row r="85" spans="3:4" ht="33.75" customHeight="1"/>
    <row r="86" spans="3:4">
      <c r="D86" t="s">
        <v>1076</v>
      </c>
    </row>
    <row r="87" spans="3:4">
      <c r="D87" t="s">
        <v>1077</v>
      </c>
    </row>
    <row r="88" spans="3:4">
      <c r="D88" t="s">
        <v>1078</v>
      </c>
    </row>
  </sheetData>
  <phoneticPr fontId="0" type="noConversion"/>
  <pageMargins left="0.75" right="0.75" top="1" bottom="1" header="0.5" footer="0.5"/>
  <pageSetup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7348" r:id="rId3" name="Button 4">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57349"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57350"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57351"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1" enableFormatConditionsCalculation="0"/>
  <dimension ref="A1:O50"/>
  <sheetViews>
    <sheetView workbookViewId="0"/>
  </sheetViews>
  <sheetFormatPr baseColWidth="10" defaultColWidth="8.83203125" defaultRowHeight="12" x14ac:dyDescent="0"/>
  <cols>
    <col min="1" max="1" width="11.33203125" customWidth="1"/>
    <col min="2" max="2" width="9.5" bestFit="1" customWidth="1"/>
    <col min="3" max="3" width="13.1640625" customWidth="1"/>
    <col min="4" max="4" width="12.5" customWidth="1"/>
    <col min="5" max="6" width="9.33203125" bestFit="1" customWidth="1"/>
    <col min="7" max="7" width="10.5" customWidth="1"/>
    <col min="8" max="8" width="9.5" customWidth="1"/>
    <col min="9" max="9" width="12" customWidth="1"/>
    <col min="10" max="10" width="11.6640625" customWidth="1"/>
    <col min="11" max="11" width="11.5" customWidth="1"/>
    <col min="15" max="15" width="11.5" customWidth="1"/>
  </cols>
  <sheetData>
    <row r="1" spans="1:15">
      <c r="A1" s="21"/>
      <c r="B1" s="21"/>
      <c r="C1" s="21" t="s">
        <v>846</v>
      </c>
      <c r="D1" s="21"/>
      <c r="E1" s="21"/>
      <c r="F1" s="21"/>
      <c r="G1" s="21"/>
      <c r="H1" s="21"/>
      <c r="I1" s="21"/>
      <c r="J1" s="21"/>
      <c r="K1" s="21"/>
      <c r="L1" s="21"/>
      <c r="M1" s="21"/>
      <c r="N1" s="21"/>
      <c r="O1" s="21"/>
    </row>
    <row r="2" spans="1:15" ht="21" customHeight="1">
      <c r="A2" s="21"/>
      <c r="B2" s="21"/>
      <c r="C2" s="21"/>
      <c r="D2" s="374"/>
      <c r="E2" s="374"/>
      <c r="F2" s="374"/>
      <c r="G2" s="374"/>
      <c r="H2" s="374"/>
      <c r="I2" s="374"/>
      <c r="J2" s="374"/>
      <c r="K2" s="374"/>
      <c r="L2" s="374"/>
      <c r="M2" s="374"/>
      <c r="N2" s="374"/>
      <c r="O2" s="21"/>
    </row>
    <row r="3" spans="1:15">
      <c r="A3" s="19" t="s">
        <v>1045</v>
      </c>
      <c r="B3" s="20" t="s">
        <v>449</v>
      </c>
      <c r="C3" s="21"/>
      <c r="D3" s="21"/>
      <c r="E3" s="21"/>
      <c r="F3" s="21"/>
      <c r="G3" s="21"/>
      <c r="H3" s="21"/>
      <c r="I3" s="21"/>
      <c r="J3" s="21"/>
      <c r="K3" s="21"/>
      <c r="L3" s="21"/>
      <c r="M3" s="21"/>
      <c r="N3" s="21"/>
      <c r="O3" s="21"/>
    </row>
    <row r="4" spans="1:15">
      <c r="A4" s="19" t="s">
        <v>774</v>
      </c>
      <c r="B4" s="20" t="s">
        <v>381</v>
      </c>
      <c r="C4" s="21"/>
      <c r="D4" s="21"/>
      <c r="E4" s="21"/>
      <c r="F4" s="21"/>
      <c r="G4" s="21"/>
      <c r="H4" s="21"/>
      <c r="I4" s="21"/>
      <c r="J4" s="21"/>
      <c r="K4" s="21"/>
      <c r="L4" s="21"/>
      <c r="M4" s="21"/>
      <c r="N4" s="21"/>
      <c r="O4" s="21"/>
    </row>
    <row r="5" spans="1:15" ht="29.25" customHeight="1">
      <c r="A5" s="118" t="s">
        <v>779</v>
      </c>
      <c r="B5" s="446" t="s">
        <v>1054</v>
      </c>
      <c r="C5" s="446"/>
      <c r="D5" s="446"/>
      <c r="E5" s="446"/>
      <c r="F5" s="446"/>
      <c r="G5" s="446"/>
      <c r="H5" s="446"/>
      <c r="I5" s="446"/>
      <c r="J5" s="446"/>
      <c r="K5" s="446"/>
      <c r="L5" s="446"/>
      <c r="M5" s="21"/>
      <c r="N5" s="21"/>
      <c r="O5" s="21"/>
    </row>
    <row r="6" spans="1:15">
      <c r="A6" s="21"/>
      <c r="B6" s="21"/>
      <c r="C6" s="115" t="s">
        <v>1322</v>
      </c>
      <c r="D6" s="21"/>
      <c r="E6" s="21"/>
      <c r="F6" s="21"/>
      <c r="G6" s="21"/>
      <c r="H6" s="21"/>
      <c r="I6" s="21"/>
      <c r="J6" s="21"/>
      <c r="K6" s="21"/>
      <c r="L6" s="21"/>
      <c r="M6" s="21"/>
      <c r="N6" s="21"/>
      <c r="O6" s="21"/>
    </row>
    <row r="7" spans="1:15">
      <c r="A7" s="19"/>
      <c r="B7" s="21"/>
      <c r="C7" s="115" t="s">
        <v>1321</v>
      </c>
      <c r="D7" s="21"/>
      <c r="E7" s="21"/>
      <c r="F7" s="21"/>
      <c r="G7" s="21"/>
      <c r="H7" s="21"/>
      <c r="I7" s="21"/>
      <c r="J7" s="21"/>
      <c r="K7" s="21"/>
      <c r="L7" s="21"/>
      <c r="M7" s="21"/>
      <c r="N7" s="21"/>
      <c r="O7" s="21"/>
    </row>
    <row r="8" spans="1:15" ht="30.75" customHeight="1">
      <c r="A8" s="19"/>
      <c r="B8" s="21"/>
      <c r="C8" s="21"/>
      <c r="D8" s="21"/>
      <c r="E8" s="21"/>
      <c r="F8" s="21"/>
      <c r="G8" s="21"/>
      <c r="H8" s="21"/>
      <c r="I8" s="21"/>
      <c r="J8" s="21"/>
      <c r="K8" s="21"/>
      <c r="L8" s="21"/>
      <c r="M8" s="21"/>
      <c r="N8" s="21"/>
      <c r="O8" s="21"/>
    </row>
    <row r="9" spans="1:15">
      <c r="A9" s="19"/>
      <c r="B9" s="20" t="s">
        <v>482</v>
      </c>
      <c r="C9" s="21"/>
      <c r="D9" s="21"/>
      <c r="E9" s="21"/>
      <c r="F9" s="21"/>
      <c r="G9" s="21"/>
      <c r="H9" s="21"/>
      <c r="I9" s="21"/>
      <c r="J9" s="21"/>
      <c r="K9" s="21"/>
      <c r="L9" s="21"/>
      <c r="M9" s="21"/>
      <c r="N9" s="21"/>
      <c r="O9" s="21"/>
    </row>
    <row r="10" spans="1:15" ht="53.25" customHeight="1">
      <c r="A10" s="22" t="s">
        <v>1090</v>
      </c>
      <c r="B10" s="22" t="s">
        <v>1098</v>
      </c>
      <c r="C10" s="22" t="s">
        <v>450</v>
      </c>
      <c r="D10" s="31" t="s">
        <v>451</v>
      </c>
      <c r="E10" s="31" t="s">
        <v>453</v>
      </c>
      <c r="F10" s="22" t="s">
        <v>452</v>
      </c>
      <c r="G10" s="22" t="s">
        <v>454</v>
      </c>
      <c r="H10" s="22" t="s">
        <v>416</v>
      </c>
      <c r="I10" s="22" t="s">
        <v>455</v>
      </c>
      <c r="J10" s="22" t="s">
        <v>417</v>
      </c>
      <c r="K10" s="22" t="s">
        <v>456</v>
      </c>
      <c r="L10" s="31" t="s">
        <v>222</v>
      </c>
      <c r="M10" s="31" t="s">
        <v>223</v>
      </c>
      <c r="N10" s="31" t="s">
        <v>224</v>
      </c>
      <c r="O10" s="31" t="s">
        <v>449</v>
      </c>
    </row>
    <row r="11" spans="1:15">
      <c r="A11" s="26">
        <v>36496</v>
      </c>
      <c r="B11" s="100">
        <v>245.81200000000001</v>
      </c>
      <c r="C11" s="52"/>
      <c r="D11" s="52"/>
      <c r="E11" s="52"/>
      <c r="F11" s="52"/>
      <c r="G11" s="52"/>
      <c r="H11" s="52"/>
      <c r="I11" s="52"/>
      <c r="J11" s="52"/>
      <c r="K11" s="64"/>
      <c r="L11" s="64"/>
      <c r="M11" s="64"/>
      <c r="N11" s="64"/>
      <c r="O11" s="64"/>
    </row>
    <row r="12" spans="1:15">
      <c r="A12" s="26">
        <v>36497</v>
      </c>
      <c r="B12" s="100">
        <v>253</v>
      </c>
      <c r="C12" s="52"/>
      <c r="D12" s="52"/>
      <c r="E12" s="52"/>
      <c r="F12" s="52"/>
      <c r="G12" s="52"/>
      <c r="H12" s="52">
        <f>IF(B12&gt;B11,B12-B11,0)</f>
        <v>7.1879999999999882</v>
      </c>
      <c r="I12" s="52"/>
      <c r="J12" s="52">
        <f>IF(B12&lt;B11,B11-B12,0)</f>
        <v>0</v>
      </c>
      <c r="K12" s="64"/>
      <c r="L12" s="64"/>
      <c r="M12" s="64"/>
      <c r="N12" s="64"/>
      <c r="O12" s="64"/>
    </row>
    <row r="13" spans="1:15">
      <c r="A13" s="27">
        <v>36500</v>
      </c>
      <c r="B13" s="99">
        <v>280.81200000000001</v>
      </c>
      <c r="C13" s="55"/>
      <c r="D13" s="55"/>
      <c r="E13" s="55"/>
      <c r="F13" s="55"/>
      <c r="G13" s="55"/>
      <c r="H13" s="55">
        <f>IF(B13&gt;B12,B13-B12,0)</f>
        <v>27.812000000000012</v>
      </c>
      <c r="I13" s="55"/>
      <c r="J13" s="55">
        <f>IF(B13&lt;B12,B12-B13,0)</f>
        <v>0</v>
      </c>
      <c r="K13" s="65"/>
      <c r="L13" s="65"/>
      <c r="M13" s="65"/>
      <c r="N13" s="65"/>
      <c r="O13" s="65"/>
    </row>
    <row r="14" spans="1:15">
      <c r="A14" s="27">
        <v>36501</v>
      </c>
      <c r="B14" s="99">
        <v>348</v>
      </c>
      <c r="C14" s="55"/>
      <c r="D14" s="55"/>
      <c r="E14" s="55"/>
      <c r="F14" s="55"/>
      <c r="G14" s="55"/>
      <c r="H14" s="55">
        <f>IF(B14&gt;B13,B14-B13,0)</f>
        <v>67.187999999999988</v>
      </c>
      <c r="I14" s="55"/>
      <c r="J14" s="55">
        <f>IF(B14&lt;B13,B13-B14,0)</f>
        <v>0</v>
      </c>
      <c r="K14" s="65"/>
      <c r="L14" s="65"/>
      <c r="M14" s="65"/>
      <c r="N14" s="65"/>
      <c r="O14" s="65"/>
    </row>
    <row r="15" spans="1:15">
      <c r="A15" s="26">
        <v>36502</v>
      </c>
      <c r="B15" s="100">
        <v>319.625</v>
      </c>
      <c r="C15" s="52">
        <f>STDEVP(B11:B15)</f>
        <v>39.105308368046352</v>
      </c>
      <c r="D15" s="52"/>
      <c r="E15" s="52"/>
      <c r="F15" s="52"/>
      <c r="G15" s="52"/>
      <c r="H15" s="52">
        <f t="shared" ref="H15:H28" si="0">IF(B15&gt;B14,B15-B14,0)</f>
        <v>0</v>
      </c>
      <c r="I15" s="52"/>
      <c r="J15" s="52">
        <f t="shared" ref="J15:J28" si="1">IF(B15&lt;B14,B14-B15,0)</f>
        <v>28.375</v>
      </c>
      <c r="K15" s="64"/>
      <c r="L15" s="64"/>
      <c r="M15" s="64"/>
      <c r="N15" s="64"/>
      <c r="O15" s="64"/>
    </row>
    <row r="16" spans="1:15">
      <c r="A16" s="26">
        <v>36503</v>
      </c>
      <c r="B16" s="100">
        <v>340</v>
      </c>
      <c r="C16" s="52">
        <f t="shared" ref="C16:C40" si="2">STDEVP(B12:B16)</f>
        <v>36.11901154572211</v>
      </c>
      <c r="D16" s="52"/>
      <c r="E16" s="52"/>
      <c r="F16" s="52"/>
      <c r="G16" s="52"/>
      <c r="H16" s="52">
        <f t="shared" si="0"/>
        <v>20.375</v>
      </c>
      <c r="I16" s="52"/>
      <c r="J16" s="52">
        <f t="shared" si="1"/>
        <v>0</v>
      </c>
      <c r="K16" s="64"/>
      <c r="L16" s="64"/>
      <c r="M16" s="64"/>
      <c r="N16" s="64"/>
      <c r="O16" s="64"/>
    </row>
    <row r="17" spans="1:15">
      <c r="A17" s="27">
        <v>36504</v>
      </c>
      <c r="B17" s="99">
        <v>353.5</v>
      </c>
      <c r="C17" s="55">
        <f t="shared" si="2"/>
        <v>26.421005186025752</v>
      </c>
      <c r="D17" s="55"/>
      <c r="E17" s="55"/>
      <c r="F17" s="55"/>
      <c r="G17" s="55"/>
      <c r="H17" s="55">
        <f t="shared" si="0"/>
        <v>13.5</v>
      </c>
      <c r="I17" s="55"/>
      <c r="J17" s="55">
        <f t="shared" si="1"/>
        <v>0</v>
      </c>
      <c r="K17" s="65"/>
      <c r="L17" s="65" t="s">
        <v>1109</v>
      </c>
      <c r="M17" s="65"/>
      <c r="N17" s="65"/>
      <c r="O17" s="65"/>
    </row>
    <row r="18" spans="1:15">
      <c r="A18" s="27">
        <v>36507</v>
      </c>
      <c r="B18" s="99">
        <v>351.06200000000001</v>
      </c>
      <c r="C18" s="55">
        <f t="shared" si="2"/>
        <v>12.28050385936994</v>
      </c>
      <c r="D18" s="55"/>
      <c r="E18" s="55"/>
      <c r="F18" s="55"/>
      <c r="G18" s="55"/>
      <c r="H18" s="55">
        <f t="shared" si="0"/>
        <v>0</v>
      </c>
      <c r="I18" s="55"/>
      <c r="J18" s="55">
        <f t="shared" si="1"/>
        <v>2.4379999999999882</v>
      </c>
      <c r="K18" s="65"/>
      <c r="L18" s="65" t="s">
        <v>1109</v>
      </c>
      <c r="M18" s="65"/>
      <c r="N18" s="65"/>
      <c r="O18" s="65"/>
    </row>
    <row r="19" spans="1:15">
      <c r="A19" s="26">
        <v>36508</v>
      </c>
      <c r="B19" s="100">
        <v>333.125</v>
      </c>
      <c r="C19" s="52">
        <f t="shared" si="2"/>
        <v>12.373997132697262</v>
      </c>
      <c r="D19" s="52"/>
      <c r="E19" s="52"/>
      <c r="F19" s="52"/>
      <c r="G19" s="52"/>
      <c r="H19" s="52">
        <f t="shared" si="0"/>
        <v>0</v>
      </c>
      <c r="I19" s="52"/>
      <c r="J19" s="52">
        <f t="shared" si="1"/>
        <v>17.937000000000012</v>
      </c>
      <c r="K19" s="64"/>
      <c r="L19" s="64" t="s">
        <v>1109</v>
      </c>
      <c r="M19" s="64"/>
      <c r="N19" s="64"/>
      <c r="O19" s="64"/>
    </row>
    <row r="20" spans="1:15">
      <c r="A20" s="26">
        <v>36509</v>
      </c>
      <c r="B20" s="100">
        <v>327.5</v>
      </c>
      <c r="C20" s="52">
        <f t="shared" si="2"/>
        <v>10.02748697530942</v>
      </c>
      <c r="D20" s="52"/>
      <c r="E20" s="52"/>
      <c r="F20" s="52"/>
      <c r="G20" s="52"/>
      <c r="H20" s="52">
        <f t="shared" si="0"/>
        <v>0</v>
      </c>
      <c r="I20" s="52"/>
      <c r="J20" s="52">
        <f t="shared" si="1"/>
        <v>5.625</v>
      </c>
      <c r="K20" s="64"/>
      <c r="L20" s="64" t="s">
        <v>1109</v>
      </c>
      <c r="M20" s="64"/>
      <c r="N20" s="64"/>
      <c r="O20" s="64"/>
    </row>
    <row r="21" spans="1:15">
      <c r="A21" s="27">
        <v>36510</v>
      </c>
      <c r="B21" s="99">
        <v>341</v>
      </c>
      <c r="C21" s="55">
        <f t="shared" si="2"/>
        <v>10.014765850482979</v>
      </c>
      <c r="D21" s="55"/>
      <c r="E21" s="55"/>
      <c r="F21" s="55"/>
      <c r="G21" s="55"/>
      <c r="H21" s="55">
        <f t="shared" si="0"/>
        <v>13.5</v>
      </c>
      <c r="I21" s="55"/>
      <c r="J21" s="55">
        <f t="shared" si="1"/>
        <v>0</v>
      </c>
      <c r="K21" s="65"/>
      <c r="L21" s="65" t="s">
        <v>1109</v>
      </c>
      <c r="M21" s="65"/>
      <c r="N21" s="65"/>
      <c r="O21" s="65"/>
    </row>
    <row r="22" spans="1:15">
      <c r="A22" s="27">
        <v>36511</v>
      </c>
      <c r="B22" s="99">
        <v>350</v>
      </c>
      <c r="C22" s="55">
        <f t="shared" si="2"/>
        <v>9.2243100034636765</v>
      </c>
      <c r="D22" s="55"/>
      <c r="E22" s="55"/>
      <c r="F22" s="55"/>
      <c r="G22" s="55"/>
      <c r="H22" s="55">
        <f t="shared" si="0"/>
        <v>9</v>
      </c>
      <c r="I22" s="55">
        <f>SUM(H12:H22)/11</f>
        <v>14.41481818181818</v>
      </c>
      <c r="J22" s="55">
        <f t="shared" si="1"/>
        <v>0</v>
      </c>
      <c r="K22" s="65">
        <f>SUM(J12:J22)/11</f>
        <v>4.9431818181818183</v>
      </c>
      <c r="L22" s="65" t="s">
        <v>1109</v>
      </c>
      <c r="M22" s="65"/>
      <c r="N22" s="65"/>
      <c r="O22" s="65"/>
    </row>
    <row r="23" spans="1:15">
      <c r="A23" s="26">
        <v>36514</v>
      </c>
      <c r="B23" s="100">
        <v>369.5</v>
      </c>
      <c r="C23" s="52">
        <f t="shared" si="2"/>
        <v>14.734398528613241</v>
      </c>
      <c r="D23" s="52"/>
      <c r="E23" s="52"/>
      <c r="F23" s="52"/>
      <c r="G23" s="52"/>
      <c r="H23" s="52">
        <f t="shared" si="0"/>
        <v>19.5</v>
      </c>
      <c r="I23" s="52">
        <f>I22+(1/11)*(H23-I22)</f>
        <v>14.877107438016528</v>
      </c>
      <c r="J23" s="52">
        <f t="shared" si="1"/>
        <v>0</v>
      </c>
      <c r="K23" s="64">
        <f>K22+(1/11)*(J23-K22)</f>
        <v>4.4938016528925617</v>
      </c>
      <c r="L23" s="64" t="s">
        <v>1109</v>
      </c>
      <c r="M23" s="64"/>
      <c r="N23" s="64"/>
      <c r="O23" s="64"/>
    </row>
    <row r="24" spans="1:15">
      <c r="A24" s="26">
        <v>36515</v>
      </c>
      <c r="B24" s="100">
        <v>405.56200000000001</v>
      </c>
      <c r="C24" s="52">
        <f t="shared" si="2"/>
        <v>27.111275422598624</v>
      </c>
      <c r="D24" s="52">
        <f t="shared" ref="D24:D40" si="3">SUM(C15:C24)/10</f>
        <v>19.741206287232934</v>
      </c>
      <c r="E24" s="52">
        <f t="shared" ref="E24:E40" si="4">C24/D24</f>
        <v>1.3733342850549144</v>
      </c>
      <c r="F24" s="53"/>
      <c r="G24" s="53"/>
      <c r="H24" s="52">
        <f t="shared" si="0"/>
        <v>36.062000000000012</v>
      </c>
      <c r="I24" s="52">
        <f t="shared" ref="I24:K40" si="5">I23+(1/11)*(H24-I23)</f>
        <v>16.80300676183321</v>
      </c>
      <c r="J24" s="52">
        <f t="shared" si="1"/>
        <v>0</v>
      </c>
      <c r="K24" s="64">
        <f t="shared" si="5"/>
        <v>4.0852742299023292</v>
      </c>
      <c r="L24" s="64" t="s">
        <v>1109</v>
      </c>
      <c r="M24" s="64"/>
      <c r="N24" s="64"/>
      <c r="O24" s="64"/>
    </row>
    <row r="25" spans="1:15">
      <c r="A25" s="27">
        <v>36516</v>
      </c>
      <c r="B25" s="99">
        <v>419.31200000000001</v>
      </c>
      <c r="C25" s="55">
        <f t="shared" si="2"/>
        <v>30.618018266373809</v>
      </c>
      <c r="D25" s="55">
        <f t="shared" si="3"/>
        <v>18.89247727706568</v>
      </c>
      <c r="E25" s="55">
        <f t="shared" si="4"/>
        <v>1.6206460284349382</v>
      </c>
      <c r="F25" s="56"/>
      <c r="G25" s="56"/>
      <c r="H25" s="55">
        <f t="shared" si="0"/>
        <v>13.75</v>
      </c>
      <c r="I25" s="55">
        <f t="shared" si="5"/>
        <v>16.525460692575646</v>
      </c>
      <c r="J25" s="55">
        <f t="shared" si="1"/>
        <v>0</v>
      </c>
      <c r="K25" s="65">
        <f t="shared" si="5"/>
        <v>3.7138856635475719</v>
      </c>
      <c r="L25" s="65" t="s">
        <v>1109</v>
      </c>
      <c r="M25" s="65"/>
      <c r="N25" s="65"/>
      <c r="O25" s="65"/>
    </row>
    <row r="26" spans="1:15">
      <c r="A26" s="27">
        <v>36517</v>
      </c>
      <c r="B26" s="99">
        <v>402.625</v>
      </c>
      <c r="C26" s="55">
        <f t="shared" si="2"/>
        <v>25.609406915428561</v>
      </c>
      <c r="D26" s="55">
        <f t="shared" si="3"/>
        <v>17.841516814036328</v>
      </c>
      <c r="E26" s="55">
        <f t="shared" si="4"/>
        <v>1.4353828310876044</v>
      </c>
      <c r="F26" s="56"/>
      <c r="G26" s="56"/>
      <c r="H26" s="55">
        <f t="shared" si="0"/>
        <v>0</v>
      </c>
      <c r="I26" s="55">
        <f t="shared" si="5"/>
        <v>15.023146084159677</v>
      </c>
      <c r="J26" s="55">
        <f t="shared" si="1"/>
        <v>16.687000000000012</v>
      </c>
      <c r="K26" s="65">
        <f t="shared" si="5"/>
        <v>4.8932596941341568</v>
      </c>
      <c r="L26" s="65" t="s">
        <v>1109</v>
      </c>
      <c r="M26" s="65"/>
      <c r="N26" s="65"/>
      <c r="O26" s="65"/>
    </row>
    <row r="27" spans="1:15">
      <c r="A27" s="26">
        <v>36521</v>
      </c>
      <c r="B27" s="100">
        <v>415</v>
      </c>
      <c r="C27" s="52">
        <f t="shared" si="2"/>
        <v>17.534164438603856</v>
      </c>
      <c r="D27" s="52">
        <f t="shared" si="3"/>
        <v>16.952832739294138</v>
      </c>
      <c r="E27" s="52">
        <f t="shared" si="4"/>
        <v>1.0342911245719</v>
      </c>
      <c r="F27" s="53"/>
      <c r="G27" s="53"/>
      <c r="H27" s="52">
        <f t="shared" si="0"/>
        <v>12.375</v>
      </c>
      <c r="I27" s="52">
        <f t="shared" si="5"/>
        <v>14.782405531054252</v>
      </c>
      <c r="J27" s="52">
        <f t="shared" si="1"/>
        <v>0</v>
      </c>
      <c r="K27" s="64">
        <f t="shared" si="5"/>
        <v>4.4484179037583242</v>
      </c>
      <c r="L27" s="64" t="s">
        <v>1109</v>
      </c>
      <c r="M27" s="64"/>
      <c r="N27" s="64"/>
      <c r="O27" s="64"/>
    </row>
    <row r="28" spans="1:15">
      <c r="A28" s="26">
        <v>36522</v>
      </c>
      <c r="B28" s="100">
        <v>390.25</v>
      </c>
      <c r="C28" s="52">
        <f t="shared" si="2"/>
        <v>10.162115063312363</v>
      </c>
      <c r="D28" s="52">
        <f t="shared" si="3"/>
        <v>16.74099385968838</v>
      </c>
      <c r="E28" s="52">
        <f t="shared" si="4"/>
        <v>0.60701981904325975</v>
      </c>
      <c r="F28" s="53"/>
      <c r="G28" s="53"/>
      <c r="H28" s="52">
        <f t="shared" si="0"/>
        <v>0</v>
      </c>
      <c r="I28" s="52">
        <f t="shared" si="5"/>
        <v>13.438550482776593</v>
      </c>
      <c r="J28" s="52">
        <f t="shared" si="1"/>
        <v>24.75</v>
      </c>
      <c r="K28" s="64">
        <f t="shared" si="5"/>
        <v>6.2940162761439309</v>
      </c>
      <c r="L28" s="64" t="s">
        <v>1109</v>
      </c>
      <c r="M28" s="64"/>
      <c r="N28" s="64"/>
      <c r="O28" s="64"/>
    </row>
    <row r="29" spans="1:15">
      <c r="A29" s="27">
        <v>36523</v>
      </c>
      <c r="B29" s="99">
        <v>403.68799999999999</v>
      </c>
      <c r="C29" s="55">
        <f t="shared" si="2"/>
        <v>10.225993232933419</v>
      </c>
      <c r="D29" s="55">
        <f t="shared" si="3"/>
        <v>16.526193469711995</v>
      </c>
      <c r="E29" s="55">
        <f t="shared" si="4"/>
        <v>0.61877487103578177</v>
      </c>
      <c r="F29" s="56"/>
      <c r="G29" s="56"/>
      <c r="H29" s="55">
        <f t="shared" ref="H29:H40" si="6">IF(B29&gt;B28,B29-B28,0)</f>
        <v>13.437999999999988</v>
      </c>
      <c r="I29" s="55">
        <f t="shared" si="5"/>
        <v>13.438500438887811</v>
      </c>
      <c r="J29" s="55">
        <f t="shared" ref="J29:J39" si="7">IF(B29&lt;B28,B28-B29,0)</f>
        <v>0</v>
      </c>
      <c r="K29" s="65">
        <f t="shared" si="5"/>
        <v>5.7218329783126647</v>
      </c>
      <c r="L29" s="65" t="s">
        <v>1109</v>
      </c>
      <c r="M29" s="65"/>
      <c r="N29" s="65"/>
      <c r="O29" s="65"/>
    </row>
    <row r="30" spans="1:15">
      <c r="A30" s="27">
        <v>36524</v>
      </c>
      <c r="B30" s="99">
        <v>416.06200000000001</v>
      </c>
      <c r="C30" s="55">
        <f t="shared" si="2"/>
        <v>9.4436665337145431</v>
      </c>
      <c r="D30" s="55">
        <f t="shared" si="3"/>
        <v>16.467811425552512</v>
      </c>
      <c r="E30" s="55">
        <f t="shared" si="4"/>
        <v>0.57346214926053529</v>
      </c>
      <c r="F30" s="56"/>
      <c r="G30" s="56"/>
      <c r="H30" s="55">
        <f t="shared" si="6"/>
        <v>12.374000000000024</v>
      </c>
      <c r="I30" s="55">
        <f t="shared" si="5"/>
        <v>13.341727671716194</v>
      </c>
      <c r="J30" s="55">
        <f t="shared" si="7"/>
        <v>0</v>
      </c>
      <c r="K30" s="65">
        <f t="shared" si="5"/>
        <v>5.2016663439206043</v>
      </c>
      <c r="L30" s="65" t="s">
        <v>1109</v>
      </c>
      <c r="M30" s="65"/>
      <c r="N30" s="65"/>
      <c r="O30" s="65"/>
    </row>
    <row r="31" spans="1:15">
      <c r="A31" s="26">
        <v>36525</v>
      </c>
      <c r="B31" s="100">
        <v>432.68799999999999</v>
      </c>
      <c r="C31" s="52">
        <f t="shared" si="2"/>
        <v>14.103729742163949</v>
      </c>
      <c r="D31" s="52">
        <f t="shared" si="3"/>
        <v>16.876707814720607</v>
      </c>
      <c r="E31" s="52">
        <f t="shared" si="4"/>
        <v>0.83569200207768346</v>
      </c>
      <c r="F31" s="53"/>
      <c r="G31" s="53"/>
      <c r="H31" s="52">
        <f t="shared" si="6"/>
        <v>16.625999999999976</v>
      </c>
      <c r="I31" s="52">
        <f t="shared" si="5"/>
        <v>13.640297883378356</v>
      </c>
      <c r="J31" s="52">
        <f t="shared" si="7"/>
        <v>0</v>
      </c>
      <c r="K31" s="64">
        <f t="shared" si="5"/>
        <v>4.7287875853823671</v>
      </c>
      <c r="L31" s="64" t="s">
        <v>1109</v>
      </c>
      <c r="M31" s="64"/>
      <c r="N31" s="64"/>
      <c r="O31" s="64"/>
    </row>
    <row r="32" spans="1:15">
      <c r="A32" s="26">
        <v>36528</v>
      </c>
      <c r="B32" s="100">
        <v>475</v>
      </c>
      <c r="C32" s="52">
        <f t="shared" si="2"/>
        <v>29.291855397703983</v>
      </c>
      <c r="D32" s="52">
        <f t="shared" si="3"/>
        <v>18.883462354144633</v>
      </c>
      <c r="E32" s="52">
        <f t="shared" si="4"/>
        <v>1.5511909229545962</v>
      </c>
      <c r="F32" s="53"/>
      <c r="G32" s="53"/>
      <c r="H32" s="52">
        <f t="shared" si="6"/>
        <v>42.312000000000012</v>
      </c>
      <c r="I32" s="52">
        <f t="shared" si="5"/>
        <v>16.24681625761669</v>
      </c>
      <c r="J32" s="52">
        <f t="shared" si="7"/>
        <v>0</v>
      </c>
      <c r="K32" s="64">
        <f t="shared" si="5"/>
        <v>4.2988978048930608</v>
      </c>
      <c r="L32" s="64" t="s">
        <v>1109</v>
      </c>
      <c r="M32" s="64"/>
      <c r="N32" s="64"/>
      <c r="O32" s="64"/>
    </row>
    <row r="33" spans="1:15">
      <c r="A33" s="27">
        <v>36529</v>
      </c>
      <c r="B33" s="99">
        <v>443</v>
      </c>
      <c r="C33" s="55">
        <f t="shared" si="2"/>
        <v>24.512332256233801</v>
      </c>
      <c r="D33" s="55">
        <f t="shared" si="3"/>
        <v>19.861255726906691</v>
      </c>
      <c r="E33" s="55">
        <f t="shared" si="4"/>
        <v>1.2341783718652868</v>
      </c>
      <c r="F33" s="56"/>
      <c r="G33" s="56"/>
      <c r="H33" s="55">
        <f t="shared" si="6"/>
        <v>0</v>
      </c>
      <c r="I33" s="55">
        <f t="shared" si="5"/>
        <v>14.769832961469717</v>
      </c>
      <c r="J33" s="55">
        <f t="shared" si="7"/>
        <v>32</v>
      </c>
      <c r="K33" s="65">
        <f t="shared" si="5"/>
        <v>6.817179822630056</v>
      </c>
      <c r="L33" s="65" t="s">
        <v>1109</v>
      </c>
      <c r="M33" s="65"/>
      <c r="N33" s="65"/>
      <c r="O33" s="65"/>
    </row>
    <row r="34" spans="1:15">
      <c r="A34" s="27">
        <v>36530</v>
      </c>
      <c r="B34" s="99">
        <v>410.5</v>
      </c>
      <c r="C34" s="55">
        <f t="shared" si="2"/>
        <v>22.922611927963182</v>
      </c>
      <c r="D34" s="55">
        <f t="shared" si="3"/>
        <v>19.442389377443146</v>
      </c>
      <c r="E34" s="55">
        <f t="shared" si="4"/>
        <v>1.1790017925758525</v>
      </c>
      <c r="F34" s="56"/>
      <c r="G34" s="56"/>
      <c r="H34" s="55">
        <f t="shared" si="6"/>
        <v>0</v>
      </c>
      <c r="I34" s="55">
        <f t="shared" si="5"/>
        <v>13.427120874063379</v>
      </c>
      <c r="J34" s="55">
        <f t="shared" si="7"/>
        <v>32.5</v>
      </c>
      <c r="K34" s="65">
        <f t="shared" si="5"/>
        <v>9.1519816569364139</v>
      </c>
      <c r="L34" s="65" t="s">
        <v>1109</v>
      </c>
      <c r="M34" s="65"/>
      <c r="N34" s="65"/>
      <c r="O34" s="65"/>
    </row>
    <row r="35" spans="1:15">
      <c r="A35" s="26">
        <v>36531</v>
      </c>
      <c r="B35" s="100">
        <v>368.18799999999999</v>
      </c>
      <c r="C35" s="52">
        <f t="shared" si="2"/>
        <v>35.544700906886249</v>
      </c>
      <c r="D35" s="52">
        <f t="shared" si="3"/>
        <v>19.935057641494389</v>
      </c>
      <c r="E35" s="52">
        <f t="shared" si="4"/>
        <v>1.7830247369288126</v>
      </c>
      <c r="F35" s="53"/>
      <c r="G35" s="53"/>
      <c r="H35" s="52">
        <f t="shared" si="6"/>
        <v>0</v>
      </c>
      <c r="I35" s="52">
        <f t="shared" si="5"/>
        <v>12.206473521875798</v>
      </c>
      <c r="J35" s="52">
        <f t="shared" si="7"/>
        <v>42.312000000000012</v>
      </c>
      <c r="K35" s="64">
        <f t="shared" si="5"/>
        <v>12.166528779033104</v>
      </c>
      <c r="L35" s="64"/>
      <c r="M35" s="64"/>
      <c r="N35" s="64"/>
      <c r="O35" s="64"/>
    </row>
    <row r="36" spans="1:15">
      <c r="A36" s="26">
        <v>36532</v>
      </c>
      <c r="B36" s="100">
        <v>407.25</v>
      </c>
      <c r="C36" s="52">
        <f t="shared" si="2"/>
        <v>36.022754684227024</v>
      </c>
      <c r="D36" s="52">
        <f t="shared" si="3"/>
        <v>20.976392418374235</v>
      </c>
      <c r="E36" s="52">
        <f t="shared" si="4"/>
        <v>1.7172998085539701</v>
      </c>
      <c r="F36" s="53"/>
      <c r="G36" s="53"/>
      <c r="H36" s="52">
        <f t="shared" si="6"/>
        <v>39.062000000000012</v>
      </c>
      <c r="I36" s="52">
        <f t="shared" si="5"/>
        <v>14.647885019887092</v>
      </c>
      <c r="J36" s="52">
        <f t="shared" si="7"/>
        <v>0</v>
      </c>
      <c r="K36" s="64">
        <f t="shared" si="5"/>
        <v>11.060480708211912</v>
      </c>
      <c r="L36" s="64"/>
      <c r="M36" s="64"/>
      <c r="N36" s="64"/>
      <c r="O36" s="64"/>
    </row>
    <row r="37" spans="1:15">
      <c r="A37" s="27">
        <v>36535</v>
      </c>
      <c r="B37" s="99">
        <v>436.06200000000001</v>
      </c>
      <c r="C37" s="55">
        <f t="shared" si="2"/>
        <v>26.379096603181853</v>
      </c>
      <c r="D37" s="55">
        <f t="shared" si="3"/>
        <v>21.860885634832037</v>
      </c>
      <c r="E37" s="55">
        <f t="shared" si="4"/>
        <v>1.2066801429650555</v>
      </c>
      <c r="F37" s="56"/>
      <c r="G37" s="56"/>
      <c r="H37" s="55">
        <f t="shared" si="6"/>
        <v>28.812000000000012</v>
      </c>
      <c r="I37" s="55">
        <f t="shared" si="5"/>
        <v>15.935531836260994</v>
      </c>
      <c r="J37" s="55">
        <f t="shared" si="7"/>
        <v>0</v>
      </c>
      <c r="K37" s="65">
        <f t="shared" si="5"/>
        <v>10.05498246201083</v>
      </c>
      <c r="L37" s="65"/>
      <c r="M37" s="65"/>
      <c r="N37" s="65"/>
      <c r="O37" s="65"/>
    </row>
    <row r="38" spans="1:15">
      <c r="A38" s="27">
        <v>36536</v>
      </c>
      <c r="B38" s="99">
        <v>397.375</v>
      </c>
      <c r="C38" s="55">
        <f t="shared" si="2"/>
        <v>21.941267912315375</v>
      </c>
      <c r="D38" s="55">
        <f t="shared" si="3"/>
        <v>23.038800919732338</v>
      </c>
      <c r="E38" s="55">
        <f t="shared" si="4"/>
        <v>0.95236153950716484</v>
      </c>
      <c r="F38" s="56"/>
      <c r="G38" s="56"/>
      <c r="H38" s="55">
        <f t="shared" si="6"/>
        <v>0</v>
      </c>
      <c r="I38" s="55">
        <f t="shared" si="5"/>
        <v>14.48684712387363</v>
      </c>
      <c r="J38" s="55">
        <f t="shared" si="7"/>
        <v>38.687000000000012</v>
      </c>
      <c r="K38" s="65">
        <f t="shared" si="5"/>
        <v>12.657893147282575</v>
      </c>
      <c r="L38" s="65"/>
      <c r="M38" s="65"/>
      <c r="N38" s="65"/>
      <c r="O38" s="65"/>
    </row>
    <row r="39" spans="1:15">
      <c r="A39" s="26">
        <v>36537</v>
      </c>
      <c r="B39" s="100">
        <v>357.56200000000001</v>
      </c>
      <c r="C39" s="52">
        <f t="shared" si="2"/>
        <v>28.098445377636111</v>
      </c>
      <c r="D39" s="52">
        <f t="shared" si="3"/>
        <v>24.826046134202606</v>
      </c>
      <c r="E39" s="52">
        <f t="shared" si="4"/>
        <v>1.1318131459896528</v>
      </c>
      <c r="F39" s="53"/>
      <c r="G39" s="53"/>
      <c r="H39" s="52">
        <f t="shared" si="6"/>
        <v>0</v>
      </c>
      <c r="I39" s="52">
        <f t="shared" si="5"/>
        <v>13.1698610217033</v>
      </c>
      <c r="J39" s="52">
        <f t="shared" si="7"/>
        <v>39.812999999999988</v>
      </c>
      <c r="K39" s="64">
        <f t="shared" si="5"/>
        <v>15.12653922480234</v>
      </c>
      <c r="L39" s="64"/>
      <c r="M39" s="64"/>
      <c r="N39" s="64"/>
      <c r="O39" s="64"/>
    </row>
    <row r="40" spans="1:15">
      <c r="A40" s="26">
        <v>36538</v>
      </c>
      <c r="B40" s="100">
        <v>346.875</v>
      </c>
      <c r="C40" s="52">
        <f t="shared" si="2"/>
        <v>32.805168381826668</v>
      </c>
      <c r="D40" s="52">
        <f t="shared" si="3"/>
        <v>27.162196319013823</v>
      </c>
      <c r="E40" s="52">
        <f t="shared" si="4"/>
        <v>1.2077509490225835</v>
      </c>
      <c r="F40" s="53">
        <f>INT(14/E40)</f>
        <v>11</v>
      </c>
      <c r="G40" s="53">
        <f>IF(F40&lt;3,3,IF(F40&gt;30,30,F40))</f>
        <v>11</v>
      </c>
      <c r="H40" s="52">
        <f t="shared" si="6"/>
        <v>0</v>
      </c>
      <c r="I40" s="52">
        <f t="shared" si="5"/>
        <v>11.972600928821182</v>
      </c>
      <c r="J40" s="52">
        <f>IF(B40&lt;B39,B39-B40,0)</f>
        <v>10.687000000000012</v>
      </c>
      <c r="K40" s="64">
        <f t="shared" si="5"/>
        <v>14.722944749820309</v>
      </c>
      <c r="L40" s="64">
        <f>I40/K40</f>
        <v>0.81319336126472286</v>
      </c>
      <c r="M40" s="64">
        <f>1+L40</f>
        <v>1.8131933612647229</v>
      </c>
      <c r="N40" s="64">
        <f>100/M40</f>
        <v>55.151315980028116</v>
      </c>
      <c r="O40" s="64">
        <f>100-N40</f>
        <v>44.848684019971884</v>
      </c>
    </row>
    <row r="41" spans="1:15">
      <c r="A41" s="2"/>
      <c r="B41" s="206"/>
      <c r="C41" s="206"/>
      <c r="D41" s="206"/>
      <c r="E41" s="206"/>
      <c r="K41" s="2"/>
    </row>
    <row r="42" spans="1:15">
      <c r="A42" s="2"/>
      <c r="B42" s="206"/>
      <c r="C42" s="206"/>
      <c r="D42" s="206"/>
      <c r="E42" s="206"/>
      <c r="K42" s="2"/>
    </row>
    <row r="43" spans="1:15">
      <c r="A43" s="2" t="s">
        <v>1293</v>
      </c>
      <c r="B43" s="206"/>
      <c r="C43" s="206"/>
      <c r="D43" s="206"/>
      <c r="E43" s="206"/>
      <c r="K43" s="2"/>
    </row>
    <row r="44" spans="1:15">
      <c r="A44" s="2" t="s">
        <v>1294</v>
      </c>
      <c r="B44" s="206"/>
      <c r="C44" s="206"/>
      <c r="D44" s="206"/>
      <c r="E44" s="206"/>
      <c r="K44" s="2"/>
    </row>
    <row r="45" spans="1:15">
      <c r="A45" s="2" t="s">
        <v>1295</v>
      </c>
      <c r="B45" s="206"/>
      <c r="C45" s="206"/>
      <c r="D45" s="206"/>
      <c r="E45" s="206"/>
      <c r="K45" s="2"/>
    </row>
    <row r="46" spans="1:15">
      <c r="A46" s="2" t="s">
        <v>1296</v>
      </c>
      <c r="B46" s="206"/>
      <c r="C46" s="206"/>
      <c r="D46" s="206"/>
      <c r="E46" s="206"/>
      <c r="K46" s="2"/>
    </row>
    <row r="47" spans="1:15">
      <c r="A47" s="2" t="s">
        <v>1297</v>
      </c>
      <c r="B47" s="206"/>
      <c r="C47" s="206"/>
      <c r="D47" s="206"/>
      <c r="E47" s="206"/>
      <c r="K47" s="2"/>
    </row>
    <row r="49" spans="1:1">
      <c r="A49" s="2" t="s">
        <v>221</v>
      </c>
    </row>
    <row r="50" spans="1:1">
      <c r="A50" s="2"/>
    </row>
  </sheetData>
  <mergeCells count="1">
    <mergeCell ref="B5:L5"/>
  </mergeCells>
  <phoneticPr fontId="0" type="noConversion"/>
  <pageMargins left="0.75" right="0.75" top="1" bottom="1" header="0.5" footer="0.5"/>
  <pageSetup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8611"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68612"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68613" r:id="rId5" name="Button 5">
              <controlPr defaultSize="0" print="0" autoFill="0" autoPict="0" macro="[0]!Previous_Button_Click">
                <anchor moveWithCells="1" sizeWithCells="1">
                  <from>
                    <xdr:col>3</xdr:col>
                    <xdr:colOff>203200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68614"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enableFormatConditionsCalculation="0"/>
  <dimension ref="A1:N51"/>
  <sheetViews>
    <sheetView workbookViewId="0"/>
  </sheetViews>
  <sheetFormatPr baseColWidth="10" defaultColWidth="8.83203125" defaultRowHeight="12" x14ac:dyDescent="0"/>
  <cols>
    <col min="1" max="1" width="12.1640625" customWidth="1"/>
    <col min="4" max="4" width="12.1640625" customWidth="1"/>
    <col min="5" max="10" width="10.1640625" customWidth="1"/>
    <col min="11" max="11" width="13.3320312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1120</v>
      </c>
      <c r="C3" s="21"/>
      <c r="D3" s="21"/>
      <c r="E3" s="21"/>
      <c r="F3" s="21"/>
      <c r="G3" s="21"/>
      <c r="H3" s="21"/>
      <c r="I3" s="21"/>
      <c r="J3" s="21"/>
      <c r="K3" s="21"/>
    </row>
    <row r="4" spans="1:14">
      <c r="A4" s="19" t="s">
        <v>774</v>
      </c>
      <c r="B4" s="20" t="s">
        <v>1119</v>
      </c>
      <c r="C4" s="21"/>
      <c r="D4" s="21"/>
      <c r="E4" s="21"/>
      <c r="F4" s="21"/>
      <c r="G4" s="21"/>
      <c r="H4" s="21"/>
      <c r="I4" s="21"/>
      <c r="J4" s="21"/>
      <c r="K4" s="21"/>
    </row>
    <row r="5" spans="1:14" ht="29.25" customHeight="1">
      <c r="A5" s="118" t="s">
        <v>779</v>
      </c>
      <c r="B5" s="446" t="s">
        <v>1137</v>
      </c>
      <c r="C5" s="446"/>
      <c r="D5" s="446"/>
      <c r="E5" s="446"/>
      <c r="F5" s="446"/>
      <c r="G5" s="446"/>
      <c r="H5" s="446"/>
      <c r="I5" s="446"/>
      <c r="J5" s="446"/>
      <c r="K5" s="446"/>
    </row>
    <row r="6" spans="1:14" ht="28.5" customHeight="1">
      <c r="A6" s="19"/>
      <c r="B6" s="127" t="s">
        <v>1138</v>
      </c>
      <c r="C6" s="21"/>
      <c r="D6" s="21"/>
      <c r="E6" s="21"/>
      <c r="F6" s="21"/>
      <c r="G6" s="21"/>
      <c r="H6" s="21"/>
      <c r="I6" s="21"/>
      <c r="J6" s="21"/>
      <c r="K6" s="21"/>
    </row>
    <row r="7" spans="1:14" ht="20.25" customHeight="1">
      <c r="A7" s="19"/>
      <c r="B7" s="21"/>
      <c r="C7" s="98"/>
      <c r="D7" s="98"/>
      <c r="E7" s="98"/>
      <c r="F7" s="98"/>
      <c r="G7" s="98"/>
      <c r="H7" s="98"/>
      <c r="I7" s="98"/>
      <c r="J7" s="98"/>
      <c r="K7" s="98"/>
    </row>
    <row r="8" spans="1:14" ht="30.75" customHeight="1">
      <c r="A8" s="19"/>
      <c r="B8" s="127" t="s">
        <v>1139</v>
      </c>
      <c r="C8" s="21"/>
      <c r="D8" s="21"/>
      <c r="E8" s="21"/>
      <c r="F8" s="21"/>
      <c r="G8" s="21"/>
      <c r="H8" s="21"/>
      <c r="I8" s="21"/>
      <c r="J8" s="21"/>
      <c r="K8" s="21"/>
    </row>
    <row r="9" spans="1:14" ht="38.25" customHeight="1">
      <c r="A9" s="19"/>
      <c r="B9" s="21"/>
      <c r="C9" s="98"/>
      <c r="D9" s="98"/>
      <c r="E9" s="98"/>
      <c r="F9" s="98"/>
      <c r="G9" s="98"/>
      <c r="H9" s="98"/>
      <c r="I9" s="98"/>
      <c r="J9" s="98"/>
      <c r="K9" s="98"/>
    </row>
    <row r="10" spans="1:14" ht="15.75" customHeight="1">
      <c r="A10" s="19"/>
      <c r="B10" s="127" t="s">
        <v>1140</v>
      </c>
      <c r="C10" s="98"/>
      <c r="D10" s="98"/>
      <c r="E10" s="98"/>
      <c r="F10" s="98"/>
      <c r="G10" s="98"/>
      <c r="H10" s="98"/>
      <c r="I10" s="98"/>
      <c r="J10" s="98"/>
      <c r="K10" s="98"/>
    </row>
    <row r="11" spans="1:14" ht="39" customHeight="1">
      <c r="A11" s="19"/>
      <c r="B11" s="21"/>
      <c r="C11" s="98"/>
      <c r="D11" s="98"/>
      <c r="E11" s="98"/>
      <c r="F11" s="98"/>
      <c r="G11" s="98"/>
      <c r="H11" s="98"/>
      <c r="I11" s="98"/>
      <c r="J11" s="98"/>
      <c r="K11" s="98"/>
    </row>
    <row r="12" spans="1:14">
      <c r="A12" s="19" t="s">
        <v>635</v>
      </c>
      <c r="B12" s="21" t="s">
        <v>640</v>
      </c>
      <c r="C12" s="21"/>
      <c r="D12" s="21"/>
      <c r="E12" s="21"/>
      <c r="F12" s="21"/>
      <c r="G12" s="21"/>
      <c r="H12" s="21"/>
      <c r="I12" s="21"/>
      <c r="J12" s="21"/>
      <c r="K12" s="21"/>
    </row>
    <row r="13" spans="1:14" ht="53.25" customHeight="1">
      <c r="A13" s="22" t="s">
        <v>1090</v>
      </c>
      <c r="B13" s="22" t="s">
        <v>1096</v>
      </c>
      <c r="C13" s="22" t="s">
        <v>1097</v>
      </c>
      <c r="D13" s="22" t="s">
        <v>1099</v>
      </c>
      <c r="E13" s="31" t="s">
        <v>556</v>
      </c>
      <c r="F13" s="31" t="s">
        <v>557</v>
      </c>
      <c r="G13" s="31" t="s">
        <v>558</v>
      </c>
      <c r="H13" s="31" t="s">
        <v>522</v>
      </c>
      <c r="I13" s="31" t="s">
        <v>559</v>
      </c>
      <c r="J13" s="31" t="s">
        <v>560</v>
      </c>
      <c r="K13" s="22" t="s">
        <v>1121</v>
      </c>
    </row>
    <row r="14" spans="1:14">
      <c r="A14" s="26">
        <v>36342</v>
      </c>
      <c r="B14" s="325">
        <v>23.75</v>
      </c>
      <c r="C14" s="325">
        <v>23</v>
      </c>
      <c r="D14" s="326">
        <v>125733</v>
      </c>
      <c r="E14" s="325">
        <f t="shared" ref="E14:E43" si="0">B14+C14</f>
        <v>46.75</v>
      </c>
      <c r="F14" s="325">
        <f t="shared" ref="F14:F43" si="1">E14/2</f>
        <v>23.375</v>
      </c>
      <c r="G14" s="325"/>
      <c r="H14" s="325">
        <f t="shared" ref="H14:H43" si="2">B14-C14</f>
        <v>0.75</v>
      </c>
      <c r="I14" s="325"/>
      <c r="J14" s="325"/>
      <c r="K14" s="276"/>
    </row>
    <row r="15" spans="1:14">
      <c r="A15" s="26">
        <v>36343</v>
      </c>
      <c r="B15" s="325">
        <v>23.75</v>
      </c>
      <c r="C15" s="325">
        <v>23.1875</v>
      </c>
      <c r="D15" s="326">
        <v>83819</v>
      </c>
      <c r="E15" s="325">
        <f t="shared" si="0"/>
        <v>46.9375</v>
      </c>
      <c r="F15" s="325">
        <f t="shared" si="1"/>
        <v>23.46875</v>
      </c>
      <c r="G15" s="325">
        <f t="shared" ref="G15:G43" si="3">F15-F14</f>
        <v>9.375E-2</v>
      </c>
      <c r="H15" s="325">
        <f t="shared" si="2"/>
        <v>0.5625</v>
      </c>
      <c r="I15" s="325">
        <f t="shared" ref="I15:I43" si="4">(D15/10000)/H15</f>
        <v>14.901155555555555</v>
      </c>
      <c r="J15" s="325">
        <f t="shared" ref="J15:J43" si="5">G15/I15</f>
        <v>6.2914583805581074E-3</v>
      </c>
      <c r="K15" s="276"/>
    </row>
    <row r="16" spans="1:14">
      <c r="A16" s="27">
        <v>36347</v>
      </c>
      <c r="B16" s="320">
        <v>23.75</v>
      </c>
      <c r="C16" s="320">
        <v>23.25</v>
      </c>
      <c r="D16" s="321">
        <v>111390</v>
      </c>
      <c r="E16" s="320">
        <f t="shared" si="0"/>
        <v>47</v>
      </c>
      <c r="F16" s="320">
        <f t="shared" si="1"/>
        <v>23.5</v>
      </c>
      <c r="G16" s="320">
        <f t="shared" si="3"/>
        <v>3.125E-2</v>
      </c>
      <c r="H16" s="320">
        <f t="shared" si="2"/>
        <v>0.5</v>
      </c>
      <c r="I16" s="320">
        <f t="shared" si="4"/>
        <v>22.277999999999999</v>
      </c>
      <c r="J16" s="320">
        <f t="shared" si="5"/>
        <v>1.4027291498339169E-3</v>
      </c>
      <c r="K16" s="320"/>
    </row>
    <row r="17" spans="1:11">
      <c r="A17" s="27">
        <v>36348</v>
      </c>
      <c r="B17" s="320">
        <v>25.0625</v>
      </c>
      <c r="C17" s="320">
        <v>23.5</v>
      </c>
      <c r="D17" s="321">
        <v>211366</v>
      </c>
      <c r="E17" s="320">
        <f t="shared" si="0"/>
        <v>48.5625</v>
      </c>
      <c r="F17" s="320">
        <f t="shared" si="1"/>
        <v>24.28125</v>
      </c>
      <c r="G17" s="320">
        <f t="shared" si="3"/>
        <v>0.78125</v>
      </c>
      <c r="H17" s="320">
        <f t="shared" si="2"/>
        <v>1.5625</v>
      </c>
      <c r="I17" s="320">
        <f t="shared" si="4"/>
        <v>13.527424000000002</v>
      </c>
      <c r="J17" s="320">
        <f t="shared" si="5"/>
        <v>5.7753050395995563E-2</v>
      </c>
      <c r="K17" s="320"/>
    </row>
    <row r="18" spans="1:11">
      <c r="A18" s="26">
        <v>36349</v>
      </c>
      <c r="B18" s="325">
        <v>26.25</v>
      </c>
      <c r="C18" s="325">
        <v>25</v>
      </c>
      <c r="D18" s="326">
        <v>240664</v>
      </c>
      <c r="E18" s="325">
        <f t="shared" si="0"/>
        <v>51.25</v>
      </c>
      <c r="F18" s="325">
        <f t="shared" si="1"/>
        <v>25.625</v>
      </c>
      <c r="G18" s="325">
        <f t="shared" si="3"/>
        <v>1.34375</v>
      </c>
      <c r="H18" s="325">
        <f t="shared" si="2"/>
        <v>1.25</v>
      </c>
      <c r="I18" s="325">
        <f t="shared" si="4"/>
        <v>19.253120000000003</v>
      </c>
      <c r="J18" s="325">
        <f t="shared" si="5"/>
        <v>6.9793882757703679E-2</v>
      </c>
      <c r="K18" s="325"/>
    </row>
    <row r="19" spans="1:11">
      <c r="A19" s="26">
        <v>36350</v>
      </c>
      <c r="B19" s="325">
        <v>26.875</v>
      </c>
      <c r="C19" s="325">
        <v>25.8125</v>
      </c>
      <c r="D19" s="326">
        <v>219933</v>
      </c>
      <c r="E19" s="325">
        <f t="shared" si="0"/>
        <v>52.6875</v>
      </c>
      <c r="F19" s="325">
        <f t="shared" si="1"/>
        <v>26.34375</v>
      </c>
      <c r="G19" s="325">
        <f t="shared" si="3"/>
        <v>0.71875</v>
      </c>
      <c r="H19" s="325">
        <f t="shared" si="2"/>
        <v>1.0625</v>
      </c>
      <c r="I19" s="325">
        <f t="shared" si="4"/>
        <v>20.699576470588237</v>
      </c>
      <c r="J19" s="325">
        <f t="shared" si="5"/>
        <v>3.4722932665857326E-2</v>
      </c>
      <c r="K19" s="325"/>
    </row>
    <row r="20" spans="1:11">
      <c r="A20" s="27">
        <v>36353</v>
      </c>
      <c r="B20" s="320">
        <v>27</v>
      </c>
      <c r="C20" s="320">
        <v>25.875</v>
      </c>
      <c r="D20" s="321">
        <v>155943</v>
      </c>
      <c r="E20" s="320">
        <f t="shared" si="0"/>
        <v>52.875</v>
      </c>
      <c r="F20" s="320">
        <f t="shared" si="1"/>
        <v>26.4375</v>
      </c>
      <c r="G20" s="320">
        <f t="shared" si="3"/>
        <v>9.375E-2</v>
      </c>
      <c r="H20" s="320">
        <f t="shared" si="2"/>
        <v>1.125</v>
      </c>
      <c r="I20" s="320">
        <f t="shared" si="4"/>
        <v>13.861600000000001</v>
      </c>
      <c r="J20" s="320">
        <f t="shared" si="5"/>
        <v>6.7632885092629991E-3</v>
      </c>
      <c r="K20" s="320"/>
    </row>
    <row r="21" spans="1:11">
      <c r="A21" s="27">
        <v>36354</v>
      </c>
      <c r="B21" s="320">
        <v>26.875</v>
      </c>
      <c r="C21" s="320">
        <v>25.75</v>
      </c>
      <c r="D21" s="321">
        <v>138913</v>
      </c>
      <c r="E21" s="320">
        <f t="shared" si="0"/>
        <v>52.625</v>
      </c>
      <c r="F21" s="320">
        <f t="shared" si="1"/>
        <v>26.3125</v>
      </c>
      <c r="G21" s="320">
        <f t="shared" si="3"/>
        <v>-0.125</v>
      </c>
      <c r="H21" s="320">
        <f t="shared" si="2"/>
        <v>1.125</v>
      </c>
      <c r="I21" s="320">
        <f t="shared" si="4"/>
        <v>12.347822222222222</v>
      </c>
      <c r="J21" s="320">
        <f t="shared" si="5"/>
        <v>-1.0123242605083758E-2</v>
      </c>
      <c r="K21" s="320"/>
    </row>
    <row r="22" spans="1:11">
      <c r="A22" s="26">
        <v>36355</v>
      </c>
      <c r="B22" s="325">
        <v>28</v>
      </c>
      <c r="C22" s="325">
        <v>26.3125</v>
      </c>
      <c r="D22" s="326">
        <v>226220</v>
      </c>
      <c r="E22" s="325">
        <f t="shared" si="0"/>
        <v>54.3125</v>
      </c>
      <c r="F22" s="325">
        <f t="shared" si="1"/>
        <v>27.15625</v>
      </c>
      <c r="G22" s="325">
        <f t="shared" si="3"/>
        <v>0.84375</v>
      </c>
      <c r="H22" s="325">
        <f t="shared" si="2"/>
        <v>1.6875</v>
      </c>
      <c r="I22" s="325">
        <f t="shared" si="4"/>
        <v>13.40562962962963</v>
      </c>
      <c r="J22" s="325">
        <f t="shared" si="5"/>
        <v>6.2939975466360182E-2</v>
      </c>
      <c r="K22" s="325"/>
    </row>
    <row r="23" spans="1:11">
      <c r="A23" s="26">
        <v>36356</v>
      </c>
      <c r="B23" s="325">
        <v>28.1875</v>
      </c>
      <c r="C23" s="325">
        <v>27.375</v>
      </c>
      <c r="D23" s="326">
        <v>164528</v>
      </c>
      <c r="E23" s="325">
        <f t="shared" si="0"/>
        <v>55.5625</v>
      </c>
      <c r="F23" s="325">
        <f t="shared" si="1"/>
        <v>27.78125</v>
      </c>
      <c r="G23" s="325">
        <f t="shared" si="3"/>
        <v>0.625</v>
      </c>
      <c r="H23" s="325">
        <f t="shared" si="2"/>
        <v>0.8125</v>
      </c>
      <c r="I23" s="325">
        <f t="shared" si="4"/>
        <v>20.249600000000001</v>
      </c>
      <c r="J23" s="325">
        <f t="shared" si="5"/>
        <v>3.0864807206068268E-2</v>
      </c>
      <c r="K23" s="325"/>
    </row>
    <row r="24" spans="1:11">
      <c r="A24" s="27">
        <v>36357</v>
      </c>
      <c r="B24" s="320">
        <v>27.6875</v>
      </c>
      <c r="C24" s="320">
        <v>27.125</v>
      </c>
      <c r="D24" s="321">
        <v>132053</v>
      </c>
      <c r="E24" s="320">
        <f t="shared" si="0"/>
        <v>54.8125</v>
      </c>
      <c r="F24" s="320">
        <f t="shared" si="1"/>
        <v>27.40625</v>
      </c>
      <c r="G24" s="320">
        <f t="shared" si="3"/>
        <v>-0.375</v>
      </c>
      <c r="H24" s="320">
        <f t="shared" si="2"/>
        <v>0.5625</v>
      </c>
      <c r="I24" s="320">
        <f t="shared" si="4"/>
        <v>23.476088888888889</v>
      </c>
      <c r="J24" s="320">
        <f t="shared" si="5"/>
        <v>-1.5973699953806427E-2</v>
      </c>
      <c r="K24" s="320"/>
    </row>
    <row r="25" spans="1:11">
      <c r="A25" s="27">
        <v>36360</v>
      </c>
      <c r="B25" s="320">
        <v>27.1875</v>
      </c>
      <c r="C25" s="320">
        <v>26</v>
      </c>
      <c r="D25" s="321">
        <v>109900</v>
      </c>
      <c r="E25" s="320">
        <f t="shared" si="0"/>
        <v>53.1875</v>
      </c>
      <c r="F25" s="320">
        <f t="shared" si="1"/>
        <v>26.59375</v>
      </c>
      <c r="G25" s="320">
        <f t="shared" si="3"/>
        <v>-0.8125</v>
      </c>
      <c r="H25" s="320">
        <f t="shared" si="2"/>
        <v>1.1875</v>
      </c>
      <c r="I25" s="320">
        <f t="shared" si="4"/>
        <v>9.2547368421052632</v>
      </c>
      <c r="J25" s="320">
        <f t="shared" si="5"/>
        <v>-8.7792879890809833E-2</v>
      </c>
      <c r="K25" s="320"/>
    </row>
    <row r="26" spans="1:11">
      <c r="A26" s="26">
        <v>36361</v>
      </c>
      <c r="B26" s="325">
        <v>26.25</v>
      </c>
      <c r="C26" s="325">
        <v>25.1875</v>
      </c>
      <c r="D26" s="326">
        <v>138313</v>
      </c>
      <c r="E26" s="325">
        <f t="shared" si="0"/>
        <v>51.4375</v>
      </c>
      <c r="F26" s="325">
        <f t="shared" si="1"/>
        <v>25.71875</v>
      </c>
      <c r="G26" s="325">
        <f t="shared" si="3"/>
        <v>-0.875</v>
      </c>
      <c r="H26" s="325">
        <f t="shared" si="2"/>
        <v>1.0625</v>
      </c>
      <c r="I26" s="325">
        <f t="shared" si="4"/>
        <v>13.017694117647059</v>
      </c>
      <c r="J26" s="325">
        <f t="shared" si="5"/>
        <v>-6.7216205273546228E-2</v>
      </c>
      <c r="K26" s="325"/>
    </row>
    <row r="27" spans="1:11">
      <c r="A27" s="26">
        <v>36362</v>
      </c>
      <c r="B27" s="325">
        <v>26.5</v>
      </c>
      <c r="C27" s="325">
        <v>25.375</v>
      </c>
      <c r="D27" s="326">
        <v>143421</v>
      </c>
      <c r="E27" s="325">
        <f t="shared" si="0"/>
        <v>51.875</v>
      </c>
      <c r="F27" s="325">
        <f t="shared" si="1"/>
        <v>25.9375</v>
      </c>
      <c r="G27" s="325">
        <f t="shared" si="3"/>
        <v>0.21875</v>
      </c>
      <c r="H27" s="325">
        <f t="shared" si="2"/>
        <v>1.125</v>
      </c>
      <c r="I27" s="325">
        <f t="shared" si="4"/>
        <v>12.748533333333334</v>
      </c>
      <c r="J27" s="325">
        <f t="shared" si="5"/>
        <v>1.7158836572050116E-2</v>
      </c>
      <c r="K27" s="325"/>
    </row>
    <row r="28" spans="1:11">
      <c r="A28" s="27">
        <v>36363</v>
      </c>
      <c r="B28" s="320">
        <v>26</v>
      </c>
      <c r="C28" s="320">
        <v>24.875</v>
      </c>
      <c r="D28" s="321">
        <v>106053</v>
      </c>
      <c r="E28" s="320">
        <f t="shared" si="0"/>
        <v>50.875</v>
      </c>
      <c r="F28" s="320">
        <f t="shared" si="1"/>
        <v>25.4375</v>
      </c>
      <c r="G28" s="320">
        <f t="shared" si="3"/>
        <v>-0.5</v>
      </c>
      <c r="H28" s="320">
        <f t="shared" si="2"/>
        <v>1.125</v>
      </c>
      <c r="I28" s="320">
        <f t="shared" si="4"/>
        <v>9.4269333333333325</v>
      </c>
      <c r="J28" s="320">
        <f t="shared" si="5"/>
        <v>-5.3039517976860628E-2</v>
      </c>
      <c r="K28" s="320">
        <f t="shared" ref="K28:K43" si="6">SUM(J15:J28)/14</f>
        <v>3.8246725288273789E-3</v>
      </c>
    </row>
    <row r="29" spans="1:11">
      <c r="A29" s="27">
        <v>36364</v>
      </c>
      <c r="B29" s="320">
        <v>25.875</v>
      </c>
      <c r="C29" s="320">
        <v>24.3125</v>
      </c>
      <c r="D29" s="321">
        <v>141425</v>
      </c>
      <c r="E29" s="320">
        <f t="shared" si="0"/>
        <v>50.1875</v>
      </c>
      <c r="F29" s="320">
        <f t="shared" si="1"/>
        <v>25.09375</v>
      </c>
      <c r="G29" s="320">
        <f t="shared" si="3"/>
        <v>-0.34375</v>
      </c>
      <c r="H29" s="320">
        <f t="shared" si="2"/>
        <v>1.5625</v>
      </c>
      <c r="I29" s="320">
        <f t="shared" si="4"/>
        <v>9.0511999999999997</v>
      </c>
      <c r="J29" s="320">
        <f t="shared" si="5"/>
        <v>-3.7978389605798128E-2</v>
      </c>
      <c r="K29" s="320">
        <f t="shared" si="6"/>
        <v>6.625405298019331E-4</v>
      </c>
    </row>
    <row r="30" spans="1:11">
      <c r="A30" s="26">
        <v>36367</v>
      </c>
      <c r="B30" s="325">
        <v>25.375</v>
      </c>
      <c r="C30" s="325">
        <v>24.25</v>
      </c>
      <c r="D30" s="326">
        <v>96921</v>
      </c>
      <c r="E30" s="325">
        <f t="shared" si="0"/>
        <v>49.625</v>
      </c>
      <c r="F30" s="325">
        <f t="shared" si="1"/>
        <v>24.8125</v>
      </c>
      <c r="G30" s="325">
        <f t="shared" si="3"/>
        <v>-0.28125</v>
      </c>
      <c r="H30" s="325">
        <f t="shared" si="2"/>
        <v>1.125</v>
      </c>
      <c r="I30" s="325">
        <f t="shared" si="4"/>
        <v>8.6151999999999997</v>
      </c>
      <c r="J30" s="325">
        <f t="shared" si="5"/>
        <v>-3.2645788838332253E-2</v>
      </c>
      <c r="K30" s="325">
        <f t="shared" si="6"/>
        <v>-1.769496469352797E-3</v>
      </c>
    </row>
    <row r="31" spans="1:11">
      <c r="A31" s="26">
        <v>36368</v>
      </c>
      <c r="B31" s="325">
        <v>25.5</v>
      </c>
      <c r="C31" s="325">
        <v>24.75</v>
      </c>
      <c r="D31" s="326">
        <v>93208</v>
      </c>
      <c r="E31" s="325">
        <f t="shared" si="0"/>
        <v>50.25</v>
      </c>
      <c r="F31" s="325">
        <f t="shared" si="1"/>
        <v>25.125</v>
      </c>
      <c r="G31" s="325">
        <f t="shared" si="3"/>
        <v>0.3125</v>
      </c>
      <c r="H31" s="325">
        <f t="shared" si="2"/>
        <v>0.75</v>
      </c>
      <c r="I31" s="325">
        <f t="shared" si="4"/>
        <v>12.427733333333334</v>
      </c>
      <c r="J31" s="325">
        <f t="shared" si="5"/>
        <v>2.5145373787657709E-2</v>
      </c>
      <c r="K31" s="325">
        <f t="shared" si="6"/>
        <v>-4.0986162270912141E-3</v>
      </c>
    </row>
    <row r="32" spans="1:11">
      <c r="A32" s="27">
        <v>36369</v>
      </c>
      <c r="B32" s="320">
        <v>26.125</v>
      </c>
      <c r="C32" s="320">
        <v>25.25</v>
      </c>
      <c r="D32" s="321">
        <v>130854</v>
      </c>
      <c r="E32" s="320">
        <f t="shared" si="0"/>
        <v>51.375</v>
      </c>
      <c r="F32" s="320">
        <f t="shared" si="1"/>
        <v>25.6875</v>
      </c>
      <c r="G32" s="320">
        <f t="shared" si="3"/>
        <v>0.5625</v>
      </c>
      <c r="H32" s="320">
        <f t="shared" si="2"/>
        <v>0.875</v>
      </c>
      <c r="I32" s="320">
        <f t="shared" si="4"/>
        <v>14.954742857142858</v>
      </c>
      <c r="J32" s="320">
        <f t="shared" si="5"/>
        <v>3.761348525837957E-2</v>
      </c>
      <c r="K32" s="320">
        <f t="shared" si="6"/>
        <v>-6.3972160484715062E-3</v>
      </c>
    </row>
    <row r="33" spans="1:11">
      <c r="A33" s="27">
        <v>36370</v>
      </c>
      <c r="B33" s="320">
        <v>25.9375</v>
      </c>
      <c r="C33" s="320">
        <v>24.6875</v>
      </c>
      <c r="D33" s="321">
        <v>141595</v>
      </c>
      <c r="E33" s="320">
        <f t="shared" si="0"/>
        <v>50.625</v>
      </c>
      <c r="F33" s="320">
        <f t="shared" si="1"/>
        <v>25.3125</v>
      </c>
      <c r="G33" s="320">
        <f t="shared" si="3"/>
        <v>-0.375</v>
      </c>
      <c r="H33" s="320">
        <f t="shared" si="2"/>
        <v>1.25</v>
      </c>
      <c r="I33" s="320">
        <f t="shared" si="4"/>
        <v>11.3276</v>
      </c>
      <c r="J33" s="320">
        <f t="shared" si="5"/>
        <v>-3.3104982520569225E-2</v>
      </c>
      <c r="K33" s="320">
        <f t="shared" si="6"/>
        <v>-1.1242067133216261E-2</v>
      </c>
    </row>
    <row r="34" spans="1:11">
      <c r="A34" s="26">
        <v>36371</v>
      </c>
      <c r="B34" s="325">
        <v>24.6875</v>
      </c>
      <c r="C34" s="325">
        <v>23.9375</v>
      </c>
      <c r="D34" s="326">
        <v>113966</v>
      </c>
      <c r="E34" s="325">
        <f t="shared" si="0"/>
        <v>48.625</v>
      </c>
      <c r="F34" s="325">
        <f t="shared" si="1"/>
        <v>24.3125</v>
      </c>
      <c r="G34" s="325">
        <f t="shared" si="3"/>
        <v>-1</v>
      </c>
      <c r="H34" s="325">
        <f t="shared" si="2"/>
        <v>0.75</v>
      </c>
      <c r="I34" s="325">
        <f t="shared" si="4"/>
        <v>15.195466666666666</v>
      </c>
      <c r="J34" s="325">
        <f t="shared" si="5"/>
        <v>-6.5809100959935418E-2</v>
      </c>
      <c r="K34" s="325">
        <f t="shared" si="6"/>
        <v>-1.6425809238159002E-2</v>
      </c>
    </row>
    <row r="35" spans="1:11">
      <c r="A35" s="26">
        <v>36374</v>
      </c>
      <c r="B35" s="325">
        <v>24.4375</v>
      </c>
      <c r="C35" s="325">
        <v>23.5</v>
      </c>
      <c r="D35" s="326">
        <v>74241</v>
      </c>
      <c r="E35" s="325">
        <f t="shared" si="0"/>
        <v>47.9375</v>
      </c>
      <c r="F35" s="325">
        <f t="shared" si="1"/>
        <v>23.96875</v>
      </c>
      <c r="G35" s="325">
        <f t="shared" si="3"/>
        <v>-0.34375</v>
      </c>
      <c r="H35" s="325">
        <f t="shared" si="2"/>
        <v>0.9375</v>
      </c>
      <c r="I35" s="325">
        <f t="shared" si="4"/>
        <v>7.9190399999999999</v>
      </c>
      <c r="J35" s="325">
        <f t="shared" si="5"/>
        <v>-4.3408039358306061E-2</v>
      </c>
      <c r="K35" s="325">
        <f t="shared" si="6"/>
        <v>-1.8803294720532025E-2</v>
      </c>
    </row>
    <row r="36" spans="1:11">
      <c r="A36" s="27">
        <v>36375</v>
      </c>
      <c r="B36" s="320">
        <v>24.125</v>
      </c>
      <c r="C36" s="320">
        <v>23.25</v>
      </c>
      <c r="D36" s="321">
        <v>82126</v>
      </c>
      <c r="E36" s="320">
        <f t="shared" si="0"/>
        <v>47.375</v>
      </c>
      <c r="F36" s="320">
        <f t="shared" si="1"/>
        <v>23.6875</v>
      </c>
      <c r="G36" s="320">
        <f t="shared" si="3"/>
        <v>-0.28125</v>
      </c>
      <c r="H36" s="320">
        <f t="shared" si="2"/>
        <v>0.875</v>
      </c>
      <c r="I36" s="320">
        <f t="shared" si="4"/>
        <v>9.3858285714285721</v>
      </c>
      <c r="J36" s="320">
        <f t="shared" si="5"/>
        <v>-2.996538854930229E-2</v>
      </c>
      <c r="K36" s="320">
        <f t="shared" si="6"/>
        <v>-2.5439392150222204E-2</v>
      </c>
    </row>
    <row r="37" spans="1:11">
      <c r="A37" s="27">
        <v>36376</v>
      </c>
      <c r="B37" s="320">
        <v>23.625</v>
      </c>
      <c r="C37" s="320">
        <v>22.5</v>
      </c>
      <c r="D37" s="321">
        <v>99907</v>
      </c>
      <c r="E37" s="320">
        <f t="shared" si="0"/>
        <v>46.125</v>
      </c>
      <c r="F37" s="320">
        <f t="shared" si="1"/>
        <v>23.0625</v>
      </c>
      <c r="G37" s="320">
        <f t="shared" si="3"/>
        <v>-0.625</v>
      </c>
      <c r="H37" s="320">
        <f t="shared" si="2"/>
        <v>1.125</v>
      </c>
      <c r="I37" s="320">
        <f t="shared" si="4"/>
        <v>8.8806222222222218</v>
      </c>
      <c r="J37" s="320">
        <f t="shared" si="5"/>
        <v>-7.0377951494890248E-2</v>
      </c>
      <c r="K37" s="320">
        <f t="shared" si="6"/>
        <v>-3.2671017771719248E-2</v>
      </c>
    </row>
    <row r="38" spans="1:11">
      <c r="A38" s="26">
        <v>36377</v>
      </c>
      <c r="B38" s="325">
        <v>23.25</v>
      </c>
      <c r="C38" s="325">
        <v>22</v>
      </c>
      <c r="D38" s="326">
        <v>97011</v>
      </c>
      <c r="E38" s="325">
        <f t="shared" si="0"/>
        <v>45.25</v>
      </c>
      <c r="F38" s="325">
        <f t="shared" si="1"/>
        <v>22.625</v>
      </c>
      <c r="G38" s="325">
        <f t="shared" si="3"/>
        <v>-0.4375</v>
      </c>
      <c r="H38" s="325">
        <f t="shared" si="2"/>
        <v>1.25</v>
      </c>
      <c r="I38" s="325">
        <f t="shared" si="4"/>
        <v>7.7608800000000002</v>
      </c>
      <c r="J38" s="325">
        <f t="shared" si="5"/>
        <v>-5.637247322468586E-2</v>
      </c>
      <c r="K38" s="325">
        <f t="shared" si="6"/>
        <v>-3.5556644433924915E-2</v>
      </c>
    </row>
    <row r="39" spans="1:11">
      <c r="A39" s="26">
        <v>36378</v>
      </c>
      <c r="B39" s="325">
        <v>23.6875</v>
      </c>
      <c r="C39" s="325">
        <v>22.5625</v>
      </c>
      <c r="D39" s="326">
        <v>93164</v>
      </c>
      <c r="E39" s="325">
        <f t="shared" si="0"/>
        <v>46.25</v>
      </c>
      <c r="F39" s="325">
        <f t="shared" si="1"/>
        <v>23.125</v>
      </c>
      <c r="G39" s="325">
        <f t="shared" si="3"/>
        <v>0.5</v>
      </c>
      <c r="H39" s="325">
        <f t="shared" si="2"/>
        <v>1.125</v>
      </c>
      <c r="I39" s="325">
        <f t="shared" si="4"/>
        <v>8.2812444444444449</v>
      </c>
      <c r="J39" s="325">
        <f t="shared" si="5"/>
        <v>6.0377398995320075E-2</v>
      </c>
      <c r="K39" s="325">
        <f t="shared" si="6"/>
        <v>-2.4973053084915632E-2</v>
      </c>
    </row>
    <row r="40" spans="1:11">
      <c r="A40" s="27">
        <v>36381</v>
      </c>
      <c r="B40" s="320">
        <v>23.1875</v>
      </c>
      <c r="C40" s="320">
        <v>22.625</v>
      </c>
      <c r="D40" s="321">
        <v>64586</v>
      </c>
      <c r="E40" s="320">
        <f t="shared" si="0"/>
        <v>45.8125</v>
      </c>
      <c r="F40" s="320">
        <f t="shared" si="1"/>
        <v>22.90625</v>
      </c>
      <c r="G40" s="320">
        <f t="shared" si="3"/>
        <v>-0.21875</v>
      </c>
      <c r="H40" s="320">
        <f t="shared" si="2"/>
        <v>0.5625</v>
      </c>
      <c r="I40" s="320">
        <f t="shared" si="4"/>
        <v>11.481955555555555</v>
      </c>
      <c r="J40" s="320">
        <f t="shared" si="5"/>
        <v>-1.9051632706778562E-2</v>
      </c>
      <c r="K40" s="320">
        <f t="shared" si="6"/>
        <v>-2.1532726473003659E-2</v>
      </c>
    </row>
    <row r="41" spans="1:11">
      <c r="A41" s="27">
        <v>36382</v>
      </c>
      <c r="B41" s="320">
        <v>22.8125</v>
      </c>
      <c r="C41" s="320">
        <v>22</v>
      </c>
      <c r="D41" s="321">
        <v>96006</v>
      </c>
      <c r="E41" s="320">
        <f t="shared" si="0"/>
        <v>44.8125</v>
      </c>
      <c r="F41" s="320">
        <f t="shared" si="1"/>
        <v>22.40625</v>
      </c>
      <c r="G41" s="320">
        <f t="shared" si="3"/>
        <v>-0.5</v>
      </c>
      <c r="H41" s="320">
        <f t="shared" si="2"/>
        <v>0.8125</v>
      </c>
      <c r="I41" s="320">
        <f t="shared" si="4"/>
        <v>11.816123076923077</v>
      </c>
      <c r="J41" s="320">
        <f t="shared" si="5"/>
        <v>-4.2315063641855714E-2</v>
      </c>
      <c r="K41" s="320">
        <f t="shared" si="6"/>
        <v>-2.578086220256836E-2</v>
      </c>
    </row>
    <row r="42" spans="1:11">
      <c r="A42" s="26">
        <v>36383</v>
      </c>
      <c r="B42" s="325">
        <v>23</v>
      </c>
      <c r="C42" s="325">
        <v>22.3125</v>
      </c>
      <c r="D42" s="326">
        <v>68828</v>
      </c>
      <c r="E42" s="325">
        <f t="shared" si="0"/>
        <v>45.3125</v>
      </c>
      <c r="F42" s="325">
        <f t="shared" si="1"/>
        <v>22.65625</v>
      </c>
      <c r="G42" s="325">
        <f t="shared" si="3"/>
        <v>0.25</v>
      </c>
      <c r="H42" s="325">
        <f t="shared" si="2"/>
        <v>0.6875</v>
      </c>
      <c r="I42" s="325">
        <f t="shared" si="4"/>
        <v>10.011345454545454</v>
      </c>
      <c r="J42" s="325">
        <f t="shared" si="5"/>
        <v>2.4971668507002966E-2</v>
      </c>
      <c r="K42" s="325">
        <f t="shared" si="6"/>
        <v>-2.0208634596578103E-2</v>
      </c>
    </row>
    <row r="43" spans="1:11">
      <c r="A43" s="26">
        <v>36384</v>
      </c>
      <c r="B43" s="325">
        <v>23.625</v>
      </c>
      <c r="C43" s="325">
        <v>22.6875</v>
      </c>
      <c r="D43" s="326">
        <v>97373</v>
      </c>
      <c r="E43" s="325">
        <f t="shared" si="0"/>
        <v>46.3125</v>
      </c>
      <c r="F43" s="325">
        <f t="shared" si="1"/>
        <v>23.15625</v>
      </c>
      <c r="G43" s="325">
        <f t="shared" si="3"/>
        <v>0.5</v>
      </c>
      <c r="H43" s="325">
        <f t="shared" si="2"/>
        <v>0.9375</v>
      </c>
      <c r="I43" s="325">
        <f t="shared" si="4"/>
        <v>10.386453333333332</v>
      </c>
      <c r="J43" s="325">
        <f t="shared" si="5"/>
        <v>4.8139628028303537E-2</v>
      </c>
      <c r="K43" s="325">
        <f t="shared" si="6"/>
        <v>-1.4057347622713696E-2</v>
      </c>
    </row>
    <row r="45" spans="1:11" ht="15">
      <c r="A45" s="241" t="s">
        <v>1141</v>
      </c>
    </row>
    <row r="46" spans="1:11" ht="15">
      <c r="A46" s="241" t="s">
        <v>1142</v>
      </c>
    </row>
    <row r="47" spans="1:11" ht="16.5" customHeight="1">
      <c r="A47" s="241" t="s">
        <v>552</v>
      </c>
    </row>
    <row r="48" spans="1:11" ht="15">
      <c r="A48" s="241" t="s">
        <v>553</v>
      </c>
    </row>
    <row r="49" spans="1:1" ht="15">
      <c r="A49" s="241" t="s">
        <v>554</v>
      </c>
    </row>
    <row r="50" spans="1:1" ht="15">
      <c r="A50" s="241" t="s">
        <v>555</v>
      </c>
    </row>
    <row r="51" spans="1:1" ht="15">
      <c r="A51" s="241" t="s">
        <v>119</v>
      </c>
    </row>
  </sheetData>
  <mergeCells count="1">
    <mergeCell ref="B5:K5"/>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5853" r:id="rId3" name="Button 1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35854" r:id="rId4" name="Button 1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35855" r:id="rId5" name="Button 1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35856" r:id="rId6" name="Button 1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enableFormatConditionsCalculation="0"/>
  <dimension ref="A1:N130"/>
  <sheetViews>
    <sheetView workbookViewId="0"/>
  </sheetViews>
  <sheetFormatPr baseColWidth="10" defaultColWidth="8.83203125" defaultRowHeight="12" x14ac:dyDescent="0"/>
  <cols>
    <col min="1" max="1" width="11.5" customWidth="1"/>
    <col min="3" max="3" width="12" customWidth="1"/>
    <col min="4" max="4" width="12.6640625" customWidth="1"/>
    <col min="5" max="5" width="12"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466</v>
      </c>
      <c r="C3" s="21"/>
      <c r="D3" s="21"/>
      <c r="E3" s="21"/>
      <c r="F3" s="21"/>
      <c r="G3" s="21"/>
      <c r="H3" s="21"/>
      <c r="I3" s="21"/>
      <c r="J3" s="21"/>
    </row>
    <row r="4" spans="1:14">
      <c r="A4" s="19" t="s">
        <v>774</v>
      </c>
      <c r="B4" s="20" t="s">
        <v>465</v>
      </c>
      <c r="C4" s="21"/>
      <c r="D4" s="21"/>
      <c r="E4" s="21"/>
      <c r="F4" s="21"/>
      <c r="G4" s="21"/>
      <c r="H4" s="21"/>
      <c r="I4" s="21"/>
      <c r="J4" s="21"/>
    </row>
    <row r="5" spans="1:14" ht="32.25" customHeight="1">
      <c r="A5" s="118" t="s">
        <v>779</v>
      </c>
      <c r="B5" s="446" t="s">
        <v>562</v>
      </c>
      <c r="C5" s="446"/>
      <c r="D5" s="446"/>
      <c r="E5" s="446"/>
      <c r="F5" s="446"/>
      <c r="G5" s="446"/>
      <c r="H5" s="446"/>
      <c r="I5" s="446"/>
      <c r="J5" s="446"/>
    </row>
    <row r="6" spans="1:14">
      <c r="A6" s="19" t="s">
        <v>635</v>
      </c>
      <c r="B6" s="20" t="s">
        <v>464</v>
      </c>
      <c r="C6" s="21"/>
      <c r="D6" s="81"/>
      <c r="E6" s="176"/>
      <c r="F6" s="21"/>
      <c r="G6" s="21"/>
      <c r="H6" s="21"/>
      <c r="I6" s="21"/>
      <c r="J6" s="21"/>
    </row>
    <row r="7" spans="1:14" ht="51.75" customHeight="1">
      <c r="A7" s="22" t="s">
        <v>1090</v>
      </c>
      <c r="B7" s="22" t="s">
        <v>1098</v>
      </c>
      <c r="C7" s="31" t="s">
        <v>561</v>
      </c>
      <c r="D7" s="31" t="s">
        <v>563</v>
      </c>
      <c r="E7" s="31" t="s">
        <v>564</v>
      </c>
      <c r="F7" s="22"/>
      <c r="G7" s="22"/>
      <c r="H7" s="22"/>
      <c r="I7" s="22"/>
      <c r="J7" s="22"/>
    </row>
    <row r="8" spans="1:14">
      <c r="A8" s="26">
        <v>33557</v>
      </c>
      <c r="B8" s="52">
        <v>18.593800000000002</v>
      </c>
      <c r="C8" s="75"/>
      <c r="D8" s="52"/>
      <c r="E8" s="52"/>
      <c r="F8" s="28"/>
      <c r="G8" s="28"/>
      <c r="H8" s="28"/>
      <c r="I8" s="28"/>
      <c r="J8" s="54"/>
      <c r="K8" s="2"/>
    </row>
    <row r="9" spans="1:14">
      <c r="A9" s="26">
        <v>33564</v>
      </c>
      <c r="B9" s="52">
        <v>18.656199999999998</v>
      </c>
      <c r="C9" s="75"/>
      <c r="D9" s="52"/>
      <c r="E9" s="52"/>
      <c r="F9" s="28"/>
      <c r="G9" s="28"/>
      <c r="H9" s="28"/>
      <c r="I9" s="28"/>
      <c r="J9" s="54"/>
      <c r="K9" s="2"/>
    </row>
    <row r="10" spans="1:14">
      <c r="A10" s="27">
        <v>33571</v>
      </c>
      <c r="B10" s="55">
        <v>18.5625</v>
      </c>
      <c r="C10" s="76"/>
      <c r="D10" s="55"/>
      <c r="E10" s="55"/>
      <c r="F10" s="29"/>
      <c r="G10" s="29"/>
      <c r="H10" s="29"/>
      <c r="I10" s="29"/>
      <c r="J10" s="57"/>
      <c r="K10" s="2"/>
    </row>
    <row r="11" spans="1:14">
      <c r="A11" s="27">
        <v>33578</v>
      </c>
      <c r="B11" s="55">
        <v>19.5625</v>
      </c>
      <c r="C11" s="76"/>
      <c r="D11" s="55"/>
      <c r="E11" s="55"/>
      <c r="F11" s="29"/>
      <c r="G11" s="29"/>
      <c r="H11" s="29"/>
      <c r="I11" s="29"/>
      <c r="J11" s="57"/>
      <c r="K11" s="2"/>
    </row>
    <row r="12" spans="1:14">
      <c r="A12" s="26">
        <v>33585</v>
      </c>
      <c r="B12" s="52">
        <v>19.1875</v>
      </c>
      <c r="C12" s="52">
        <f>SUM(B8:B12)/5</f>
        <v>18.912500000000001</v>
      </c>
      <c r="D12" s="52">
        <f>C12*(1.03)</f>
        <v>19.479875000000003</v>
      </c>
      <c r="E12" s="52">
        <f>C12*(0.97)</f>
        <v>18.345124999999999</v>
      </c>
      <c r="F12" s="28"/>
      <c r="G12" s="28"/>
      <c r="H12" s="28"/>
      <c r="I12" s="28"/>
      <c r="J12" s="54"/>
      <c r="K12" s="2"/>
    </row>
    <row r="13" spans="1:14">
      <c r="A13" s="26">
        <v>33592</v>
      </c>
      <c r="B13" s="52">
        <v>19.968800000000002</v>
      </c>
      <c r="C13" s="52">
        <f t="shared" ref="C13:C63" si="0">SUM(B9:B13)/5</f>
        <v>19.1875</v>
      </c>
      <c r="D13" s="52">
        <f t="shared" ref="D13:D63" si="1">C13*(1.03)</f>
        <v>19.763125000000002</v>
      </c>
      <c r="E13" s="52">
        <f t="shared" ref="E13:E63" si="2">C13*(0.97)</f>
        <v>18.611874999999998</v>
      </c>
      <c r="F13" s="28"/>
      <c r="G13" s="28"/>
      <c r="H13" s="28"/>
      <c r="I13" s="28"/>
      <c r="J13" s="54"/>
      <c r="K13" s="2"/>
    </row>
    <row r="14" spans="1:14">
      <c r="A14" s="27">
        <v>33599</v>
      </c>
      <c r="B14" s="55">
        <v>21.406199999999998</v>
      </c>
      <c r="C14" s="55">
        <f t="shared" si="0"/>
        <v>19.737500000000001</v>
      </c>
      <c r="D14" s="55">
        <f t="shared" si="1"/>
        <v>20.329625</v>
      </c>
      <c r="E14" s="55">
        <f t="shared" si="2"/>
        <v>19.145375000000001</v>
      </c>
      <c r="F14" s="29"/>
      <c r="G14" s="29"/>
      <c r="H14" s="29"/>
      <c r="I14" s="29"/>
      <c r="J14" s="57"/>
      <c r="K14" s="2"/>
    </row>
    <row r="15" spans="1:14">
      <c r="A15" s="27">
        <v>33606</v>
      </c>
      <c r="B15" s="55">
        <v>20.781199999999998</v>
      </c>
      <c r="C15" s="55">
        <f t="shared" si="0"/>
        <v>20.181239999999999</v>
      </c>
      <c r="D15" s="55">
        <f t="shared" si="1"/>
        <v>20.7866772</v>
      </c>
      <c r="E15" s="55">
        <f t="shared" si="2"/>
        <v>19.575802799999998</v>
      </c>
      <c r="F15" s="29"/>
      <c r="G15" s="29"/>
      <c r="H15" s="29"/>
      <c r="I15" s="29"/>
      <c r="J15" s="57"/>
      <c r="K15" s="2"/>
    </row>
    <row r="16" spans="1:14">
      <c r="A16" s="26">
        <v>33613</v>
      </c>
      <c r="B16" s="52">
        <v>20.8125</v>
      </c>
      <c r="C16" s="52">
        <f t="shared" si="0"/>
        <v>20.431239999999999</v>
      </c>
      <c r="D16" s="52">
        <f t="shared" si="1"/>
        <v>21.0441772</v>
      </c>
      <c r="E16" s="52">
        <f t="shared" si="2"/>
        <v>19.818302799999998</v>
      </c>
      <c r="F16" s="28"/>
      <c r="G16" s="28"/>
      <c r="H16" s="28"/>
      <c r="I16" s="28"/>
      <c r="J16" s="54"/>
      <c r="K16" s="2"/>
    </row>
    <row r="17" spans="1:11">
      <c r="A17" s="26">
        <v>33620</v>
      </c>
      <c r="B17" s="52">
        <v>19.8125</v>
      </c>
      <c r="C17" s="52">
        <f t="shared" si="0"/>
        <v>20.556239999999999</v>
      </c>
      <c r="D17" s="52">
        <f t="shared" si="1"/>
        <v>21.1729272</v>
      </c>
      <c r="E17" s="52">
        <f t="shared" si="2"/>
        <v>19.939552799999998</v>
      </c>
      <c r="F17" s="28"/>
      <c r="G17" s="28"/>
      <c r="H17" s="28"/>
      <c r="I17" s="28"/>
      <c r="J17" s="54"/>
      <c r="K17" s="2"/>
    </row>
    <row r="18" spans="1:11">
      <c r="A18" s="27">
        <v>33627</v>
      </c>
      <c r="B18" s="55">
        <v>20.093800000000002</v>
      </c>
      <c r="C18" s="55">
        <f t="shared" si="0"/>
        <v>20.581240000000001</v>
      </c>
      <c r="D18" s="55">
        <f t="shared" si="1"/>
        <v>21.198677200000002</v>
      </c>
      <c r="E18" s="55">
        <f t="shared" si="2"/>
        <v>19.9638028</v>
      </c>
      <c r="F18" s="29"/>
      <c r="G18" s="29"/>
      <c r="H18" s="29"/>
      <c r="I18" s="29"/>
      <c r="J18" s="57"/>
      <c r="K18" s="2"/>
    </row>
    <row r="19" spans="1:11">
      <c r="A19" s="27">
        <v>33634</v>
      </c>
      <c r="B19" s="55">
        <v>19.531199999999998</v>
      </c>
      <c r="C19" s="55">
        <f t="shared" si="0"/>
        <v>20.206240000000001</v>
      </c>
      <c r="D19" s="55">
        <f t="shared" si="1"/>
        <v>20.812427200000002</v>
      </c>
      <c r="E19" s="55">
        <f t="shared" si="2"/>
        <v>19.6000528</v>
      </c>
      <c r="F19" s="29"/>
      <c r="G19" s="29"/>
      <c r="H19" s="29"/>
      <c r="I19" s="29"/>
      <c r="J19" s="57"/>
      <c r="K19" s="2"/>
    </row>
    <row r="20" spans="1:11">
      <c r="A20" s="26">
        <v>33641</v>
      </c>
      <c r="B20" s="52">
        <v>19.875</v>
      </c>
      <c r="C20" s="52">
        <f t="shared" si="0"/>
        <v>20.024999999999999</v>
      </c>
      <c r="D20" s="52">
        <f t="shared" si="1"/>
        <v>20.62575</v>
      </c>
      <c r="E20" s="52">
        <f t="shared" si="2"/>
        <v>19.424249999999997</v>
      </c>
      <c r="F20" s="28"/>
      <c r="G20" s="28"/>
      <c r="H20" s="28"/>
      <c r="I20" s="28"/>
      <c r="J20" s="54"/>
      <c r="K20" s="2"/>
    </row>
    <row r="21" spans="1:11">
      <c r="A21" s="26">
        <v>33648</v>
      </c>
      <c r="B21" s="52">
        <v>18.968800000000002</v>
      </c>
      <c r="C21" s="52">
        <f t="shared" si="0"/>
        <v>19.65626</v>
      </c>
      <c r="D21" s="52">
        <f t="shared" si="1"/>
        <v>20.2459478</v>
      </c>
      <c r="E21" s="52">
        <f t="shared" si="2"/>
        <v>19.0665722</v>
      </c>
      <c r="F21" s="28"/>
      <c r="G21" s="28"/>
      <c r="H21" s="28"/>
      <c r="I21" s="28"/>
      <c r="J21" s="54"/>
      <c r="K21" s="2"/>
    </row>
    <row r="22" spans="1:11">
      <c r="A22" s="27">
        <v>33655</v>
      </c>
      <c r="B22" s="55">
        <v>18.843800000000002</v>
      </c>
      <c r="C22" s="55">
        <f t="shared" si="0"/>
        <v>19.462520000000001</v>
      </c>
      <c r="D22" s="55">
        <f t="shared" si="1"/>
        <v>20.0463956</v>
      </c>
      <c r="E22" s="55">
        <f t="shared" si="2"/>
        <v>18.878644400000002</v>
      </c>
      <c r="F22" s="29"/>
      <c r="G22" s="29"/>
      <c r="H22" s="29"/>
      <c r="I22" s="29"/>
      <c r="J22" s="57"/>
      <c r="K22" s="2"/>
    </row>
    <row r="23" spans="1:11">
      <c r="A23" s="27">
        <v>33662</v>
      </c>
      <c r="B23" s="55">
        <v>19.75</v>
      </c>
      <c r="C23" s="55">
        <f t="shared" si="0"/>
        <v>19.39376</v>
      </c>
      <c r="D23" s="55">
        <f t="shared" si="1"/>
        <v>19.975572800000002</v>
      </c>
      <c r="E23" s="55">
        <f t="shared" si="2"/>
        <v>18.811947199999999</v>
      </c>
      <c r="F23" s="29"/>
      <c r="G23" s="29"/>
      <c r="H23" s="29"/>
      <c r="I23" s="29"/>
      <c r="J23" s="57"/>
      <c r="K23" s="2"/>
    </row>
    <row r="24" spans="1:11">
      <c r="A24" s="26">
        <v>33669</v>
      </c>
      <c r="B24" s="52">
        <v>18.875</v>
      </c>
      <c r="C24" s="52">
        <f t="shared" si="0"/>
        <v>19.262520000000002</v>
      </c>
      <c r="D24" s="52">
        <f t="shared" si="1"/>
        <v>19.840395600000004</v>
      </c>
      <c r="E24" s="52">
        <f t="shared" si="2"/>
        <v>18.6846444</v>
      </c>
      <c r="F24" s="28"/>
      <c r="G24" s="28"/>
      <c r="H24" s="28"/>
      <c r="I24" s="28"/>
      <c r="J24" s="54"/>
      <c r="K24" s="2"/>
    </row>
    <row r="25" spans="1:11">
      <c r="A25" s="26">
        <v>33676</v>
      </c>
      <c r="B25" s="52">
        <v>18.875</v>
      </c>
      <c r="C25" s="52">
        <f t="shared" si="0"/>
        <v>19.062519999999999</v>
      </c>
      <c r="D25" s="52">
        <f t="shared" si="1"/>
        <v>19.634395600000001</v>
      </c>
      <c r="E25" s="52">
        <f t="shared" si="2"/>
        <v>18.490644399999997</v>
      </c>
      <c r="F25" s="28"/>
      <c r="G25" s="28"/>
      <c r="H25" s="28"/>
      <c r="I25" s="28"/>
      <c r="J25" s="54"/>
      <c r="K25" s="2"/>
    </row>
    <row r="26" spans="1:11">
      <c r="A26" s="27">
        <v>33683</v>
      </c>
      <c r="B26" s="55">
        <v>19</v>
      </c>
      <c r="C26" s="55">
        <f t="shared" si="0"/>
        <v>19.068760000000001</v>
      </c>
      <c r="D26" s="55">
        <f t="shared" si="1"/>
        <v>19.640822800000002</v>
      </c>
      <c r="E26" s="55">
        <f t="shared" si="2"/>
        <v>18.4966972</v>
      </c>
      <c r="F26" s="29"/>
      <c r="G26" s="29"/>
      <c r="H26" s="29"/>
      <c r="I26" s="29"/>
      <c r="J26" s="57"/>
      <c r="K26" s="2"/>
    </row>
    <row r="27" spans="1:11">
      <c r="A27" s="27">
        <v>33690</v>
      </c>
      <c r="B27" s="55">
        <v>18.968800000000002</v>
      </c>
      <c r="C27" s="55">
        <f t="shared" si="0"/>
        <v>19.09376</v>
      </c>
      <c r="D27" s="55">
        <f t="shared" si="1"/>
        <v>19.666572800000001</v>
      </c>
      <c r="E27" s="55">
        <f t="shared" si="2"/>
        <v>18.520947199999998</v>
      </c>
      <c r="F27" s="29"/>
      <c r="G27" s="29"/>
      <c r="H27" s="29"/>
      <c r="I27" s="29"/>
      <c r="J27" s="57"/>
      <c r="K27" s="2"/>
    </row>
    <row r="28" spans="1:11">
      <c r="A28" s="26">
        <v>33697</v>
      </c>
      <c r="B28" s="52">
        <v>19.3125</v>
      </c>
      <c r="C28" s="52">
        <f t="shared" si="0"/>
        <v>19.006260000000001</v>
      </c>
      <c r="D28" s="52">
        <f t="shared" si="1"/>
        <v>19.5764478</v>
      </c>
      <c r="E28" s="52">
        <f t="shared" si="2"/>
        <v>18.436072200000002</v>
      </c>
      <c r="F28" s="28"/>
      <c r="G28" s="28"/>
      <c r="H28" s="28"/>
      <c r="I28" s="28"/>
      <c r="J28" s="54"/>
      <c r="K28" s="2"/>
    </row>
    <row r="29" spans="1:11">
      <c r="A29" s="26">
        <v>33704</v>
      </c>
      <c r="B29" s="52">
        <v>19.218800000000002</v>
      </c>
      <c r="C29" s="52">
        <f t="shared" si="0"/>
        <v>19.075020000000002</v>
      </c>
      <c r="D29" s="52">
        <f t="shared" si="1"/>
        <v>19.647270600000002</v>
      </c>
      <c r="E29" s="52">
        <f t="shared" si="2"/>
        <v>18.502769400000002</v>
      </c>
      <c r="F29" s="28"/>
      <c r="G29" s="28"/>
      <c r="H29" s="28"/>
      <c r="I29" s="28"/>
      <c r="J29" s="54"/>
      <c r="K29" s="2"/>
    </row>
    <row r="30" spans="1:11">
      <c r="A30" s="27">
        <v>33710</v>
      </c>
      <c r="B30" s="55">
        <v>19.5625</v>
      </c>
      <c r="C30" s="55">
        <f t="shared" si="0"/>
        <v>19.212520000000001</v>
      </c>
      <c r="D30" s="55">
        <f t="shared" si="1"/>
        <v>19.788895600000004</v>
      </c>
      <c r="E30" s="55">
        <f t="shared" si="2"/>
        <v>18.636144399999999</v>
      </c>
      <c r="F30" s="29"/>
      <c r="G30" s="29"/>
      <c r="H30" s="29"/>
      <c r="I30" s="29"/>
      <c r="J30" s="57"/>
      <c r="K30" s="2"/>
    </row>
    <row r="31" spans="1:11">
      <c r="A31" s="27">
        <v>33718</v>
      </c>
      <c r="B31" s="55">
        <v>19.0625</v>
      </c>
      <c r="C31" s="55">
        <f t="shared" si="0"/>
        <v>19.225020000000001</v>
      </c>
      <c r="D31" s="55">
        <f t="shared" si="1"/>
        <v>19.801770600000001</v>
      </c>
      <c r="E31" s="55">
        <f t="shared" si="2"/>
        <v>18.6482694</v>
      </c>
      <c r="F31" s="29"/>
      <c r="G31" s="29"/>
      <c r="H31" s="29"/>
      <c r="I31" s="29"/>
      <c r="J31" s="57"/>
      <c r="K31" s="2"/>
    </row>
    <row r="32" spans="1:11">
      <c r="A32" s="26">
        <v>33725</v>
      </c>
      <c r="B32" s="52">
        <v>19.5625</v>
      </c>
      <c r="C32" s="52">
        <f t="shared" si="0"/>
        <v>19.34376</v>
      </c>
      <c r="D32" s="52">
        <f t="shared" si="1"/>
        <v>19.924072800000001</v>
      </c>
      <c r="E32" s="52">
        <f t="shared" si="2"/>
        <v>18.763447199999998</v>
      </c>
      <c r="F32" s="28"/>
      <c r="G32" s="28"/>
      <c r="H32" s="28"/>
      <c r="I32" s="28"/>
      <c r="J32" s="54"/>
      <c r="K32" s="2"/>
    </row>
    <row r="33" spans="1:11">
      <c r="A33" s="26">
        <v>33732</v>
      </c>
      <c r="B33" s="52">
        <v>19.125</v>
      </c>
      <c r="C33" s="52">
        <f t="shared" si="0"/>
        <v>19.306260000000002</v>
      </c>
      <c r="D33" s="52">
        <f t="shared" si="1"/>
        <v>19.885447800000001</v>
      </c>
      <c r="E33" s="52">
        <f t="shared" si="2"/>
        <v>18.727072200000002</v>
      </c>
      <c r="F33" s="28"/>
      <c r="G33" s="28"/>
      <c r="H33" s="28"/>
      <c r="I33" s="28"/>
      <c r="J33" s="54"/>
      <c r="K33" s="2"/>
    </row>
    <row r="34" spans="1:11">
      <c r="A34" s="27">
        <v>33739</v>
      </c>
      <c r="B34" s="55">
        <v>18.906199999999998</v>
      </c>
      <c r="C34" s="55">
        <f t="shared" si="0"/>
        <v>19.243739999999999</v>
      </c>
      <c r="D34" s="55">
        <f t="shared" si="1"/>
        <v>19.8210522</v>
      </c>
      <c r="E34" s="55">
        <f t="shared" si="2"/>
        <v>18.666427799999997</v>
      </c>
      <c r="F34" s="29"/>
      <c r="G34" s="29"/>
      <c r="H34" s="29"/>
      <c r="I34" s="29"/>
      <c r="J34" s="57"/>
      <c r="K34" s="2"/>
    </row>
    <row r="35" spans="1:11">
      <c r="A35" s="27">
        <v>33746</v>
      </c>
      <c r="B35" s="55">
        <v>18.875</v>
      </c>
      <c r="C35" s="55">
        <f t="shared" si="0"/>
        <v>19.10624</v>
      </c>
      <c r="D35" s="55">
        <f t="shared" si="1"/>
        <v>19.679427199999999</v>
      </c>
      <c r="E35" s="55">
        <f t="shared" si="2"/>
        <v>18.5330528</v>
      </c>
      <c r="F35" s="29"/>
      <c r="G35" s="29"/>
      <c r="H35" s="29"/>
      <c r="I35" s="29"/>
      <c r="J35" s="57"/>
      <c r="K35" s="2"/>
    </row>
    <row r="36" spans="1:11">
      <c r="A36" s="26">
        <v>33753</v>
      </c>
      <c r="B36" s="52">
        <v>18.781199999999998</v>
      </c>
      <c r="C36" s="52">
        <f t="shared" si="0"/>
        <v>19.049979999999998</v>
      </c>
      <c r="D36" s="52">
        <f t="shared" si="1"/>
        <v>19.621479399999998</v>
      </c>
      <c r="E36" s="52">
        <f t="shared" si="2"/>
        <v>18.478480599999997</v>
      </c>
      <c r="F36" s="28"/>
      <c r="G36" s="28"/>
      <c r="H36" s="28"/>
      <c r="I36" s="28"/>
      <c r="J36" s="54"/>
      <c r="K36" s="2"/>
    </row>
    <row r="37" spans="1:11">
      <c r="A37" s="26">
        <v>33760</v>
      </c>
      <c r="B37" s="52">
        <v>17.875</v>
      </c>
      <c r="C37" s="52">
        <f t="shared" si="0"/>
        <v>18.712479999999999</v>
      </c>
      <c r="D37" s="52">
        <f t="shared" si="1"/>
        <v>19.273854400000001</v>
      </c>
      <c r="E37" s="52">
        <f t="shared" si="2"/>
        <v>18.151105599999998</v>
      </c>
      <c r="F37" s="28"/>
      <c r="G37" s="28"/>
      <c r="H37" s="28"/>
      <c r="I37" s="28"/>
      <c r="J37" s="54"/>
      <c r="K37" s="2"/>
    </row>
    <row r="38" spans="1:11">
      <c r="A38" s="27">
        <v>33767</v>
      </c>
      <c r="B38" s="55">
        <v>17.468800000000002</v>
      </c>
      <c r="C38" s="55">
        <f t="shared" si="0"/>
        <v>18.381239999999998</v>
      </c>
      <c r="D38" s="55">
        <f t="shared" si="1"/>
        <v>18.932677199999997</v>
      </c>
      <c r="E38" s="55">
        <f t="shared" si="2"/>
        <v>17.8298028</v>
      </c>
      <c r="F38" s="29"/>
      <c r="G38" s="29"/>
      <c r="H38" s="29"/>
      <c r="I38" s="29"/>
      <c r="J38" s="57"/>
      <c r="K38" s="2"/>
    </row>
    <row r="39" spans="1:11">
      <c r="A39" s="27">
        <v>33774</v>
      </c>
      <c r="B39" s="55">
        <v>17.375</v>
      </c>
      <c r="C39" s="55">
        <f t="shared" si="0"/>
        <v>18.074999999999999</v>
      </c>
      <c r="D39" s="55">
        <f t="shared" si="1"/>
        <v>18.617249999999999</v>
      </c>
      <c r="E39" s="55">
        <f t="shared" si="2"/>
        <v>17.53275</v>
      </c>
      <c r="F39" s="29"/>
      <c r="G39" s="29"/>
      <c r="H39" s="29"/>
      <c r="I39" s="29"/>
      <c r="J39" s="57"/>
      <c r="K39" s="2"/>
    </row>
    <row r="40" spans="1:11">
      <c r="A40" s="26">
        <v>33781</v>
      </c>
      <c r="B40" s="52">
        <v>17.593800000000002</v>
      </c>
      <c r="C40" s="52">
        <f t="shared" si="0"/>
        <v>17.818760000000001</v>
      </c>
      <c r="D40" s="52">
        <f t="shared" si="1"/>
        <v>18.353322800000001</v>
      </c>
      <c r="E40" s="52">
        <f t="shared" si="2"/>
        <v>17.284197200000001</v>
      </c>
      <c r="F40" s="28"/>
      <c r="G40" s="28"/>
      <c r="H40" s="28"/>
      <c r="I40" s="28"/>
      <c r="J40" s="54"/>
      <c r="K40" s="2"/>
    </row>
    <row r="41" spans="1:11">
      <c r="A41" s="26">
        <v>33787</v>
      </c>
      <c r="B41" s="52">
        <v>18.375</v>
      </c>
      <c r="C41" s="52">
        <f t="shared" si="0"/>
        <v>17.73752</v>
      </c>
      <c r="D41" s="52">
        <f t="shared" si="1"/>
        <v>18.2696456</v>
      </c>
      <c r="E41" s="52">
        <f t="shared" si="2"/>
        <v>17.205394399999999</v>
      </c>
      <c r="F41" s="28"/>
      <c r="G41" s="28"/>
      <c r="H41" s="28"/>
      <c r="I41" s="28"/>
      <c r="J41" s="54"/>
      <c r="K41" s="2"/>
    </row>
    <row r="42" spans="1:11">
      <c r="A42" s="27">
        <v>33795</v>
      </c>
      <c r="B42" s="55">
        <v>18.8125</v>
      </c>
      <c r="C42" s="55">
        <f t="shared" si="0"/>
        <v>17.92502</v>
      </c>
      <c r="D42" s="55">
        <f t="shared" si="1"/>
        <v>18.462770599999999</v>
      </c>
      <c r="E42" s="55">
        <f t="shared" si="2"/>
        <v>17.387269400000001</v>
      </c>
      <c r="F42" s="29"/>
      <c r="G42" s="29"/>
      <c r="H42" s="29"/>
      <c r="I42" s="29"/>
      <c r="J42" s="57"/>
      <c r="K42" s="2"/>
    </row>
    <row r="43" spans="1:11">
      <c r="A43" s="27">
        <v>33802</v>
      </c>
      <c r="B43" s="55">
        <v>18.156199999999998</v>
      </c>
      <c r="C43" s="55">
        <f t="shared" si="0"/>
        <v>18.0625</v>
      </c>
      <c r="D43" s="55">
        <f t="shared" si="1"/>
        <v>18.604375000000001</v>
      </c>
      <c r="E43" s="55">
        <f t="shared" si="2"/>
        <v>17.520624999999999</v>
      </c>
      <c r="F43" s="29"/>
      <c r="G43" s="29"/>
      <c r="H43" s="29"/>
      <c r="I43" s="29"/>
      <c r="J43" s="57"/>
      <c r="K43" s="2"/>
    </row>
    <row r="44" spans="1:11">
      <c r="A44" s="26">
        <v>33809</v>
      </c>
      <c r="B44" s="52">
        <v>18</v>
      </c>
      <c r="C44" s="52">
        <f t="shared" si="0"/>
        <v>18.1875</v>
      </c>
      <c r="D44" s="52">
        <f t="shared" si="1"/>
        <v>18.733125000000001</v>
      </c>
      <c r="E44" s="52">
        <f t="shared" si="2"/>
        <v>17.641874999999999</v>
      </c>
      <c r="F44" s="28"/>
      <c r="G44" s="28"/>
      <c r="H44" s="28"/>
      <c r="I44" s="28"/>
      <c r="J44" s="54"/>
      <c r="K44" s="2"/>
    </row>
    <row r="45" spans="1:11">
      <c r="A45" s="26">
        <v>33816</v>
      </c>
      <c r="B45" s="52">
        <v>18.718800000000002</v>
      </c>
      <c r="C45" s="52">
        <f t="shared" si="0"/>
        <v>18.412500000000001</v>
      </c>
      <c r="D45" s="52">
        <f t="shared" si="1"/>
        <v>18.964875000000003</v>
      </c>
      <c r="E45" s="52">
        <f t="shared" si="2"/>
        <v>17.860125</v>
      </c>
      <c r="F45" s="28"/>
      <c r="G45" s="28"/>
      <c r="H45" s="28"/>
      <c r="I45" s="28"/>
      <c r="J45" s="54"/>
      <c r="K45" s="2"/>
    </row>
    <row r="46" spans="1:11">
      <c r="A46" s="27">
        <v>33823</v>
      </c>
      <c r="B46" s="55">
        <v>18.968800000000002</v>
      </c>
      <c r="C46" s="55">
        <f t="shared" si="0"/>
        <v>18.53126</v>
      </c>
      <c r="D46" s="55">
        <f t="shared" si="1"/>
        <v>19.087197799999998</v>
      </c>
      <c r="E46" s="55">
        <f t="shared" si="2"/>
        <v>17.975322200000001</v>
      </c>
      <c r="F46" s="29"/>
      <c r="G46" s="29"/>
      <c r="H46" s="29"/>
      <c r="I46" s="29"/>
      <c r="J46" s="57"/>
      <c r="K46" s="2"/>
    </row>
    <row r="47" spans="1:11">
      <c r="A47" s="27">
        <v>33830</v>
      </c>
      <c r="B47" s="55">
        <v>19</v>
      </c>
      <c r="C47" s="55">
        <f t="shared" si="0"/>
        <v>18.568760000000001</v>
      </c>
      <c r="D47" s="55">
        <f t="shared" si="1"/>
        <v>19.125822800000002</v>
      </c>
      <c r="E47" s="55">
        <f t="shared" si="2"/>
        <v>18.0116972</v>
      </c>
      <c r="F47" s="29"/>
      <c r="G47" s="29"/>
      <c r="H47" s="29"/>
      <c r="I47" s="29"/>
      <c r="J47" s="57"/>
      <c r="K47" s="2"/>
    </row>
    <row r="48" spans="1:11">
      <c r="A48" s="26">
        <v>33837</v>
      </c>
      <c r="B48" s="52">
        <v>18.718800000000002</v>
      </c>
      <c r="C48" s="52">
        <f t="shared" si="0"/>
        <v>18.681280000000001</v>
      </c>
      <c r="D48" s="52">
        <f t="shared" si="1"/>
        <v>19.2417184</v>
      </c>
      <c r="E48" s="52">
        <f t="shared" si="2"/>
        <v>18.120841600000002</v>
      </c>
      <c r="F48" s="28"/>
      <c r="G48" s="28"/>
      <c r="H48" s="28"/>
      <c r="I48" s="28"/>
      <c r="J48" s="54"/>
      <c r="K48" s="2"/>
    </row>
    <row r="49" spans="1:11">
      <c r="A49" s="26">
        <v>33844</v>
      </c>
      <c r="B49" s="52">
        <v>18.3125</v>
      </c>
      <c r="C49" s="52">
        <f t="shared" si="0"/>
        <v>18.743780000000001</v>
      </c>
      <c r="D49" s="52">
        <f t="shared" si="1"/>
        <v>19.306093400000002</v>
      </c>
      <c r="E49" s="52">
        <f t="shared" si="2"/>
        <v>18.1814666</v>
      </c>
      <c r="F49" s="28"/>
      <c r="G49" s="28"/>
      <c r="H49" s="28"/>
      <c r="I49" s="28"/>
      <c r="J49" s="54"/>
      <c r="K49" s="2"/>
    </row>
    <row r="50" spans="1:11">
      <c r="A50" s="27">
        <v>33851</v>
      </c>
      <c r="B50" s="55">
        <v>18.281199999999998</v>
      </c>
      <c r="C50" s="55">
        <f t="shared" si="0"/>
        <v>18.65626</v>
      </c>
      <c r="D50" s="55">
        <f t="shared" si="1"/>
        <v>19.215947799999999</v>
      </c>
      <c r="E50" s="55">
        <f t="shared" si="2"/>
        <v>18.096572200000001</v>
      </c>
      <c r="F50" s="29"/>
      <c r="G50" s="29"/>
      <c r="H50" s="29"/>
      <c r="I50" s="29"/>
      <c r="J50" s="57"/>
      <c r="K50" s="2"/>
    </row>
    <row r="51" spans="1:11">
      <c r="A51" s="27">
        <v>33858</v>
      </c>
      <c r="B51" s="55">
        <v>18.031199999999998</v>
      </c>
      <c r="C51" s="55">
        <f t="shared" si="0"/>
        <v>18.46874</v>
      </c>
      <c r="D51" s="55">
        <f t="shared" si="1"/>
        <v>19.022802200000001</v>
      </c>
      <c r="E51" s="55">
        <f t="shared" si="2"/>
        <v>17.9146778</v>
      </c>
      <c r="F51" s="29"/>
      <c r="G51" s="29"/>
      <c r="H51" s="29"/>
      <c r="I51" s="29"/>
      <c r="J51" s="57"/>
      <c r="K51" s="2"/>
    </row>
    <row r="52" spans="1:11">
      <c r="A52" s="26">
        <v>33865</v>
      </c>
      <c r="B52" s="52">
        <v>17.593800000000002</v>
      </c>
      <c r="C52" s="52">
        <f t="shared" si="0"/>
        <v>18.1875</v>
      </c>
      <c r="D52" s="52">
        <f t="shared" si="1"/>
        <v>18.733125000000001</v>
      </c>
      <c r="E52" s="52">
        <f t="shared" si="2"/>
        <v>17.641874999999999</v>
      </c>
      <c r="F52" s="28"/>
      <c r="G52" s="28"/>
      <c r="H52" s="28"/>
      <c r="I52" s="28"/>
      <c r="J52" s="54"/>
      <c r="K52" s="2"/>
    </row>
    <row r="53" spans="1:11">
      <c r="A53" s="26">
        <v>33872</v>
      </c>
      <c r="B53" s="52">
        <v>16.843800000000002</v>
      </c>
      <c r="C53" s="52">
        <f t="shared" si="0"/>
        <v>17.8125</v>
      </c>
      <c r="D53" s="52">
        <f t="shared" si="1"/>
        <v>18.346875000000001</v>
      </c>
      <c r="E53" s="52">
        <f t="shared" si="2"/>
        <v>17.278124999999999</v>
      </c>
      <c r="F53" s="28"/>
      <c r="G53" s="28"/>
      <c r="H53" s="28"/>
      <c r="I53" s="28"/>
      <c r="J53" s="54"/>
      <c r="K53" s="2"/>
    </row>
    <row r="54" spans="1:11">
      <c r="A54" s="27">
        <v>33879</v>
      </c>
      <c r="B54" s="55">
        <v>16.25</v>
      </c>
      <c r="C54" s="55">
        <f t="shared" si="0"/>
        <v>17.399999999999999</v>
      </c>
      <c r="D54" s="55">
        <f t="shared" si="1"/>
        <v>17.922000000000001</v>
      </c>
      <c r="E54" s="55">
        <f t="shared" si="2"/>
        <v>16.877999999999997</v>
      </c>
      <c r="F54" s="29"/>
      <c r="G54" s="29"/>
      <c r="H54" s="29"/>
      <c r="I54" s="29"/>
      <c r="J54" s="57"/>
      <c r="K54" s="2"/>
    </row>
    <row r="55" spans="1:11">
      <c r="A55" s="27">
        <v>33886</v>
      </c>
      <c r="B55" s="55">
        <v>16.218800000000002</v>
      </c>
      <c r="C55" s="55">
        <f t="shared" si="0"/>
        <v>16.98752</v>
      </c>
      <c r="D55" s="55">
        <f t="shared" si="1"/>
        <v>17.4971456</v>
      </c>
      <c r="E55" s="55">
        <f t="shared" si="2"/>
        <v>16.4778944</v>
      </c>
      <c r="F55" s="29"/>
      <c r="G55" s="29"/>
      <c r="H55" s="29"/>
      <c r="I55" s="29"/>
      <c r="J55" s="57"/>
      <c r="K55" s="2"/>
    </row>
    <row r="56" spans="1:11">
      <c r="A56" s="26">
        <v>33893</v>
      </c>
      <c r="B56" s="52">
        <v>17.093800000000002</v>
      </c>
      <c r="C56" s="52">
        <f t="shared" si="0"/>
        <v>16.800040000000003</v>
      </c>
      <c r="D56" s="52">
        <f t="shared" si="1"/>
        <v>17.304041200000004</v>
      </c>
      <c r="E56" s="52">
        <f t="shared" si="2"/>
        <v>16.296038800000002</v>
      </c>
      <c r="F56" s="28"/>
      <c r="G56" s="28"/>
      <c r="H56" s="28"/>
      <c r="I56" s="28"/>
      <c r="J56" s="54"/>
      <c r="K56" s="2"/>
    </row>
    <row r="57" spans="1:11">
      <c r="A57" s="26">
        <v>33900</v>
      </c>
      <c r="B57" s="52">
        <v>16.968800000000002</v>
      </c>
      <c r="C57" s="52">
        <f t="shared" si="0"/>
        <v>16.675040000000003</v>
      </c>
      <c r="D57" s="52">
        <f t="shared" si="1"/>
        <v>17.175291200000004</v>
      </c>
      <c r="E57" s="52">
        <f t="shared" si="2"/>
        <v>16.174788800000002</v>
      </c>
      <c r="F57" s="28"/>
      <c r="G57" s="28"/>
      <c r="H57" s="28"/>
      <c r="I57" s="28"/>
      <c r="J57" s="54"/>
      <c r="K57" s="2"/>
    </row>
    <row r="58" spans="1:11">
      <c r="A58" s="27">
        <v>33907</v>
      </c>
      <c r="B58" s="55">
        <v>17</v>
      </c>
      <c r="C58" s="55">
        <f t="shared" si="0"/>
        <v>16.70628</v>
      </c>
      <c r="D58" s="55">
        <f t="shared" si="1"/>
        <v>17.2074684</v>
      </c>
      <c r="E58" s="55">
        <f t="shared" si="2"/>
        <v>16.205091599999999</v>
      </c>
      <c r="F58" s="29"/>
      <c r="G58" s="29"/>
      <c r="H58" s="29"/>
      <c r="I58" s="29"/>
      <c r="J58" s="57"/>
      <c r="K58" s="2"/>
    </row>
    <row r="59" spans="1:11">
      <c r="A59" s="27">
        <v>33914</v>
      </c>
      <c r="B59" s="55">
        <v>16.3125</v>
      </c>
      <c r="C59" s="55">
        <f t="shared" si="0"/>
        <v>16.718780000000002</v>
      </c>
      <c r="D59" s="55">
        <f t="shared" si="1"/>
        <v>17.220343400000004</v>
      </c>
      <c r="E59" s="55">
        <f t="shared" si="2"/>
        <v>16.2172166</v>
      </c>
      <c r="F59" s="29"/>
      <c r="G59" s="29"/>
      <c r="H59" s="29"/>
      <c r="I59" s="29"/>
      <c r="J59" s="57"/>
      <c r="K59" s="2"/>
    </row>
    <row r="60" spans="1:11">
      <c r="A60" s="26">
        <v>33921</v>
      </c>
      <c r="B60" s="52">
        <v>16.8125</v>
      </c>
      <c r="C60" s="52">
        <f t="shared" si="0"/>
        <v>16.837520000000001</v>
      </c>
      <c r="D60" s="52">
        <f t="shared" si="1"/>
        <v>17.342645600000001</v>
      </c>
      <c r="E60" s="52">
        <f t="shared" si="2"/>
        <v>16.332394400000002</v>
      </c>
      <c r="F60" s="28"/>
      <c r="G60" s="28"/>
      <c r="H60" s="28"/>
      <c r="I60" s="28"/>
      <c r="J60" s="54"/>
      <c r="K60" s="2"/>
    </row>
    <row r="61" spans="1:11">
      <c r="A61" s="26">
        <v>33928</v>
      </c>
      <c r="B61" s="52">
        <v>17.406199999999998</v>
      </c>
      <c r="C61" s="52">
        <f t="shared" si="0"/>
        <v>16.899999999999999</v>
      </c>
      <c r="D61" s="52">
        <f t="shared" si="1"/>
        <v>17.407</v>
      </c>
      <c r="E61" s="52">
        <f t="shared" si="2"/>
        <v>16.392999999999997</v>
      </c>
      <c r="F61" s="28"/>
      <c r="G61" s="28"/>
      <c r="H61" s="28"/>
      <c r="I61" s="28"/>
      <c r="J61" s="54"/>
      <c r="K61" s="2"/>
    </row>
    <row r="62" spans="1:11">
      <c r="A62" s="27">
        <v>33935</v>
      </c>
      <c r="B62" s="55">
        <v>17.875</v>
      </c>
      <c r="C62" s="55">
        <f t="shared" si="0"/>
        <v>17.081240000000001</v>
      </c>
      <c r="D62" s="55">
        <f t="shared" si="1"/>
        <v>17.593677200000002</v>
      </c>
      <c r="E62" s="55">
        <f t="shared" si="2"/>
        <v>16.5688028</v>
      </c>
      <c r="F62" s="29"/>
      <c r="G62" s="29"/>
      <c r="H62" s="29"/>
      <c r="I62" s="29"/>
      <c r="J62" s="57"/>
      <c r="K62" s="2"/>
    </row>
    <row r="63" spans="1:11">
      <c r="A63" s="27">
        <v>33942</v>
      </c>
      <c r="B63" s="55">
        <v>18.0625</v>
      </c>
      <c r="C63" s="55">
        <f t="shared" si="0"/>
        <v>17.29374</v>
      </c>
      <c r="D63" s="55">
        <f t="shared" si="1"/>
        <v>17.812552199999999</v>
      </c>
      <c r="E63" s="55">
        <f t="shared" si="2"/>
        <v>16.7749278</v>
      </c>
      <c r="F63" s="29"/>
      <c r="G63" s="29"/>
      <c r="H63" s="29"/>
      <c r="I63" s="29"/>
      <c r="J63" s="57"/>
      <c r="K63" s="2"/>
    </row>
    <row r="64" spans="1:11">
      <c r="K64" s="2"/>
    </row>
    <row r="65" spans="1:11" ht="15">
      <c r="A65" s="241" t="s">
        <v>565</v>
      </c>
      <c r="K65" s="2"/>
    </row>
    <row r="66" spans="1:11" ht="15">
      <c r="A66" s="241" t="s">
        <v>566</v>
      </c>
      <c r="K66" s="2"/>
    </row>
    <row r="67" spans="1:11" ht="15">
      <c r="A67" s="241" t="s">
        <v>567</v>
      </c>
      <c r="K67" s="2"/>
    </row>
    <row r="68" spans="1:11">
      <c r="K68" s="2"/>
    </row>
    <row r="69" spans="1:11">
      <c r="K69" s="2"/>
    </row>
    <row r="70" spans="1:11">
      <c r="K70" s="2"/>
    </row>
    <row r="71" spans="1:11">
      <c r="K71" s="2"/>
    </row>
    <row r="72" spans="1:11">
      <c r="K72" s="2"/>
    </row>
    <row r="73" spans="1:11">
      <c r="K73" s="2"/>
    </row>
    <row r="74" spans="1:11">
      <c r="K74" s="2"/>
    </row>
    <row r="75" spans="1:11">
      <c r="K75" s="2"/>
    </row>
    <row r="76" spans="1:11">
      <c r="K76" s="2"/>
    </row>
    <row r="77" spans="1:11">
      <c r="K77" s="2"/>
    </row>
    <row r="78" spans="1:11">
      <c r="K78" s="2"/>
    </row>
    <row r="79" spans="1:11">
      <c r="K79" s="2"/>
    </row>
    <row r="80" spans="1:11">
      <c r="K80" s="2"/>
    </row>
    <row r="81" spans="11:11">
      <c r="K81" s="2"/>
    </row>
    <row r="82" spans="11:11">
      <c r="K82" s="2"/>
    </row>
    <row r="83" spans="11:11">
      <c r="K83" s="2"/>
    </row>
    <row r="84" spans="11:11">
      <c r="K84" s="2"/>
    </row>
    <row r="85" spans="11:11">
      <c r="K85" s="2"/>
    </row>
    <row r="86" spans="11:11">
      <c r="K86" s="2"/>
    </row>
    <row r="87" spans="11:11">
      <c r="K87" s="2"/>
    </row>
    <row r="88" spans="11:11">
      <c r="K88" s="2"/>
    </row>
    <row r="89" spans="11:11">
      <c r="K89" s="2"/>
    </row>
    <row r="90" spans="11:11">
      <c r="K90" s="2"/>
    </row>
    <row r="91" spans="11:11">
      <c r="K91" s="2"/>
    </row>
    <row r="92" spans="11:11">
      <c r="K92" s="2"/>
    </row>
    <row r="93" spans="11:11">
      <c r="K93" s="2"/>
    </row>
    <row r="94" spans="11:11">
      <c r="K94" s="2"/>
    </row>
    <row r="95" spans="11:11">
      <c r="K95" s="2"/>
    </row>
    <row r="96" spans="11:11">
      <c r="K96" s="2"/>
    </row>
    <row r="97" spans="11:11">
      <c r="K97" s="2"/>
    </row>
    <row r="98" spans="11:11">
      <c r="K98" s="2"/>
    </row>
    <row r="99" spans="11:11">
      <c r="K99" s="2"/>
    </row>
    <row r="100" spans="11:11">
      <c r="K100" s="2"/>
    </row>
    <row r="101" spans="11:11">
      <c r="K101" s="2"/>
    </row>
    <row r="102" spans="11:11">
      <c r="K102" s="2"/>
    </row>
    <row r="103" spans="11:11">
      <c r="K103" s="2"/>
    </row>
    <row r="104" spans="11:11">
      <c r="K104" s="2"/>
    </row>
    <row r="105" spans="11:11">
      <c r="K105" s="2"/>
    </row>
    <row r="106" spans="11:11">
      <c r="K106" s="2"/>
    </row>
    <row r="107" spans="11:11">
      <c r="K107" s="2"/>
    </row>
    <row r="108" spans="11:11">
      <c r="K108" s="2"/>
    </row>
    <row r="109" spans="11:11">
      <c r="K109" s="2"/>
    </row>
    <row r="110" spans="11:11">
      <c r="K110" s="2"/>
    </row>
    <row r="111" spans="11:11">
      <c r="K111" s="2"/>
    </row>
    <row r="112" spans="11:11">
      <c r="K112" s="2"/>
    </row>
    <row r="113" spans="11:11">
      <c r="K113" s="2"/>
    </row>
    <row r="114" spans="11:11">
      <c r="K114" s="2"/>
    </row>
    <row r="115" spans="11:11">
      <c r="K115" s="2"/>
    </row>
    <row r="116" spans="11:11">
      <c r="K116" s="2"/>
    </row>
    <row r="117" spans="11:11">
      <c r="K117" s="2"/>
    </row>
    <row r="118" spans="11:11">
      <c r="K118" s="2"/>
    </row>
    <row r="119" spans="11:11">
      <c r="K119" s="2"/>
    </row>
    <row r="120" spans="11:11">
      <c r="K120" s="2"/>
    </row>
    <row r="121" spans="11:11">
      <c r="K121" s="2"/>
    </row>
    <row r="122" spans="11:11">
      <c r="K122" s="2"/>
    </row>
    <row r="123" spans="11:11">
      <c r="K123" s="2"/>
    </row>
    <row r="124" spans="11:11">
      <c r="K124" s="2"/>
    </row>
    <row r="125" spans="11:11">
      <c r="K125" s="2"/>
    </row>
    <row r="126" spans="11:11">
      <c r="K126" s="2"/>
    </row>
    <row r="127" spans="11:11">
      <c r="K127" s="2"/>
    </row>
    <row r="128" spans="11:11">
      <c r="K128" s="2"/>
    </row>
    <row r="129" spans="11:11">
      <c r="K129" s="2"/>
    </row>
    <row r="130" spans="11:11">
      <c r="K130" s="2"/>
    </row>
  </sheetData>
  <mergeCells count="1">
    <mergeCell ref="B5:J5"/>
  </mergeCells>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79873"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79874"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79875"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79876"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enableFormatConditionsCalculation="0"/>
  <dimension ref="A1:N93"/>
  <sheetViews>
    <sheetView workbookViewId="0"/>
  </sheetViews>
  <sheetFormatPr baseColWidth="10" defaultColWidth="8.83203125" defaultRowHeight="12" x14ac:dyDescent="0"/>
  <cols>
    <col min="1" max="1" width="11.33203125" customWidth="1"/>
    <col min="4" max="4" width="12.5" customWidth="1"/>
    <col min="5" max="5" width="11.1640625" customWidth="1"/>
  </cols>
  <sheetData>
    <row r="1" spans="1:14">
      <c r="A1" s="21"/>
      <c r="B1" s="21"/>
      <c r="C1" s="21" t="s">
        <v>846</v>
      </c>
      <c r="D1" s="21"/>
      <c r="E1" s="21"/>
      <c r="F1" s="21"/>
      <c r="G1" s="21"/>
      <c r="H1" s="21"/>
      <c r="I1" s="21"/>
    </row>
    <row r="2" spans="1:14" ht="21" customHeight="1">
      <c r="A2" s="21"/>
      <c r="B2" s="21"/>
      <c r="C2" s="21"/>
      <c r="D2" s="374"/>
      <c r="E2" s="374"/>
      <c r="F2" s="374"/>
      <c r="G2" s="374"/>
      <c r="H2" s="374"/>
      <c r="I2" s="374"/>
      <c r="J2" s="372"/>
      <c r="K2" s="372"/>
      <c r="L2" s="372"/>
      <c r="M2" s="372"/>
      <c r="N2" s="372"/>
    </row>
    <row r="3" spans="1:14">
      <c r="A3" s="19" t="s">
        <v>1045</v>
      </c>
      <c r="B3" s="20" t="s">
        <v>1204</v>
      </c>
      <c r="C3" s="21"/>
      <c r="D3" s="21"/>
      <c r="E3" s="21"/>
      <c r="F3" s="21"/>
      <c r="G3" s="21"/>
      <c r="H3" s="21"/>
      <c r="I3" s="21"/>
    </row>
    <row r="4" spans="1:14">
      <c r="A4" s="19" t="s">
        <v>774</v>
      </c>
      <c r="B4" s="20" t="s">
        <v>463</v>
      </c>
      <c r="C4" s="21"/>
      <c r="D4" s="21"/>
      <c r="E4" s="21"/>
      <c r="F4" s="21"/>
      <c r="G4" s="21"/>
      <c r="H4" s="21"/>
      <c r="I4" s="21"/>
    </row>
    <row r="5" spans="1:14" ht="15">
      <c r="A5" s="118" t="s">
        <v>779</v>
      </c>
      <c r="B5" s="127" t="s">
        <v>1298</v>
      </c>
      <c r="C5" s="21"/>
      <c r="D5" s="21"/>
      <c r="E5" s="21"/>
      <c r="F5" s="21"/>
      <c r="G5" s="21"/>
      <c r="H5" s="21"/>
      <c r="I5" s="21"/>
    </row>
    <row r="6" spans="1:14" ht="34.5" customHeight="1">
      <c r="A6" s="21"/>
      <c r="B6" s="21"/>
      <c r="C6" s="21"/>
      <c r="D6" s="21"/>
      <c r="E6" s="21"/>
      <c r="F6" s="21"/>
      <c r="G6" s="21"/>
      <c r="H6" s="21"/>
      <c r="I6" s="21"/>
    </row>
    <row r="7" spans="1:14">
      <c r="A7" s="19" t="s">
        <v>635</v>
      </c>
      <c r="B7" s="20" t="s">
        <v>750</v>
      </c>
      <c r="C7" s="21"/>
      <c r="D7" s="21"/>
      <c r="E7" s="21"/>
      <c r="F7" s="21"/>
      <c r="G7" s="21"/>
      <c r="H7" s="21"/>
      <c r="I7" s="21"/>
    </row>
    <row r="8" spans="1:14" ht="54" customHeight="1">
      <c r="A8" s="22" t="s">
        <v>1090</v>
      </c>
      <c r="B8" s="22" t="s">
        <v>1098</v>
      </c>
      <c r="C8" s="22" t="s">
        <v>1122</v>
      </c>
      <c r="D8" s="31" t="s">
        <v>568</v>
      </c>
      <c r="E8" s="31" t="s">
        <v>569</v>
      </c>
      <c r="F8" s="22"/>
      <c r="G8" s="22"/>
      <c r="H8" s="22"/>
      <c r="I8" s="22"/>
    </row>
    <row r="9" spans="1:14">
      <c r="A9" s="109">
        <v>34352</v>
      </c>
      <c r="B9" s="52">
        <v>16.444400000000002</v>
      </c>
      <c r="C9" s="52"/>
      <c r="D9" s="52"/>
      <c r="E9" s="52"/>
      <c r="F9" s="28"/>
      <c r="G9" s="28"/>
      <c r="H9" s="28"/>
      <c r="I9" s="82">
        <v>1</v>
      </c>
    </row>
    <row r="10" spans="1:14">
      <c r="A10" s="110">
        <v>34353</v>
      </c>
      <c r="B10" s="55">
        <v>16.333300000000001</v>
      </c>
      <c r="C10" s="55"/>
      <c r="D10" s="55"/>
      <c r="E10" s="55"/>
      <c r="F10" s="29"/>
      <c r="G10" s="29"/>
      <c r="H10" s="29"/>
      <c r="I10" s="83">
        <v>2</v>
      </c>
    </row>
    <row r="11" spans="1:14">
      <c r="A11" s="110">
        <v>34354</v>
      </c>
      <c r="B11" s="55">
        <v>16.333300000000001</v>
      </c>
      <c r="C11" s="55"/>
      <c r="D11" s="55"/>
      <c r="E11" s="55"/>
      <c r="F11" s="29"/>
      <c r="G11" s="29"/>
      <c r="H11" s="29"/>
      <c r="I11" s="83">
        <v>3</v>
      </c>
    </row>
    <row r="12" spans="1:14">
      <c r="A12" s="109">
        <v>34355</v>
      </c>
      <c r="B12" s="52">
        <v>16.444400000000002</v>
      </c>
      <c r="C12" s="52"/>
      <c r="D12" s="52"/>
      <c r="E12" s="52"/>
      <c r="F12" s="28"/>
      <c r="G12" s="28"/>
      <c r="H12" s="28"/>
      <c r="I12" s="82">
        <v>4</v>
      </c>
    </row>
    <row r="13" spans="1:14">
      <c r="A13" s="109">
        <v>34358</v>
      </c>
      <c r="B13" s="52">
        <v>16.444400000000002</v>
      </c>
      <c r="C13" s="52">
        <f t="shared" ref="C13:C44" si="0">FORECAST(I14,B9:B13,I9:I13)</f>
        <v>16.43329</v>
      </c>
      <c r="D13" s="52"/>
      <c r="E13" s="52"/>
      <c r="F13" s="28"/>
      <c r="G13" s="28"/>
      <c r="H13" s="28"/>
      <c r="I13" s="82">
        <v>5</v>
      </c>
    </row>
    <row r="14" spans="1:14">
      <c r="A14" s="110">
        <v>34359</v>
      </c>
      <c r="B14" s="55">
        <v>16.055599999999998</v>
      </c>
      <c r="C14" s="55">
        <f t="shared" si="0"/>
        <v>16.18891</v>
      </c>
      <c r="D14" s="55">
        <f>B14-C13</f>
        <v>-0.37769000000000119</v>
      </c>
      <c r="E14" s="55">
        <f>100*(D14/B14)</f>
        <v>-2.3523879518672688</v>
      </c>
      <c r="F14" s="29"/>
      <c r="G14" s="29"/>
      <c r="H14" s="29"/>
      <c r="I14" s="83">
        <v>6</v>
      </c>
    </row>
    <row r="15" spans="1:14">
      <c r="A15" s="110">
        <v>34360</v>
      </c>
      <c r="B15" s="55">
        <v>16.166699999999999</v>
      </c>
      <c r="C15" s="55">
        <f t="shared" si="0"/>
        <v>16.072279999999996</v>
      </c>
      <c r="D15" s="55">
        <f t="shared" ref="D15:D63" si="1">B15-C14</f>
        <v>-2.2210000000001173E-2</v>
      </c>
      <c r="E15" s="55">
        <f t="shared" ref="E15:E63" si="2">100*(D15/B15)</f>
        <v>-0.13738116003885256</v>
      </c>
      <c r="F15" s="29"/>
      <c r="G15" s="29"/>
      <c r="H15" s="29"/>
      <c r="I15" s="83">
        <v>7</v>
      </c>
    </row>
    <row r="16" spans="1:14">
      <c r="A16" s="109">
        <v>34361</v>
      </c>
      <c r="B16" s="52">
        <v>15.9444</v>
      </c>
      <c r="C16" s="52">
        <f t="shared" si="0"/>
        <v>15.827789999999995</v>
      </c>
      <c r="D16" s="52">
        <f t="shared" si="1"/>
        <v>-0.12787999999999577</v>
      </c>
      <c r="E16" s="52">
        <f t="shared" si="2"/>
        <v>-0.80203707884897379</v>
      </c>
      <c r="F16" s="28"/>
      <c r="G16" s="28"/>
      <c r="H16" s="28"/>
      <c r="I16" s="82">
        <v>8</v>
      </c>
    </row>
    <row r="17" spans="1:9">
      <c r="A17" s="109">
        <v>34362</v>
      </c>
      <c r="B17" s="52">
        <v>16.3889</v>
      </c>
      <c r="C17" s="52">
        <f t="shared" si="0"/>
        <v>16.133339999999997</v>
      </c>
      <c r="D17" s="52">
        <f t="shared" si="1"/>
        <v>0.56111000000000466</v>
      </c>
      <c r="E17" s="52">
        <f t="shared" si="2"/>
        <v>3.4237197127324266</v>
      </c>
      <c r="F17" s="28"/>
      <c r="G17" s="28"/>
      <c r="H17" s="28"/>
      <c r="I17" s="82">
        <v>9</v>
      </c>
    </row>
    <row r="18" spans="1:9">
      <c r="A18" s="110">
        <v>34365</v>
      </c>
      <c r="B18" s="55">
        <v>16.555599999999998</v>
      </c>
      <c r="C18" s="55">
        <f t="shared" si="0"/>
        <v>16.588899999999999</v>
      </c>
      <c r="D18" s="55">
        <f t="shared" si="1"/>
        <v>0.42226000000000141</v>
      </c>
      <c r="E18" s="55">
        <f t="shared" si="2"/>
        <v>2.5505569112566229</v>
      </c>
      <c r="F18" s="29"/>
      <c r="G18" s="29"/>
      <c r="H18" s="29"/>
      <c r="I18" s="83">
        <v>10</v>
      </c>
    </row>
    <row r="19" spans="1:9">
      <c r="A19" s="110">
        <v>34366</v>
      </c>
      <c r="B19" s="55">
        <v>16.6111</v>
      </c>
      <c r="C19" s="55">
        <f t="shared" si="0"/>
        <v>16.783339999999999</v>
      </c>
      <c r="D19" s="55">
        <f t="shared" si="1"/>
        <v>2.2200000000001552E-2</v>
      </c>
      <c r="E19" s="55">
        <f t="shared" si="2"/>
        <v>0.13364557434487512</v>
      </c>
      <c r="F19" s="29"/>
      <c r="G19" s="29"/>
      <c r="H19" s="29"/>
      <c r="I19" s="83">
        <v>11</v>
      </c>
    </row>
    <row r="20" spans="1:9">
      <c r="A20" s="109">
        <v>34367</v>
      </c>
      <c r="B20" s="52">
        <v>16.666699999999999</v>
      </c>
      <c r="C20" s="52">
        <f t="shared" si="0"/>
        <v>16.933379999999996</v>
      </c>
      <c r="D20" s="52">
        <f t="shared" si="1"/>
        <v>-0.1166400000000003</v>
      </c>
      <c r="E20" s="52">
        <f t="shared" si="2"/>
        <v>-0.69983860032280121</v>
      </c>
      <c r="F20" s="28"/>
      <c r="G20" s="28"/>
      <c r="H20" s="28"/>
      <c r="I20" s="82">
        <v>12</v>
      </c>
    </row>
    <row r="21" spans="1:9">
      <c r="A21" s="109">
        <v>34368</v>
      </c>
      <c r="B21" s="52">
        <v>17.222200000000001</v>
      </c>
      <c r="C21" s="52">
        <f t="shared" si="0"/>
        <v>17.222209999999997</v>
      </c>
      <c r="D21" s="52">
        <f t="shared" si="1"/>
        <v>0.28882000000000474</v>
      </c>
      <c r="E21" s="52">
        <f t="shared" si="2"/>
        <v>1.6770215187374711</v>
      </c>
      <c r="F21" s="28"/>
      <c r="G21" s="28"/>
      <c r="H21" s="28"/>
      <c r="I21" s="82">
        <v>13</v>
      </c>
    </row>
    <row r="22" spans="1:9">
      <c r="A22" s="110">
        <v>34369</v>
      </c>
      <c r="B22" s="55">
        <v>16.6111</v>
      </c>
      <c r="C22" s="55">
        <f t="shared" si="0"/>
        <v>16.94997</v>
      </c>
      <c r="D22" s="55">
        <f t="shared" si="1"/>
        <v>-0.61110999999999649</v>
      </c>
      <c r="E22" s="55">
        <f t="shared" si="2"/>
        <v>-3.6789255377428138</v>
      </c>
      <c r="F22" s="29"/>
      <c r="G22" s="29"/>
      <c r="H22" s="29"/>
      <c r="I22" s="83">
        <v>14</v>
      </c>
    </row>
    <row r="23" spans="1:9">
      <c r="A23" s="110">
        <v>34372</v>
      </c>
      <c r="B23" s="55">
        <v>16.444400000000002</v>
      </c>
      <c r="C23" s="55">
        <f t="shared" si="0"/>
        <v>16.5944</v>
      </c>
      <c r="D23" s="55">
        <f t="shared" si="1"/>
        <v>-0.50556999999999874</v>
      </c>
      <c r="E23" s="55">
        <f t="shared" si="2"/>
        <v>-3.0744204714066714</v>
      </c>
      <c r="F23" s="29"/>
      <c r="G23" s="29"/>
      <c r="H23" s="29"/>
      <c r="I23" s="83">
        <v>15</v>
      </c>
    </row>
    <row r="24" spans="1:9">
      <c r="A24" s="109">
        <v>34373</v>
      </c>
      <c r="B24" s="52">
        <v>16.833300000000001</v>
      </c>
      <c r="C24" s="52">
        <f t="shared" si="0"/>
        <v>16.622160000000004</v>
      </c>
      <c r="D24" s="52">
        <f t="shared" si="1"/>
        <v>0.238900000000001</v>
      </c>
      <c r="E24" s="52">
        <f t="shared" si="2"/>
        <v>1.4192107311103646</v>
      </c>
      <c r="F24" s="28"/>
      <c r="G24" s="28"/>
      <c r="H24" s="28"/>
      <c r="I24" s="82">
        <v>16</v>
      </c>
    </row>
    <row r="25" spans="1:9">
      <c r="A25" s="109">
        <v>34374</v>
      </c>
      <c r="B25" s="52">
        <v>16.777799999999999</v>
      </c>
      <c r="C25" s="52">
        <f t="shared" si="0"/>
        <v>16.577780000000001</v>
      </c>
      <c r="D25" s="52">
        <f t="shared" si="1"/>
        <v>0.15563999999999467</v>
      </c>
      <c r="E25" s="52">
        <f t="shared" si="2"/>
        <v>0.92765440045771608</v>
      </c>
      <c r="F25" s="28"/>
      <c r="G25" s="28"/>
      <c r="H25" s="28"/>
      <c r="I25" s="82">
        <v>17</v>
      </c>
    </row>
    <row r="26" spans="1:9">
      <c r="A26" s="110">
        <v>34375</v>
      </c>
      <c r="B26" s="55">
        <v>16.444400000000002</v>
      </c>
      <c r="C26" s="55">
        <f t="shared" si="0"/>
        <v>16.622199999999999</v>
      </c>
      <c r="D26" s="55">
        <f t="shared" si="1"/>
        <v>-0.13337999999999894</v>
      </c>
      <c r="E26" s="55">
        <f t="shared" si="2"/>
        <v>-0.81109678674806585</v>
      </c>
      <c r="F26" s="29"/>
      <c r="G26" s="29"/>
      <c r="H26" s="29"/>
      <c r="I26" s="83">
        <v>18</v>
      </c>
    </row>
    <row r="27" spans="1:9">
      <c r="A27" s="110">
        <v>34376</v>
      </c>
      <c r="B27" s="55">
        <v>16.222200000000001</v>
      </c>
      <c r="C27" s="55">
        <f t="shared" si="0"/>
        <v>16.294429999999998</v>
      </c>
      <c r="D27" s="55">
        <f t="shared" si="1"/>
        <v>-0.39999999999999858</v>
      </c>
      <c r="E27" s="55">
        <f t="shared" si="2"/>
        <v>-2.4657568024065699</v>
      </c>
      <c r="F27" s="29"/>
      <c r="G27" s="29"/>
      <c r="H27" s="29"/>
      <c r="I27" s="83">
        <v>19</v>
      </c>
    </row>
    <row r="28" spans="1:9">
      <c r="A28" s="109">
        <v>34379</v>
      </c>
      <c r="B28" s="52">
        <v>16.277799999999999</v>
      </c>
      <c r="C28" s="52">
        <f t="shared" si="0"/>
        <v>16.011120000000002</v>
      </c>
      <c r="D28" s="52">
        <f t="shared" si="1"/>
        <v>-1.6629999999999256E-2</v>
      </c>
      <c r="E28" s="52">
        <f t="shared" si="2"/>
        <v>-0.10216368305298787</v>
      </c>
      <c r="F28" s="28"/>
      <c r="G28" s="28"/>
      <c r="H28" s="28"/>
      <c r="I28" s="82">
        <v>20</v>
      </c>
    </row>
    <row r="29" spans="1:9">
      <c r="A29" s="109">
        <v>34380</v>
      </c>
      <c r="B29" s="52">
        <v>16.333300000000001</v>
      </c>
      <c r="C29" s="52">
        <f t="shared" si="0"/>
        <v>16.094419999999996</v>
      </c>
      <c r="D29" s="52">
        <f t="shared" si="1"/>
        <v>0.32217999999999947</v>
      </c>
      <c r="E29" s="52">
        <f t="shared" si="2"/>
        <v>1.9725346378257882</v>
      </c>
      <c r="F29" s="28"/>
      <c r="G29" s="28"/>
      <c r="H29" s="28"/>
      <c r="I29" s="82">
        <v>21</v>
      </c>
    </row>
    <row r="30" spans="1:9">
      <c r="A30" s="110">
        <v>34381</v>
      </c>
      <c r="B30" s="55">
        <v>16.444400000000002</v>
      </c>
      <c r="C30" s="55">
        <f t="shared" si="0"/>
        <v>16.377750000000002</v>
      </c>
      <c r="D30" s="55">
        <f t="shared" si="1"/>
        <v>0.34998000000000573</v>
      </c>
      <c r="E30" s="55">
        <f t="shared" si="2"/>
        <v>2.1282625088176261</v>
      </c>
      <c r="F30" s="29"/>
      <c r="G30" s="29"/>
      <c r="H30" s="29"/>
      <c r="I30" s="83">
        <v>22</v>
      </c>
    </row>
    <row r="31" spans="1:9">
      <c r="A31" s="110">
        <v>34382</v>
      </c>
      <c r="B31" s="55">
        <v>16.222200000000001</v>
      </c>
      <c r="C31" s="55">
        <f t="shared" si="0"/>
        <v>16.349960000000003</v>
      </c>
      <c r="D31" s="55">
        <f t="shared" si="1"/>
        <v>-0.15555000000000163</v>
      </c>
      <c r="E31" s="55">
        <f t="shared" si="2"/>
        <v>-0.95887117653586829</v>
      </c>
      <c r="F31" s="29"/>
      <c r="G31" s="29"/>
      <c r="H31" s="29"/>
      <c r="I31" s="83">
        <v>23</v>
      </c>
    </row>
    <row r="32" spans="1:9">
      <c r="A32" s="109">
        <v>34383</v>
      </c>
      <c r="B32" s="52">
        <v>16</v>
      </c>
      <c r="C32" s="52">
        <f t="shared" si="0"/>
        <v>16.055530000000005</v>
      </c>
      <c r="D32" s="52">
        <f t="shared" si="1"/>
        <v>-0.34996000000000294</v>
      </c>
      <c r="E32" s="52">
        <f t="shared" si="2"/>
        <v>-2.1872500000000183</v>
      </c>
      <c r="F32" s="28"/>
      <c r="G32" s="28"/>
      <c r="H32" s="28"/>
      <c r="I32" s="82">
        <v>24</v>
      </c>
    </row>
    <row r="33" spans="1:9">
      <c r="A33" s="109">
        <v>34387</v>
      </c>
      <c r="B33" s="52">
        <v>15.9444</v>
      </c>
      <c r="C33" s="52">
        <f t="shared" si="0"/>
        <v>15.822199999999999</v>
      </c>
      <c r="D33" s="52">
        <f t="shared" si="1"/>
        <v>-0.11113000000000461</v>
      </c>
      <c r="E33" s="52">
        <f t="shared" si="2"/>
        <v>-0.69698452121123788</v>
      </c>
      <c r="F33" s="28"/>
      <c r="G33" s="28"/>
      <c r="H33" s="28"/>
      <c r="I33" s="82">
        <v>25</v>
      </c>
    </row>
    <row r="34" spans="1:9">
      <c r="A34" s="110">
        <v>34388</v>
      </c>
      <c r="B34" s="55">
        <v>15.777799999999999</v>
      </c>
      <c r="C34" s="55">
        <f t="shared" si="0"/>
        <v>15.594460000000002</v>
      </c>
      <c r="D34" s="55">
        <f t="shared" si="1"/>
        <v>-4.4399999999999551E-2</v>
      </c>
      <c r="E34" s="55">
        <f t="shared" si="2"/>
        <v>-0.28140805435485017</v>
      </c>
      <c r="F34" s="29"/>
      <c r="G34" s="29"/>
      <c r="H34" s="29"/>
      <c r="I34" s="83">
        <v>26</v>
      </c>
    </row>
    <row r="35" spans="1:9">
      <c r="A35" s="110">
        <v>34389</v>
      </c>
      <c r="B35" s="55">
        <v>15.5</v>
      </c>
      <c r="C35" s="55">
        <f t="shared" si="0"/>
        <v>15.3889</v>
      </c>
      <c r="D35" s="55">
        <f t="shared" si="1"/>
        <v>-9.4460000000001543E-2</v>
      </c>
      <c r="E35" s="55">
        <f t="shared" si="2"/>
        <v>-0.60941935483871967</v>
      </c>
      <c r="F35" s="29"/>
      <c r="G35" s="29"/>
      <c r="H35" s="29"/>
      <c r="I35" s="83">
        <v>27</v>
      </c>
    </row>
    <row r="36" spans="1:9">
      <c r="A36" s="109">
        <v>34390</v>
      </c>
      <c r="B36" s="52">
        <v>15.333299999999999</v>
      </c>
      <c r="C36" s="52">
        <f t="shared" si="0"/>
        <v>15.177759999999999</v>
      </c>
      <c r="D36" s="52">
        <f t="shared" si="1"/>
        <v>-5.5600000000000094E-2</v>
      </c>
      <c r="E36" s="52">
        <f t="shared" si="2"/>
        <v>-0.36260948393366133</v>
      </c>
      <c r="F36" s="28"/>
      <c r="G36" s="28"/>
      <c r="H36" s="28"/>
      <c r="I36" s="82">
        <v>28</v>
      </c>
    </row>
    <row r="37" spans="1:9">
      <c r="A37" s="109">
        <v>34393</v>
      </c>
      <c r="B37" s="52">
        <v>15.166700000000001</v>
      </c>
      <c r="C37" s="52">
        <f t="shared" si="0"/>
        <v>14.944470000000001</v>
      </c>
      <c r="D37" s="52">
        <f t="shared" si="1"/>
        <v>-1.1059999999998738E-2</v>
      </c>
      <c r="E37" s="52">
        <f t="shared" si="2"/>
        <v>-7.292291665292211E-2</v>
      </c>
      <c r="F37" s="28"/>
      <c r="G37" s="28"/>
      <c r="H37" s="28"/>
      <c r="I37" s="82">
        <v>29</v>
      </c>
    </row>
    <row r="38" spans="1:9">
      <c r="A38" s="110">
        <v>34394</v>
      </c>
      <c r="B38" s="55">
        <v>15.333299999999999</v>
      </c>
      <c r="C38" s="55">
        <f t="shared" si="0"/>
        <v>15.055530000000001</v>
      </c>
      <c r="D38" s="55">
        <f t="shared" si="1"/>
        <v>0.38882999999999868</v>
      </c>
      <c r="E38" s="55">
        <f t="shared" si="2"/>
        <v>2.5358533388115978</v>
      </c>
      <c r="F38" s="29"/>
      <c r="G38" s="29"/>
      <c r="H38" s="29"/>
      <c r="I38" s="83">
        <v>30</v>
      </c>
    </row>
    <row r="39" spans="1:9">
      <c r="A39" s="110">
        <v>34395</v>
      </c>
      <c r="B39" s="55">
        <v>15.222200000000001</v>
      </c>
      <c r="C39" s="55">
        <f t="shared" si="0"/>
        <v>15.14442</v>
      </c>
      <c r="D39" s="55">
        <f t="shared" si="1"/>
        <v>0.16666999999999987</v>
      </c>
      <c r="E39" s="55">
        <f t="shared" si="2"/>
        <v>1.0949140071737322</v>
      </c>
      <c r="F39" s="29"/>
      <c r="G39" s="29"/>
      <c r="H39" s="29"/>
      <c r="I39" s="83">
        <v>31</v>
      </c>
    </row>
    <row r="40" spans="1:9">
      <c r="A40" s="109">
        <v>34396</v>
      </c>
      <c r="B40" s="52">
        <v>15.222200000000001</v>
      </c>
      <c r="C40" s="52">
        <f t="shared" si="0"/>
        <v>15.205530000000003</v>
      </c>
      <c r="D40" s="52">
        <f t="shared" si="1"/>
        <v>7.7780000000000626E-2</v>
      </c>
      <c r="E40" s="52">
        <f t="shared" si="2"/>
        <v>0.51096424958285014</v>
      </c>
      <c r="F40" s="28"/>
      <c r="G40" s="28"/>
      <c r="H40" s="28"/>
      <c r="I40" s="82">
        <v>32</v>
      </c>
    </row>
    <row r="41" spans="1:9">
      <c r="A41" s="109">
        <v>34397</v>
      </c>
      <c r="B41" s="52">
        <v>15.166700000000001</v>
      </c>
      <c r="C41" s="52">
        <f t="shared" si="0"/>
        <v>15.188890000000002</v>
      </c>
      <c r="D41" s="52">
        <f t="shared" si="1"/>
        <v>-3.8830000000002585E-2</v>
      </c>
      <c r="E41" s="52">
        <f t="shared" si="2"/>
        <v>-0.25602141533756573</v>
      </c>
      <c r="F41" s="28"/>
      <c r="G41" s="28"/>
      <c r="H41" s="28"/>
      <c r="I41" s="82">
        <v>33</v>
      </c>
    </row>
    <row r="42" spans="1:9">
      <c r="A42" s="110">
        <v>34400</v>
      </c>
      <c r="B42" s="55">
        <v>15.166700000000001</v>
      </c>
      <c r="C42" s="55">
        <f t="shared" si="0"/>
        <v>15.105610000000002</v>
      </c>
      <c r="D42" s="55">
        <f t="shared" si="1"/>
        <v>-2.219000000000193E-2</v>
      </c>
      <c r="E42" s="55">
        <f t="shared" si="2"/>
        <v>-0.14630737075304404</v>
      </c>
      <c r="F42" s="29"/>
      <c r="G42" s="29"/>
      <c r="H42" s="29"/>
      <c r="I42" s="83">
        <v>34</v>
      </c>
    </row>
    <row r="43" spans="1:9">
      <c r="A43" s="110">
        <v>34401</v>
      </c>
      <c r="B43" s="55">
        <v>15.0556</v>
      </c>
      <c r="C43" s="55">
        <f t="shared" si="0"/>
        <v>15.050069999999998</v>
      </c>
      <c r="D43" s="55">
        <f t="shared" si="1"/>
        <v>-5.0010000000002108E-2</v>
      </c>
      <c r="E43" s="55">
        <f t="shared" si="2"/>
        <v>-0.33216876112544241</v>
      </c>
      <c r="F43" s="29"/>
      <c r="G43" s="29"/>
      <c r="H43" s="29"/>
      <c r="I43" s="83">
        <v>35</v>
      </c>
    </row>
    <row r="44" spans="1:9">
      <c r="A44" s="109">
        <v>34402</v>
      </c>
      <c r="B44" s="52">
        <v>15.1111</v>
      </c>
      <c r="C44" s="52">
        <f t="shared" si="0"/>
        <v>15.044469999999999</v>
      </c>
      <c r="D44" s="52">
        <f t="shared" si="1"/>
        <v>6.103000000000236E-2</v>
      </c>
      <c r="E44" s="52">
        <f t="shared" si="2"/>
        <v>0.40387529696714575</v>
      </c>
      <c r="F44" s="28"/>
      <c r="G44" s="28"/>
      <c r="H44" s="28"/>
      <c r="I44" s="82">
        <v>36</v>
      </c>
    </row>
    <row r="45" spans="1:9">
      <c r="A45" s="109">
        <v>34403</v>
      </c>
      <c r="B45" s="52">
        <v>14.8889</v>
      </c>
      <c r="C45" s="52">
        <f t="shared" ref="C45:C63" si="3">FORECAST(I46,B41:B45,I41:I45)</f>
        <v>14.894440000000003</v>
      </c>
      <c r="D45" s="52">
        <f t="shared" si="1"/>
        <v>-0.1555699999999991</v>
      </c>
      <c r="E45" s="52">
        <f t="shared" si="2"/>
        <v>-1.0448723545728638</v>
      </c>
      <c r="F45" s="28"/>
      <c r="G45" s="28"/>
      <c r="H45" s="28"/>
      <c r="I45" s="82">
        <v>37</v>
      </c>
    </row>
    <row r="46" spans="1:9">
      <c r="A46" s="110">
        <v>34404</v>
      </c>
      <c r="B46" s="55">
        <v>14.8889</v>
      </c>
      <c r="C46" s="55">
        <f t="shared" si="3"/>
        <v>14.80555</v>
      </c>
      <c r="D46" s="55">
        <f t="shared" si="1"/>
        <v>-5.5400000000034311E-3</v>
      </c>
      <c r="E46" s="55">
        <f t="shared" si="2"/>
        <v>-3.7208927456047328E-2</v>
      </c>
      <c r="F46" s="29"/>
      <c r="G46" s="29"/>
      <c r="H46" s="29"/>
      <c r="I46" s="83">
        <v>38</v>
      </c>
    </row>
    <row r="47" spans="1:9">
      <c r="A47" s="110">
        <v>34407</v>
      </c>
      <c r="B47" s="55">
        <v>14.9444</v>
      </c>
      <c r="C47" s="55">
        <f t="shared" si="3"/>
        <v>14.8444</v>
      </c>
      <c r="D47" s="55">
        <f t="shared" si="1"/>
        <v>0.1388499999999997</v>
      </c>
      <c r="E47" s="55">
        <f t="shared" si="2"/>
        <v>0.92911056984555873</v>
      </c>
      <c r="F47" s="29"/>
      <c r="G47" s="29"/>
      <c r="H47" s="29"/>
      <c r="I47" s="83">
        <v>39</v>
      </c>
    </row>
    <row r="48" spans="1:9">
      <c r="A48" s="109">
        <v>34408</v>
      </c>
      <c r="B48" s="52">
        <v>15.222200000000001</v>
      </c>
      <c r="C48" s="52">
        <f t="shared" si="3"/>
        <v>15.09441</v>
      </c>
      <c r="D48" s="52">
        <f t="shared" si="1"/>
        <v>0.37780000000000058</v>
      </c>
      <c r="E48" s="52">
        <f t="shared" si="2"/>
        <v>2.4819014334327529</v>
      </c>
      <c r="F48" s="28"/>
      <c r="G48" s="28"/>
      <c r="H48" s="28"/>
      <c r="I48" s="82">
        <v>40</v>
      </c>
    </row>
    <row r="49" spans="1:9">
      <c r="A49" s="109">
        <v>34409</v>
      </c>
      <c r="B49" s="52">
        <v>15.9444</v>
      </c>
      <c r="C49" s="52">
        <f t="shared" si="3"/>
        <v>15.911050000000001</v>
      </c>
      <c r="D49" s="52">
        <f t="shared" si="1"/>
        <v>0.84999000000000002</v>
      </c>
      <c r="E49" s="52">
        <f t="shared" si="2"/>
        <v>5.3309625950176871</v>
      </c>
      <c r="F49" s="28"/>
      <c r="G49" s="28"/>
      <c r="H49" s="28"/>
      <c r="I49" s="82">
        <v>41</v>
      </c>
    </row>
    <row r="50" spans="1:9">
      <c r="A50" s="110">
        <v>34410</v>
      </c>
      <c r="B50" s="55">
        <v>15.9444</v>
      </c>
      <c r="C50" s="55">
        <f t="shared" si="3"/>
        <v>16.322159999999997</v>
      </c>
      <c r="D50" s="55">
        <f t="shared" si="1"/>
        <v>3.3349999999998658E-2</v>
      </c>
      <c r="E50" s="55">
        <f t="shared" si="2"/>
        <v>0.20916434610269852</v>
      </c>
      <c r="F50" s="29"/>
      <c r="G50" s="29"/>
      <c r="H50" s="29"/>
      <c r="I50" s="83">
        <v>42</v>
      </c>
    </row>
    <row r="51" spans="1:9">
      <c r="A51" s="110">
        <v>34411</v>
      </c>
      <c r="B51" s="55">
        <v>15.722200000000001</v>
      </c>
      <c r="C51" s="55">
        <f t="shared" si="3"/>
        <v>16.238860000000003</v>
      </c>
      <c r="D51" s="55">
        <f t="shared" si="1"/>
        <v>-0.59995999999999583</v>
      </c>
      <c r="E51" s="55">
        <f t="shared" si="2"/>
        <v>-3.8160053936471727</v>
      </c>
      <c r="F51" s="29"/>
      <c r="G51" s="29"/>
      <c r="H51" s="29"/>
      <c r="I51" s="83">
        <v>43</v>
      </c>
    </row>
    <row r="52" spans="1:9">
      <c r="A52" s="109">
        <v>34414</v>
      </c>
      <c r="B52" s="52">
        <v>15.4444</v>
      </c>
      <c r="C52" s="52">
        <f t="shared" si="3"/>
        <v>15.722180000000002</v>
      </c>
      <c r="D52" s="52">
        <f t="shared" si="1"/>
        <v>-0.79446000000000261</v>
      </c>
      <c r="E52" s="52">
        <f t="shared" si="2"/>
        <v>-5.1440004143896987</v>
      </c>
      <c r="F52" s="28"/>
      <c r="G52" s="28"/>
      <c r="H52" s="28"/>
      <c r="I52" s="82">
        <v>44</v>
      </c>
    </row>
    <row r="53" spans="1:9">
      <c r="A53" s="109">
        <v>34415</v>
      </c>
      <c r="B53" s="52">
        <v>15.222200000000001</v>
      </c>
      <c r="C53" s="52">
        <f t="shared" si="3"/>
        <v>15.0722</v>
      </c>
      <c r="D53" s="52">
        <f t="shared" si="1"/>
        <v>-0.49998000000000076</v>
      </c>
      <c r="E53" s="52">
        <f t="shared" si="2"/>
        <v>-3.2845449409415242</v>
      </c>
      <c r="F53" s="28"/>
      <c r="G53" s="28"/>
      <c r="H53" s="28"/>
      <c r="I53" s="82">
        <v>45</v>
      </c>
    </row>
    <row r="54" spans="1:9">
      <c r="A54" s="110">
        <v>34416</v>
      </c>
      <c r="B54" s="55">
        <v>15.277799999999999</v>
      </c>
      <c r="C54" s="55">
        <f t="shared" si="3"/>
        <v>14.972240000000001</v>
      </c>
      <c r="D54" s="55">
        <f t="shared" si="1"/>
        <v>0.20559999999999867</v>
      </c>
      <c r="E54" s="55">
        <f t="shared" si="2"/>
        <v>1.3457434971003592</v>
      </c>
      <c r="F54" s="29"/>
      <c r="G54" s="29"/>
      <c r="H54" s="29"/>
      <c r="I54" s="83">
        <v>46</v>
      </c>
    </row>
    <row r="55" spans="1:9">
      <c r="A55" s="110">
        <v>34417</v>
      </c>
      <c r="B55" s="55">
        <v>14.8889</v>
      </c>
      <c r="C55" s="55">
        <f t="shared" si="3"/>
        <v>14.761139999999997</v>
      </c>
      <c r="D55" s="55">
        <f t="shared" si="1"/>
        <v>-8.3340000000001524E-2</v>
      </c>
      <c r="E55" s="55">
        <f t="shared" si="2"/>
        <v>-0.55974585093594242</v>
      </c>
      <c r="F55" s="29"/>
      <c r="G55" s="29"/>
      <c r="H55" s="29"/>
      <c r="I55" s="83">
        <v>47</v>
      </c>
    </row>
    <row r="56" spans="1:9">
      <c r="A56" s="109">
        <v>34418</v>
      </c>
      <c r="B56" s="52">
        <v>14.8889</v>
      </c>
      <c r="C56" s="52">
        <f t="shared" si="3"/>
        <v>14.71115</v>
      </c>
      <c r="D56" s="52">
        <f t="shared" si="1"/>
        <v>0.12776000000000209</v>
      </c>
      <c r="E56" s="52">
        <f t="shared" si="2"/>
        <v>0.85808891187396041</v>
      </c>
      <c r="F56" s="28"/>
      <c r="G56" s="28"/>
      <c r="H56" s="28"/>
      <c r="I56" s="82">
        <v>48</v>
      </c>
    </row>
    <row r="57" spans="1:9">
      <c r="A57" s="109">
        <v>34421</v>
      </c>
      <c r="B57" s="52">
        <v>14.777799999999999</v>
      </c>
      <c r="C57" s="52">
        <f t="shared" si="3"/>
        <v>14.62781</v>
      </c>
      <c r="D57" s="52">
        <f t="shared" si="1"/>
        <v>6.664999999999921E-2</v>
      </c>
      <c r="E57" s="52">
        <f t="shared" si="2"/>
        <v>0.45101435937689788</v>
      </c>
      <c r="F57" s="28"/>
      <c r="G57" s="28"/>
      <c r="H57" s="28"/>
      <c r="I57" s="82">
        <v>49</v>
      </c>
    </row>
    <row r="58" spans="1:9">
      <c r="A58" s="110">
        <v>34422</v>
      </c>
      <c r="B58" s="55">
        <v>14.5556</v>
      </c>
      <c r="C58" s="55">
        <f t="shared" si="3"/>
        <v>14.411150000000001</v>
      </c>
      <c r="D58" s="55">
        <f t="shared" si="1"/>
        <v>-7.2210000000000107E-2</v>
      </c>
      <c r="E58" s="55">
        <f t="shared" si="2"/>
        <v>-0.49609772183901801</v>
      </c>
      <c r="F58" s="29"/>
      <c r="G58" s="29"/>
      <c r="H58" s="29"/>
      <c r="I58" s="83">
        <v>50</v>
      </c>
    </row>
    <row r="59" spans="1:9">
      <c r="A59" s="110">
        <v>34423</v>
      </c>
      <c r="B59" s="55">
        <v>14.0556</v>
      </c>
      <c r="C59" s="55">
        <f t="shared" si="3"/>
        <v>14.033390000000002</v>
      </c>
      <c r="D59" s="55">
        <f t="shared" si="1"/>
        <v>-0.35555000000000092</v>
      </c>
      <c r="E59" s="55">
        <f t="shared" si="2"/>
        <v>-2.5295967443581273</v>
      </c>
      <c r="F59" s="29"/>
      <c r="G59" s="29"/>
      <c r="H59" s="29"/>
      <c r="I59" s="83">
        <v>51</v>
      </c>
    </row>
    <row r="60" spans="1:9">
      <c r="A60" s="109">
        <v>34424</v>
      </c>
      <c r="B60" s="52">
        <v>14.5556</v>
      </c>
      <c r="C60" s="52">
        <f t="shared" si="3"/>
        <v>14.150060000000003</v>
      </c>
      <c r="D60" s="52">
        <f t="shared" si="1"/>
        <v>0.52220999999999762</v>
      </c>
      <c r="E60" s="52">
        <f t="shared" si="2"/>
        <v>3.5876913352936164</v>
      </c>
      <c r="F60" s="28"/>
      <c r="G60" s="28"/>
      <c r="H60" s="28"/>
      <c r="I60" s="82">
        <v>52</v>
      </c>
    </row>
    <row r="61" spans="1:9">
      <c r="A61" s="109">
        <v>34428</v>
      </c>
      <c r="B61" s="52">
        <v>14.277799999999999</v>
      </c>
      <c r="C61" s="52">
        <f t="shared" si="3"/>
        <v>14.14448</v>
      </c>
      <c r="D61" s="52">
        <f t="shared" si="1"/>
        <v>0.12773999999999575</v>
      </c>
      <c r="E61" s="52">
        <f t="shared" si="2"/>
        <v>0.8946756503102421</v>
      </c>
      <c r="F61" s="28"/>
      <c r="G61" s="28"/>
      <c r="H61" s="28"/>
      <c r="I61" s="82">
        <v>53</v>
      </c>
    </row>
    <row r="62" spans="1:9">
      <c r="A62" s="110">
        <v>34429</v>
      </c>
      <c r="B62" s="55">
        <v>14.833299999999999</v>
      </c>
      <c r="C62" s="55">
        <f t="shared" si="3"/>
        <v>14.688859999999998</v>
      </c>
      <c r="D62" s="55">
        <f t="shared" si="1"/>
        <v>0.68881999999999977</v>
      </c>
      <c r="E62" s="55">
        <f t="shared" si="2"/>
        <v>4.6437407724511726</v>
      </c>
      <c r="F62" s="29"/>
      <c r="G62" s="29"/>
      <c r="H62" s="29"/>
      <c r="I62" s="83">
        <v>54</v>
      </c>
    </row>
    <row r="63" spans="1:9">
      <c r="A63" s="110">
        <v>34430</v>
      </c>
      <c r="B63" s="55">
        <v>14.8889</v>
      </c>
      <c r="C63" s="55">
        <f t="shared" si="3"/>
        <v>15.10553</v>
      </c>
      <c r="D63" s="55">
        <f t="shared" si="1"/>
        <v>0.20004000000000133</v>
      </c>
      <c r="E63" s="55">
        <f t="shared" si="2"/>
        <v>1.3435512361558029</v>
      </c>
      <c r="F63" s="29"/>
      <c r="G63" s="29"/>
      <c r="H63" s="29"/>
      <c r="I63" s="83">
        <v>55</v>
      </c>
    </row>
    <row r="64" spans="1:9">
      <c r="A64" s="2"/>
      <c r="C64" s="4"/>
      <c r="D64" s="4"/>
      <c r="E64" s="4"/>
      <c r="I64" s="83">
        <v>56</v>
      </c>
    </row>
    <row r="65" spans="1:5" ht="15">
      <c r="A65" s="241" t="s">
        <v>572</v>
      </c>
      <c r="C65" s="4"/>
      <c r="D65" s="4"/>
      <c r="E65" s="4"/>
    </row>
    <row r="66" spans="1:5" ht="15">
      <c r="A66" s="241" t="s">
        <v>570</v>
      </c>
      <c r="C66" s="4"/>
      <c r="D66" s="4"/>
      <c r="E66" s="4"/>
    </row>
    <row r="67" spans="1:5" ht="15">
      <c r="A67" s="241" t="s">
        <v>571</v>
      </c>
      <c r="C67" s="4"/>
      <c r="D67" s="4"/>
      <c r="E67" s="4"/>
    </row>
    <row r="68" spans="1:5">
      <c r="A68" s="2"/>
      <c r="C68" s="4"/>
      <c r="D68" s="4"/>
      <c r="E68" s="4"/>
    </row>
    <row r="69" spans="1:5">
      <c r="A69" s="2"/>
      <c r="C69" s="4"/>
      <c r="D69" s="4"/>
      <c r="E69" s="4"/>
    </row>
    <row r="70" spans="1:5">
      <c r="A70" s="2"/>
      <c r="C70" s="4"/>
      <c r="D70" s="4"/>
      <c r="E70" s="4"/>
    </row>
    <row r="71" spans="1:5">
      <c r="A71" s="2"/>
      <c r="C71" s="4"/>
      <c r="D71" s="4"/>
      <c r="E71" s="4"/>
    </row>
    <row r="72" spans="1:5">
      <c r="A72" s="2"/>
      <c r="C72" s="4"/>
      <c r="D72" s="4"/>
      <c r="E72" s="4"/>
    </row>
    <row r="73" spans="1:5">
      <c r="A73" s="2"/>
      <c r="C73" s="4"/>
      <c r="D73" s="4"/>
      <c r="E73" s="4"/>
    </row>
    <row r="74" spans="1:5">
      <c r="A74" s="2"/>
      <c r="C74" s="4"/>
      <c r="D74" s="4"/>
      <c r="E74" s="4"/>
    </row>
    <row r="75" spans="1:5">
      <c r="A75" s="2"/>
      <c r="C75" s="4"/>
      <c r="D75" s="4"/>
      <c r="E75" s="4"/>
    </row>
    <row r="76" spans="1:5">
      <c r="A76" s="2"/>
      <c r="C76" s="4"/>
      <c r="D76" s="4"/>
      <c r="E76" s="4"/>
    </row>
    <row r="77" spans="1:5">
      <c r="A77" s="2"/>
      <c r="C77" s="4"/>
      <c r="D77" s="4"/>
      <c r="E77" s="4"/>
    </row>
    <row r="78" spans="1:5">
      <c r="A78" s="2"/>
      <c r="C78" s="4"/>
      <c r="D78" s="4"/>
      <c r="E78" s="4"/>
    </row>
    <row r="79" spans="1:5">
      <c r="A79" s="2"/>
      <c r="C79" s="4"/>
      <c r="D79" s="4"/>
      <c r="E79" s="4"/>
    </row>
    <row r="80" spans="1:5">
      <c r="A80" s="2"/>
      <c r="C80" s="4"/>
      <c r="D80" s="4"/>
      <c r="E80" s="4"/>
    </row>
    <row r="81" spans="1:5">
      <c r="A81" s="2"/>
      <c r="C81" s="4"/>
      <c r="D81" s="4"/>
      <c r="E81" s="4"/>
    </row>
    <row r="82" spans="1:5">
      <c r="A82" s="2"/>
      <c r="C82" s="4"/>
      <c r="D82" s="4"/>
      <c r="E82" s="4"/>
    </row>
    <row r="83" spans="1:5">
      <c r="A83" s="2"/>
      <c r="C83" s="4"/>
      <c r="D83" s="4"/>
      <c r="E83" s="4"/>
    </row>
    <row r="84" spans="1:5">
      <c r="A84" s="2"/>
      <c r="C84" s="4"/>
      <c r="D84" s="4"/>
      <c r="E84" s="4"/>
    </row>
    <row r="85" spans="1:5">
      <c r="A85" s="2"/>
      <c r="C85" s="4"/>
      <c r="D85" s="4"/>
      <c r="E85" s="4"/>
    </row>
    <row r="86" spans="1:5">
      <c r="A86" s="2"/>
      <c r="C86" s="4"/>
      <c r="D86" s="4"/>
      <c r="E86" s="4"/>
    </row>
    <row r="87" spans="1:5">
      <c r="A87" s="2"/>
      <c r="C87" s="4"/>
      <c r="D87" s="4"/>
      <c r="E87" s="4"/>
    </row>
    <row r="88" spans="1:5">
      <c r="A88" s="2"/>
      <c r="C88" s="4"/>
      <c r="D88" s="4"/>
      <c r="E88" s="4"/>
    </row>
    <row r="89" spans="1:5">
      <c r="A89" s="2"/>
      <c r="C89" s="4"/>
      <c r="D89" s="4"/>
      <c r="E89" s="4"/>
    </row>
    <row r="90" spans="1:5">
      <c r="A90" s="2"/>
      <c r="C90" s="4"/>
      <c r="D90" s="4"/>
      <c r="E90" s="4"/>
    </row>
    <row r="91" spans="1:5">
      <c r="A91" s="2"/>
      <c r="C91" s="4"/>
      <c r="D91" s="4"/>
      <c r="E91" s="4"/>
    </row>
    <row r="92" spans="1:5">
      <c r="A92" s="2"/>
      <c r="C92" s="4"/>
      <c r="D92" s="4"/>
      <c r="E92" s="4"/>
    </row>
    <row r="93" spans="1:5">
      <c r="A93" s="2"/>
      <c r="C93" s="4"/>
      <c r="D93" s="4"/>
      <c r="E93" s="4"/>
    </row>
  </sheetData>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2227"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52228"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52229" r:id="rId5" name="Button 5">
              <controlPr defaultSize="0" print="0" autoFill="0" autoPict="0" macro="[0]!Previous_Button_Click">
                <anchor moveWithCells="1" sizeWithCells="1">
                  <from>
                    <xdr:col>3</xdr:col>
                    <xdr:colOff>203200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52230"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2" enableFormatConditionsCalculation="0"/>
  <dimension ref="A1:N56"/>
  <sheetViews>
    <sheetView workbookViewId="0"/>
  </sheetViews>
  <sheetFormatPr baseColWidth="10" defaultColWidth="8.83203125" defaultRowHeight="12" x14ac:dyDescent="0"/>
  <cols>
    <col min="1" max="1" width="12.33203125" customWidth="1"/>
    <col min="4" max="4" width="11.332031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312" t="s">
        <v>347</v>
      </c>
    </row>
    <row r="4" spans="1:14" ht="15">
      <c r="B4" s="241"/>
    </row>
    <row r="7" spans="1:14">
      <c r="A7" s="2"/>
      <c r="L7" s="2"/>
    </row>
    <row r="8" spans="1:14">
      <c r="A8" s="2"/>
      <c r="L8" s="2"/>
    </row>
    <row r="9" spans="1:14">
      <c r="A9" s="2"/>
      <c r="L9" s="2"/>
    </row>
    <row r="10" spans="1:14">
      <c r="A10" s="2"/>
      <c r="L10" s="2"/>
    </row>
    <row r="11" spans="1:14">
      <c r="A11" s="2"/>
      <c r="L11" s="2"/>
    </row>
    <row r="12" spans="1:14">
      <c r="A12" s="2"/>
      <c r="L12" s="2"/>
    </row>
    <row r="13" spans="1:14">
      <c r="A13" s="2"/>
      <c r="L13" s="2"/>
    </row>
    <row r="14" spans="1:14">
      <c r="A14" s="2"/>
      <c r="L14" s="2"/>
    </row>
    <row r="15" spans="1:14">
      <c r="A15" s="2"/>
      <c r="L15" s="2"/>
    </row>
    <row r="16" spans="1:14">
      <c r="A16" s="2"/>
      <c r="L16" s="2"/>
    </row>
    <row r="17" spans="1:12">
      <c r="A17" s="2"/>
      <c r="L17" s="2"/>
    </row>
    <row r="18" spans="1:12">
      <c r="A18" s="2"/>
      <c r="L18" s="2"/>
    </row>
    <row r="19" spans="1:12">
      <c r="A19" s="2"/>
      <c r="L19" s="2"/>
    </row>
    <row r="20" spans="1:12">
      <c r="A20" s="2"/>
      <c r="L20" s="2"/>
    </row>
    <row r="21" spans="1:12">
      <c r="A21" s="2"/>
      <c r="L21" s="2"/>
    </row>
    <row r="22" spans="1:12">
      <c r="A22" s="2"/>
      <c r="L22" s="2"/>
    </row>
    <row r="23" spans="1:12">
      <c r="A23" s="2"/>
      <c r="L23" s="2"/>
    </row>
    <row r="24" spans="1:12">
      <c r="A24" s="2"/>
      <c r="L24" s="2"/>
    </row>
    <row r="25" spans="1:12">
      <c r="A25" s="2"/>
      <c r="L25" s="2"/>
    </row>
    <row r="26" spans="1:12">
      <c r="A26" s="2"/>
      <c r="L26" s="2"/>
    </row>
    <row r="27" spans="1:12">
      <c r="A27" s="2"/>
      <c r="L27" s="2"/>
    </row>
    <row r="28" spans="1:12">
      <c r="A28" s="2"/>
      <c r="L28" s="2"/>
    </row>
    <row r="29" spans="1:12">
      <c r="A29" s="2"/>
      <c r="L29" s="2"/>
    </row>
    <row r="30" spans="1:12">
      <c r="A30" s="2"/>
      <c r="L30" s="2"/>
    </row>
    <row r="31" spans="1:12">
      <c r="A31" s="2"/>
      <c r="L31" s="2"/>
    </row>
    <row r="32" spans="1:12">
      <c r="A32" s="2"/>
      <c r="L32" s="2"/>
    </row>
    <row r="33" spans="1:12">
      <c r="A33" s="2"/>
      <c r="L33" s="2"/>
    </row>
    <row r="34" spans="1:12">
      <c r="A34" s="2"/>
      <c r="L34" s="2"/>
    </row>
    <row r="35" spans="1:12">
      <c r="A35" s="2"/>
      <c r="L35" s="2"/>
    </row>
    <row r="36" spans="1:12">
      <c r="A36" s="2"/>
      <c r="L36" s="2"/>
    </row>
    <row r="37" spans="1:12">
      <c r="A37" s="2"/>
      <c r="L37" s="2"/>
    </row>
    <row r="38" spans="1:12">
      <c r="A38" s="2"/>
      <c r="L38" s="2"/>
    </row>
    <row r="39" spans="1:12">
      <c r="A39" s="2"/>
      <c r="L39" s="2"/>
    </row>
    <row r="40" spans="1:12">
      <c r="A40" s="2"/>
      <c r="L40" s="2"/>
    </row>
    <row r="41" spans="1:12">
      <c r="A41" s="2"/>
      <c r="L41" s="2"/>
    </row>
    <row r="42" spans="1:12">
      <c r="A42" s="2"/>
      <c r="L42" s="2"/>
    </row>
    <row r="43" spans="1:12">
      <c r="A43" s="2"/>
      <c r="L43" s="2"/>
    </row>
    <row r="44" spans="1:12">
      <c r="A44" s="2"/>
      <c r="L44" s="2"/>
    </row>
    <row r="45" spans="1:12">
      <c r="A45" s="2"/>
      <c r="L45" s="2"/>
    </row>
    <row r="46" spans="1:12">
      <c r="A46" s="2"/>
      <c r="L46" s="2"/>
    </row>
    <row r="47" spans="1:12">
      <c r="A47" s="2"/>
      <c r="L47" s="2"/>
    </row>
    <row r="48" spans="1:12">
      <c r="A48" s="2"/>
      <c r="L48" s="2"/>
    </row>
    <row r="49" spans="1:12">
      <c r="A49" s="2"/>
      <c r="L49" s="2"/>
    </row>
    <row r="50" spans="1:12">
      <c r="A50" s="2"/>
      <c r="L50" s="2"/>
    </row>
    <row r="51" spans="1:12">
      <c r="A51" s="2"/>
      <c r="L51" s="2"/>
    </row>
    <row r="52" spans="1:12">
      <c r="A52" s="2"/>
      <c r="L52" s="2"/>
    </row>
    <row r="53" spans="1:12">
      <c r="A53" s="2"/>
      <c r="L53" s="2"/>
    </row>
    <row r="54" spans="1:12">
      <c r="A54" s="2"/>
      <c r="L54" s="2"/>
    </row>
    <row r="55" spans="1:12">
      <c r="A55" s="2"/>
      <c r="L55" s="2"/>
    </row>
    <row r="56" spans="1:12">
      <c r="A56" s="2"/>
      <c r="L56" s="2"/>
    </row>
  </sheetData>
  <phoneticPr fontId="0" type="noConversion"/>
  <hyperlinks>
    <hyperlink ref="A3" r:id="rId1" location="'Relative Voltlty Idx &amp; Inertia'!A1"/>
  </hyperlinks>
  <pageMargins left="0.75" right="0.75" top="1" bottom="1" header="0.5" footer="0.5"/>
  <pageSetup orientation="portrait" horizontalDpi="300" verticalDpi="300"/>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04450" r:id="rId5"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04451" r:id="rId6"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04452" r:id="rId7"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enableFormatConditionsCalculation="0"/>
  <dimension ref="A1:N328"/>
  <sheetViews>
    <sheetView workbookViewId="0"/>
  </sheetViews>
  <sheetFormatPr baseColWidth="10" defaultColWidth="8.83203125" defaultRowHeight="12" x14ac:dyDescent="0"/>
  <cols>
    <col min="1" max="1" width="12.83203125" customWidth="1"/>
    <col min="3" max="3" width="9.5" customWidth="1"/>
    <col min="4" max="4" width="11.5" customWidth="1"/>
    <col min="5" max="5" width="14.6640625" customWidth="1"/>
    <col min="6" max="6" width="11.33203125" customWidth="1"/>
    <col min="7" max="7" width="16.1640625" customWidth="1"/>
    <col min="8" max="8" width="11.6640625" customWidth="1"/>
    <col min="9" max="9" width="9.83203125" customWidth="1"/>
    <col min="10" max="10" width="12.332031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1217</v>
      </c>
      <c r="C3" s="21"/>
      <c r="D3" s="21"/>
      <c r="E3" s="21"/>
      <c r="F3" s="21"/>
      <c r="G3" s="21"/>
      <c r="H3" s="21"/>
      <c r="I3" s="21"/>
      <c r="J3" s="21"/>
    </row>
    <row r="4" spans="1:14">
      <c r="A4" s="19" t="s">
        <v>774</v>
      </c>
      <c r="B4" s="20" t="s">
        <v>120</v>
      </c>
      <c r="C4" s="21"/>
      <c r="D4" s="21"/>
      <c r="E4" s="21"/>
      <c r="F4" s="21"/>
      <c r="G4" s="21"/>
      <c r="H4" s="21"/>
      <c r="I4" s="21"/>
      <c r="J4" s="21"/>
    </row>
    <row r="5" spans="1:14" ht="45" customHeight="1">
      <c r="A5" s="118" t="s">
        <v>779</v>
      </c>
      <c r="B5" s="446" t="s">
        <v>1299</v>
      </c>
      <c r="C5" s="446"/>
      <c r="D5" s="446"/>
      <c r="E5" s="446"/>
      <c r="F5" s="446"/>
      <c r="G5" s="446"/>
      <c r="H5" s="446"/>
      <c r="I5" s="446"/>
      <c r="J5" s="446"/>
    </row>
    <row r="6" spans="1:14" ht="15">
      <c r="A6" s="19"/>
      <c r="B6" s="127" t="s">
        <v>1300</v>
      </c>
      <c r="C6" s="21"/>
      <c r="D6" s="21"/>
      <c r="E6" s="21"/>
      <c r="F6" s="21"/>
      <c r="G6" s="21"/>
      <c r="H6" s="21"/>
      <c r="I6" s="21"/>
      <c r="J6" s="21"/>
    </row>
    <row r="7" spans="1:14" ht="43.5" customHeight="1">
      <c r="A7" s="19"/>
      <c r="B7" s="373"/>
      <c r="C7" s="21"/>
      <c r="D7" s="21"/>
      <c r="E7" s="21"/>
      <c r="F7" s="21"/>
      <c r="G7" s="21"/>
      <c r="H7" s="21"/>
      <c r="I7" s="21"/>
      <c r="J7" s="21"/>
    </row>
    <row r="8" spans="1:14" ht="14.25" customHeight="1">
      <c r="A8" s="118"/>
      <c r="B8" s="21" t="s">
        <v>1205</v>
      </c>
      <c r="C8" s="21"/>
      <c r="D8" s="21"/>
      <c r="E8" s="21"/>
      <c r="F8" s="21"/>
      <c r="G8" s="21"/>
      <c r="H8" s="21"/>
      <c r="I8" s="21"/>
      <c r="J8" s="21"/>
    </row>
    <row r="9" spans="1:14" ht="12.75" customHeight="1">
      <c r="A9" s="19"/>
      <c r="B9" s="456" t="s">
        <v>573</v>
      </c>
      <c r="C9" s="456"/>
      <c r="D9" s="456"/>
      <c r="E9" s="456"/>
      <c r="F9" s="456"/>
      <c r="G9" s="456"/>
      <c r="H9" s="456"/>
      <c r="I9" s="456"/>
      <c r="J9" s="456"/>
    </row>
    <row r="10" spans="1:14" ht="12.75" customHeight="1">
      <c r="A10" s="19"/>
      <c r="B10" s="456" t="s">
        <v>574</v>
      </c>
      <c r="C10" s="456"/>
      <c r="D10" s="456"/>
      <c r="E10" s="456"/>
      <c r="F10" s="456"/>
      <c r="G10" s="456"/>
      <c r="H10" s="456"/>
      <c r="I10" s="456"/>
      <c r="J10" s="456"/>
    </row>
    <row r="11" spans="1:14">
      <c r="A11" s="19" t="s">
        <v>635</v>
      </c>
      <c r="B11" s="21" t="s">
        <v>640</v>
      </c>
      <c r="C11" s="21"/>
      <c r="D11" s="21"/>
      <c r="E11" s="21"/>
      <c r="F11" s="21"/>
      <c r="G11" s="21"/>
      <c r="H11" s="21"/>
      <c r="I11" s="21"/>
      <c r="J11" s="21"/>
    </row>
    <row r="12" spans="1:14" s="1" customFormat="1" ht="40.5" customHeight="1">
      <c r="A12" s="22" t="s">
        <v>1090</v>
      </c>
      <c r="B12" s="22" t="s">
        <v>1206</v>
      </c>
      <c r="C12" s="22" t="s">
        <v>1098</v>
      </c>
      <c r="D12" s="31" t="s">
        <v>575</v>
      </c>
      <c r="E12" s="31" t="s">
        <v>576</v>
      </c>
      <c r="F12" s="31" t="s">
        <v>320</v>
      </c>
      <c r="G12" s="31" t="s">
        <v>577</v>
      </c>
      <c r="H12" s="31" t="s">
        <v>578</v>
      </c>
      <c r="I12" s="31" t="s">
        <v>579</v>
      </c>
      <c r="J12" s="31" t="s">
        <v>580</v>
      </c>
    </row>
    <row r="13" spans="1:14">
      <c r="A13" s="26">
        <v>34486</v>
      </c>
      <c r="B13" s="52">
        <v>18.583300000000001</v>
      </c>
      <c r="C13" s="52">
        <v>18.5</v>
      </c>
      <c r="D13" s="133">
        <f>C13-B13</f>
        <v>-8.3300000000001262E-2</v>
      </c>
      <c r="E13" s="52">
        <f>IF(D13&gt;0,D13,0)</f>
        <v>0</v>
      </c>
      <c r="F13" s="28"/>
      <c r="G13" s="52">
        <f>IF(D13&lt;0,ABS(D13),0)</f>
        <v>8.3300000000001262E-2</v>
      </c>
      <c r="H13" s="52"/>
      <c r="I13" s="52"/>
      <c r="J13" s="52"/>
    </row>
    <row r="14" spans="1:14">
      <c r="A14" s="26">
        <v>34487</v>
      </c>
      <c r="B14" s="52">
        <v>18.541699999999999</v>
      </c>
      <c r="C14" s="52">
        <v>18.416699999999999</v>
      </c>
      <c r="D14" s="133">
        <f t="shared" ref="D14:D29" si="0">C14-B14</f>
        <v>-0.125</v>
      </c>
      <c r="E14" s="52">
        <f t="shared" ref="E14:E29" si="1">IF(D14&gt;0,D14,0)</f>
        <v>0</v>
      </c>
      <c r="F14" s="28"/>
      <c r="G14" s="52">
        <f t="shared" ref="G14:G29" si="2">IF(D14&lt;0,ABS(D14),0)</f>
        <v>0.125</v>
      </c>
      <c r="H14" s="52"/>
      <c r="I14" s="52"/>
      <c r="J14" s="52"/>
    </row>
    <row r="15" spans="1:14">
      <c r="A15" s="27">
        <v>34488</v>
      </c>
      <c r="B15" s="55">
        <v>18.416699999999999</v>
      </c>
      <c r="C15" s="55">
        <v>18.166699999999999</v>
      </c>
      <c r="D15" s="134">
        <f t="shared" si="0"/>
        <v>-0.25</v>
      </c>
      <c r="E15" s="55">
        <f t="shared" si="1"/>
        <v>0</v>
      </c>
      <c r="F15" s="29"/>
      <c r="G15" s="55">
        <f t="shared" si="2"/>
        <v>0.25</v>
      </c>
      <c r="H15" s="55"/>
      <c r="I15" s="55"/>
      <c r="J15" s="55"/>
    </row>
    <row r="16" spans="1:14">
      <c r="A16" s="27">
        <v>34491</v>
      </c>
      <c r="B16" s="55">
        <v>18.166699999999999</v>
      </c>
      <c r="C16" s="55">
        <v>18.125</v>
      </c>
      <c r="D16" s="134">
        <f t="shared" si="0"/>
        <v>-4.1699999999998738E-2</v>
      </c>
      <c r="E16" s="55">
        <f t="shared" si="1"/>
        <v>0</v>
      </c>
      <c r="F16" s="29"/>
      <c r="G16" s="55">
        <f t="shared" si="2"/>
        <v>4.1699999999998738E-2</v>
      </c>
      <c r="H16" s="55"/>
      <c r="I16" s="55"/>
      <c r="J16" s="55"/>
    </row>
    <row r="17" spans="1:10">
      <c r="A17" s="26">
        <v>34492</v>
      </c>
      <c r="B17" s="52">
        <v>18.166699999999999</v>
      </c>
      <c r="C17" s="52">
        <v>17.958300000000001</v>
      </c>
      <c r="D17" s="133">
        <f t="shared" si="0"/>
        <v>-0.20839999999999748</v>
      </c>
      <c r="E17" s="52">
        <f t="shared" si="1"/>
        <v>0</v>
      </c>
      <c r="F17" s="28"/>
      <c r="G17" s="52">
        <f t="shared" si="2"/>
        <v>0.20839999999999748</v>
      </c>
      <c r="H17" s="52"/>
      <c r="I17" s="52"/>
      <c r="J17" s="52"/>
    </row>
    <row r="18" spans="1:10">
      <c r="A18" s="26">
        <v>34493</v>
      </c>
      <c r="B18" s="52">
        <v>18.041699999999999</v>
      </c>
      <c r="C18" s="52">
        <v>18</v>
      </c>
      <c r="D18" s="133">
        <f t="shared" si="0"/>
        <v>-4.1699999999998738E-2</v>
      </c>
      <c r="E18" s="52">
        <f t="shared" si="1"/>
        <v>0</v>
      </c>
      <c r="F18" s="28"/>
      <c r="G18" s="52">
        <f t="shared" si="2"/>
        <v>4.1699999999998738E-2</v>
      </c>
      <c r="H18" s="52"/>
      <c r="I18" s="52"/>
      <c r="J18" s="52"/>
    </row>
    <row r="19" spans="1:10">
      <c r="A19" s="27">
        <v>34494</v>
      </c>
      <c r="B19" s="55">
        <v>18</v>
      </c>
      <c r="C19" s="55">
        <v>17.958300000000001</v>
      </c>
      <c r="D19" s="134">
        <f t="shared" si="0"/>
        <v>-4.1699999999998738E-2</v>
      </c>
      <c r="E19" s="55">
        <f t="shared" si="1"/>
        <v>0</v>
      </c>
      <c r="F19" s="29"/>
      <c r="G19" s="55">
        <f t="shared" si="2"/>
        <v>4.1699999999998738E-2</v>
      </c>
      <c r="H19" s="55"/>
      <c r="I19" s="55"/>
      <c r="J19" s="55"/>
    </row>
    <row r="20" spans="1:10">
      <c r="A20" s="27">
        <v>34495</v>
      </c>
      <c r="B20" s="55">
        <v>17.916699999999999</v>
      </c>
      <c r="C20" s="55">
        <v>17.833300000000001</v>
      </c>
      <c r="D20" s="134">
        <f t="shared" si="0"/>
        <v>-8.3399999999997476E-2</v>
      </c>
      <c r="E20" s="55">
        <f t="shared" si="1"/>
        <v>0</v>
      </c>
      <c r="F20" s="29"/>
      <c r="G20" s="55">
        <f t="shared" si="2"/>
        <v>8.3399999999997476E-2</v>
      </c>
      <c r="H20" s="55"/>
      <c r="I20" s="55"/>
      <c r="J20" s="55"/>
    </row>
    <row r="21" spans="1:10">
      <c r="A21" s="26">
        <v>34498</v>
      </c>
      <c r="B21" s="52">
        <v>17.791699999999999</v>
      </c>
      <c r="C21" s="52">
        <v>17.958300000000001</v>
      </c>
      <c r="D21" s="133">
        <f t="shared" si="0"/>
        <v>0.16660000000000252</v>
      </c>
      <c r="E21" s="52">
        <f t="shared" si="1"/>
        <v>0.16660000000000252</v>
      </c>
      <c r="F21" s="28"/>
      <c r="G21" s="52">
        <f t="shared" si="2"/>
        <v>0</v>
      </c>
      <c r="H21" s="52"/>
      <c r="I21" s="52"/>
      <c r="J21" s="52"/>
    </row>
    <row r="22" spans="1:10">
      <c r="A22" s="26">
        <v>34499</v>
      </c>
      <c r="B22" s="52">
        <v>18.041699999999999</v>
      </c>
      <c r="C22" s="52">
        <v>18.541699999999999</v>
      </c>
      <c r="D22" s="133">
        <f t="shared" si="0"/>
        <v>0.5</v>
      </c>
      <c r="E22" s="52">
        <f t="shared" si="1"/>
        <v>0.5</v>
      </c>
      <c r="F22" s="28"/>
      <c r="G22" s="52">
        <f t="shared" si="2"/>
        <v>0</v>
      </c>
      <c r="H22" s="52"/>
      <c r="I22" s="52"/>
      <c r="J22" s="52"/>
    </row>
    <row r="23" spans="1:10">
      <c r="A23" s="27">
        <v>34500</v>
      </c>
      <c r="B23" s="55">
        <v>18.541699999999999</v>
      </c>
      <c r="C23" s="55">
        <v>18.333300000000001</v>
      </c>
      <c r="D23" s="134">
        <f t="shared" si="0"/>
        <v>-0.20839999999999748</v>
      </c>
      <c r="E23" s="55">
        <f t="shared" si="1"/>
        <v>0</v>
      </c>
      <c r="F23" s="29"/>
      <c r="G23" s="55">
        <f t="shared" si="2"/>
        <v>0.20839999999999748</v>
      </c>
      <c r="H23" s="55"/>
      <c r="I23" s="55"/>
      <c r="J23" s="55"/>
    </row>
    <row r="24" spans="1:10">
      <c r="A24" s="27">
        <v>34501</v>
      </c>
      <c r="B24" s="55">
        <v>18.333300000000001</v>
      </c>
      <c r="C24" s="55">
        <v>18.291699999999999</v>
      </c>
      <c r="D24" s="134">
        <f t="shared" si="0"/>
        <v>-4.1600000000002524E-2</v>
      </c>
      <c r="E24" s="55">
        <f t="shared" si="1"/>
        <v>0</v>
      </c>
      <c r="F24" s="29"/>
      <c r="G24" s="55">
        <f t="shared" si="2"/>
        <v>4.1600000000002524E-2</v>
      </c>
      <c r="H24" s="55"/>
      <c r="I24" s="55"/>
      <c r="J24" s="55"/>
    </row>
    <row r="25" spans="1:10">
      <c r="A25" s="26">
        <v>34502</v>
      </c>
      <c r="B25" s="52">
        <v>18.291699999999999</v>
      </c>
      <c r="C25" s="52">
        <v>18.291699999999999</v>
      </c>
      <c r="D25" s="133">
        <f t="shared" si="0"/>
        <v>0</v>
      </c>
      <c r="E25" s="52">
        <f t="shared" si="1"/>
        <v>0</v>
      </c>
      <c r="F25" s="28"/>
      <c r="G25" s="52">
        <f t="shared" si="2"/>
        <v>0</v>
      </c>
      <c r="H25" s="52"/>
      <c r="I25" s="52"/>
      <c r="J25" s="52"/>
    </row>
    <row r="26" spans="1:10">
      <c r="A26" s="26">
        <v>34505</v>
      </c>
      <c r="B26" s="52">
        <v>18.208300000000001</v>
      </c>
      <c r="C26" s="52">
        <v>18.375</v>
      </c>
      <c r="D26" s="133">
        <f t="shared" si="0"/>
        <v>0.16669999999999874</v>
      </c>
      <c r="E26" s="52">
        <f t="shared" si="1"/>
        <v>0.16669999999999874</v>
      </c>
      <c r="F26" s="52">
        <f>SUM(E13:E26)</f>
        <v>0.83330000000000126</v>
      </c>
      <c r="G26" s="52">
        <f t="shared" si="2"/>
        <v>0</v>
      </c>
      <c r="H26" s="52">
        <f>SUM(G13:G26)</f>
        <v>1.1251999999999924</v>
      </c>
      <c r="I26" s="52">
        <f>F26+H26</f>
        <v>1.9584999999999937</v>
      </c>
      <c r="J26" s="52">
        <f>F26/I26*100</f>
        <v>42.547868266530706</v>
      </c>
    </row>
    <row r="27" spans="1:10">
      <c r="A27" s="27">
        <v>34506</v>
      </c>
      <c r="B27" s="55">
        <v>18.333300000000001</v>
      </c>
      <c r="C27" s="55">
        <v>18.166699999999999</v>
      </c>
      <c r="D27" s="134">
        <f t="shared" si="0"/>
        <v>-0.16660000000000252</v>
      </c>
      <c r="E27" s="55">
        <f t="shared" si="1"/>
        <v>0</v>
      </c>
      <c r="F27" s="55">
        <f t="shared" ref="F27:F42" si="3">SUM(E14:E27)</f>
        <v>0.83330000000000126</v>
      </c>
      <c r="G27" s="55">
        <f t="shared" si="2"/>
        <v>0.16660000000000252</v>
      </c>
      <c r="H27" s="55">
        <f t="shared" ref="H27:H42" si="4">SUM(G14:G27)</f>
        <v>1.2084999999999937</v>
      </c>
      <c r="I27" s="55">
        <f t="shared" ref="I27:I66" si="5">F27+H27</f>
        <v>2.041799999999995</v>
      </c>
      <c r="J27" s="55">
        <f t="shared" ref="J27:J66" si="6">F27/I27*100</f>
        <v>40.812028602213893</v>
      </c>
    </row>
    <row r="28" spans="1:10">
      <c r="A28" s="27">
        <v>34507</v>
      </c>
      <c r="B28" s="55">
        <v>18.166699999999999</v>
      </c>
      <c r="C28" s="55">
        <v>18.125</v>
      </c>
      <c r="D28" s="134">
        <f t="shared" si="0"/>
        <v>-4.1699999999998738E-2</v>
      </c>
      <c r="E28" s="55">
        <f t="shared" si="1"/>
        <v>0</v>
      </c>
      <c r="F28" s="55">
        <f t="shared" si="3"/>
        <v>0.83330000000000126</v>
      </c>
      <c r="G28" s="55">
        <f t="shared" si="2"/>
        <v>4.1699999999998738E-2</v>
      </c>
      <c r="H28" s="55">
        <f t="shared" si="4"/>
        <v>1.1251999999999924</v>
      </c>
      <c r="I28" s="55">
        <f t="shared" si="5"/>
        <v>1.9584999999999937</v>
      </c>
      <c r="J28" s="55">
        <f t="shared" si="6"/>
        <v>42.547868266530706</v>
      </c>
    </row>
    <row r="29" spans="1:10">
      <c r="A29" s="26">
        <v>34508</v>
      </c>
      <c r="B29" s="52">
        <v>18.125</v>
      </c>
      <c r="C29" s="52">
        <v>18.083300000000001</v>
      </c>
      <c r="D29" s="133">
        <f t="shared" si="0"/>
        <v>-4.1699999999998738E-2</v>
      </c>
      <c r="E29" s="52">
        <f t="shared" si="1"/>
        <v>0</v>
      </c>
      <c r="F29" s="52">
        <f t="shared" si="3"/>
        <v>0.83330000000000126</v>
      </c>
      <c r="G29" s="52">
        <f t="shared" si="2"/>
        <v>4.1699999999998738E-2</v>
      </c>
      <c r="H29" s="52">
        <f t="shared" si="4"/>
        <v>0.91689999999999117</v>
      </c>
      <c r="I29" s="52">
        <f t="shared" si="5"/>
        <v>1.7501999999999924</v>
      </c>
      <c r="J29" s="52">
        <f t="shared" si="6"/>
        <v>47.611701519826582</v>
      </c>
    </row>
    <row r="30" spans="1:10">
      <c r="A30" s="26">
        <v>34509</v>
      </c>
      <c r="B30" s="52">
        <v>18</v>
      </c>
      <c r="C30" s="52">
        <v>17.916699999999999</v>
      </c>
      <c r="D30" s="133">
        <f t="shared" ref="D30:D45" si="7">C30-B30</f>
        <v>-8.3300000000001262E-2</v>
      </c>
      <c r="E30" s="52">
        <f t="shared" ref="E30:E45" si="8">IF(D30&gt;0,D30,0)</f>
        <v>0</v>
      </c>
      <c r="F30" s="52">
        <f t="shared" si="3"/>
        <v>0.83330000000000126</v>
      </c>
      <c r="G30" s="52">
        <f t="shared" ref="G30:G45" si="9">IF(D30&lt;0,ABS(D30),0)</f>
        <v>8.3300000000001262E-2</v>
      </c>
      <c r="H30" s="52">
        <f t="shared" si="4"/>
        <v>0.95849999999999369</v>
      </c>
      <c r="I30" s="52">
        <f t="shared" si="5"/>
        <v>1.791799999999995</v>
      </c>
      <c r="J30" s="52">
        <f t="shared" si="6"/>
        <v>46.506306507422906</v>
      </c>
    </row>
    <row r="31" spans="1:10">
      <c r="A31" s="27">
        <v>34512</v>
      </c>
      <c r="B31" s="55">
        <v>17.833300000000001</v>
      </c>
      <c r="C31" s="55">
        <v>17.875</v>
      </c>
      <c r="D31" s="134">
        <f t="shared" si="7"/>
        <v>4.1699999999998738E-2</v>
      </c>
      <c r="E31" s="55">
        <f t="shared" si="8"/>
        <v>4.1699999999998738E-2</v>
      </c>
      <c r="F31" s="55">
        <f t="shared" si="3"/>
        <v>0.875</v>
      </c>
      <c r="G31" s="55">
        <f t="shared" si="9"/>
        <v>0</v>
      </c>
      <c r="H31" s="55">
        <f t="shared" si="4"/>
        <v>0.75009999999999621</v>
      </c>
      <c r="I31" s="55">
        <f t="shared" si="5"/>
        <v>1.6250999999999962</v>
      </c>
      <c r="J31" s="55">
        <f t="shared" si="6"/>
        <v>53.842840440588404</v>
      </c>
    </row>
    <row r="32" spans="1:10">
      <c r="A32" s="27">
        <v>34513</v>
      </c>
      <c r="B32" s="55">
        <v>17.791699999999999</v>
      </c>
      <c r="C32" s="55">
        <v>17.833300000000001</v>
      </c>
      <c r="D32" s="134">
        <f t="shared" si="7"/>
        <v>4.1600000000002524E-2</v>
      </c>
      <c r="E32" s="55">
        <f t="shared" si="8"/>
        <v>4.1600000000002524E-2</v>
      </c>
      <c r="F32" s="55">
        <f t="shared" si="3"/>
        <v>0.91660000000000252</v>
      </c>
      <c r="G32" s="55">
        <f t="shared" si="9"/>
        <v>0</v>
      </c>
      <c r="H32" s="55">
        <f t="shared" si="4"/>
        <v>0.70839999999999748</v>
      </c>
      <c r="I32" s="55">
        <f t="shared" si="5"/>
        <v>1.625</v>
      </c>
      <c r="J32" s="55">
        <f t="shared" si="6"/>
        <v>56.406153846154005</v>
      </c>
    </row>
    <row r="33" spans="1:10">
      <c r="A33" s="26">
        <v>34514</v>
      </c>
      <c r="B33" s="52">
        <v>17.875</v>
      </c>
      <c r="C33" s="52">
        <v>17.833300000000001</v>
      </c>
      <c r="D33" s="133">
        <f t="shared" si="7"/>
        <v>-4.1699999999998738E-2</v>
      </c>
      <c r="E33" s="52">
        <f t="shared" si="8"/>
        <v>0</v>
      </c>
      <c r="F33" s="52">
        <f t="shared" si="3"/>
        <v>0.91660000000000252</v>
      </c>
      <c r="G33" s="52">
        <f t="shared" si="9"/>
        <v>4.1699999999998738E-2</v>
      </c>
      <c r="H33" s="52">
        <f t="shared" si="4"/>
        <v>0.70839999999999748</v>
      </c>
      <c r="I33" s="52">
        <f t="shared" si="5"/>
        <v>1.625</v>
      </c>
      <c r="J33" s="52">
        <f t="shared" si="6"/>
        <v>56.406153846154005</v>
      </c>
    </row>
    <row r="34" spans="1:10">
      <c r="A34" s="26">
        <v>34515</v>
      </c>
      <c r="B34" s="52">
        <v>17.833300000000001</v>
      </c>
      <c r="C34" s="52">
        <v>17.791699999999999</v>
      </c>
      <c r="D34" s="133">
        <f t="shared" si="7"/>
        <v>-4.1600000000002524E-2</v>
      </c>
      <c r="E34" s="52">
        <f t="shared" si="8"/>
        <v>0</v>
      </c>
      <c r="F34" s="52">
        <f t="shared" si="3"/>
        <v>0.91660000000000252</v>
      </c>
      <c r="G34" s="52">
        <f t="shared" si="9"/>
        <v>4.1600000000002524E-2</v>
      </c>
      <c r="H34" s="52">
        <f t="shared" si="4"/>
        <v>0.66660000000000252</v>
      </c>
      <c r="I34" s="52">
        <f t="shared" si="5"/>
        <v>1.583200000000005</v>
      </c>
      <c r="J34" s="52">
        <f t="shared" si="6"/>
        <v>57.895401718039388</v>
      </c>
    </row>
    <row r="35" spans="1:10">
      <c r="A35" s="27">
        <v>34516</v>
      </c>
      <c r="B35" s="55">
        <v>17.791699999999999</v>
      </c>
      <c r="C35" s="55">
        <v>17.875</v>
      </c>
      <c r="D35" s="134">
        <f t="shared" si="7"/>
        <v>8.3300000000001262E-2</v>
      </c>
      <c r="E35" s="55">
        <f t="shared" si="8"/>
        <v>8.3300000000001262E-2</v>
      </c>
      <c r="F35" s="55">
        <f t="shared" si="3"/>
        <v>0.83330000000000126</v>
      </c>
      <c r="G35" s="55">
        <f t="shared" si="9"/>
        <v>0</v>
      </c>
      <c r="H35" s="55">
        <f t="shared" si="4"/>
        <v>0.66660000000000252</v>
      </c>
      <c r="I35" s="55">
        <f t="shared" si="5"/>
        <v>1.4999000000000038</v>
      </c>
      <c r="J35" s="55">
        <f t="shared" si="6"/>
        <v>55.557037135808997</v>
      </c>
    </row>
    <row r="36" spans="1:10">
      <c r="A36" s="27">
        <v>34520</v>
      </c>
      <c r="B36" s="55">
        <v>17.875</v>
      </c>
      <c r="C36" s="55">
        <v>17.75</v>
      </c>
      <c r="D36" s="134">
        <f t="shared" si="7"/>
        <v>-0.125</v>
      </c>
      <c r="E36" s="55">
        <f t="shared" si="8"/>
        <v>0</v>
      </c>
      <c r="F36" s="55">
        <f t="shared" si="3"/>
        <v>0.33330000000000126</v>
      </c>
      <c r="G36" s="55">
        <f t="shared" si="9"/>
        <v>0.125</v>
      </c>
      <c r="H36" s="55">
        <f t="shared" si="4"/>
        <v>0.79160000000000252</v>
      </c>
      <c r="I36" s="55">
        <f t="shared" si="5"/>
        <v>1.1249000000000038</v>
      </c>
      <c r="J36" s="55">
        <f t="shared" si="6"/>
        <v>29.629300382256211</v>
      </c>
    </row>
    <row r="37" spans="1:10">
      <c r="A37" s="26">
        <v>34521</v>
      </c>
      <c r="B37" s="52">
        <v>17.666699999999999</v>
      </c>
      <c r="C37" s="52">
        <v>17.458300000000001</v>
      </c>
      <c r="D37" s="133">
        <f t="shared" si="7"/>
        <v>-0.20839999999999748</v>
      </c>
      <c r="E37" s="52">
        <f t="shared" si="8"/>
        <v>0</v>
      </c>
      <c r="F37" s="52">
        <f t="shared" si="3"/>
        <v>0.33330000000000126</v>
      </c>
      <c r="G37" s="52">
        <f t="shared" si="9"/>
        <v>0.20839999999999748</v>
      </c>
      <c r="H37" s="52">
        <f t="shared" si="4"/>
        <v>0.79160000000000252</v>
      </c>
      <c r="I37" s="52">
        <f t="shared" si="5"/>
        <v>1.1249000000000038</v>
      </c>
      <c r="J37" s="52">
        <f t="shared" si="6"/>
        <v>29.629300382256211</v>
      </c>
    </row>
    <row r="38" spans="1:10">
      <c r="A38" s="26">
        <v>34522</v>
      </c>
      <c r="B38" s="52">
        <v>17.541699999999999</v>
      </c>
      <c r="C38" s="52">
        <v>17.541699999999999</v>
      </c>
      <c r="D38" s="133">
        <f t="shared" si="7"/>
        <v>0</v>
      </c>
      <c r="E38" s="52">
        <f t="shared" si="8"/>
        <v>0</v>
      </c>
      <c r="F38" s="52">
        <f t="shared" si="3"/>
        <v>0.33330000000000126</v>
      </c>
      <c r="G38" s="52">
        <f t="shared" si="9"/>
        <v>0</v>
      </c>
      <c r="H38" s="52">
        <f t="shared" si="4"/>
        <v>0.75</v>
      </c>
      <c r="I38" s="52">
        <f t="shared" si="5"/>
        <v>1.0833000000000013</v>
      </c>
      <c r="J38" s="52">
        <f t="shared" si="6"/>
        <v>30.767100526170115</v>
      </c>
    </row>
    <row r="39" spans="1:10">
      <c r="A39" s="27">
        <v>34523</v>
      </c>
      <c r="B39" s="55">
        <v>17.541699999999999</v>
      </c>
      <c r="C39" s="55">
        <v>17.625</v>
      </c>
      <c r="D39" s="134">
        <f t="shared" si="7"/>
        <v>8.3300000000001262E-2</v>
      </c>
      <c r="E39" s="55">
        <f t="shared" si="8"/>
        <v>8.3300000000001262E-2</v>
      </c>
      <c r="F39" s="55">
        <f t="shared" si="3"/>
        <v>0.41660000000000252</v>
      </c>
      <c r="G39" s="55">
        <f t="shared" si="9"/>
        <v>0</v>
      </c>
      <c r="H39" s="55">
        <f t="shared" si="4"/>
        <v>0.75</v>
      </c>
      <c r="I39" s="55">
        <f t="shared" si="5"/>
        <v>1.1666000000000025</v>
      </c>
      <c r="J39" s="55">
        <f t="shared" si="6"/>
        <v>35.710612034973565</v>
      </c>
    </row>
    <row r="40" spans="1:10">
      <c r="A40" s="27">
        <v>34526</v>
      </c>
      <c r="B40" s="55">
        <v>17.625</v>
      </c>
      <c r="C40" s="55">
        <v>17.208300000000001</v>
      </c>
      <c r="D40" s="134">
        <f t="shared" si="7"/>
        <v>-0.41669999999999874</v>
      </c>
      <c r="E40" s="55">
        <f t="shared" si="8"/>
        <v>0</v>
      </c>
      <c r="F40" s="55">
        <f t="shared" si="3"/>
        <v>0.24990000000000379</v>
      </c>
      <c r="G40" s="55">
        <f t="shared" si="9"/>
        <v>0.41669999999999874</v>
      </c>
      <c r="H40" s="55">
        <f t="shared" si="4"/>
        <v>1.1666999999999987</v>
      </c>
      <c r="I40" s="55">
        <f t="shared" si="5"/>
        <v>1.4166000000000025</v>
      </c>
      <c r="J40" s="55">
        <f t="shared" si="6"/>
        <v>17.640830156713495</v>
      </c>
    </row>
    <row r="41" spans="1:10">
      <c r="A41" s="26">
        <v>34527</v>
      </c>
      <c r="B41" s="52">
        <v>17.208300000000001</v>
      </c>
      <c r="C41" s="52">
        <v>17.291699999999999</v>
      </c>
      <c r="D41" s="133">
        <f t="shared" si="7"/>
        <v>8.3399999999997476E-2</v>
      </c>
      <c r="E41" s="52">
        <f t="shared" si="8"/>
        <v>8.3399999999997476E-2</v>
      </c>
      <c r="F41" s="52">
        <f t="shared" si="3"/>
        <v>0.33330000000000126</v>
      </c>
      <c r="G41" s="52">
        <f t="shared" si="9"/>
        <v>0</v>
      </c>
      <c r="H41" s="52">
        <f t="shared" si="4"/>
        <v>1.0000999999999962</v>
      </c>
      <c r="I41" s="52">
        <f t="shared" si="5"/>
        <v>1.3333999999999975</v>
      </c>
      <c r="J41" s="52">
        <f t="shared" si="6"/>
        <v>24.996250187490769</v>
      </c>
    </row>
    <row r="42" spans="1:10">
      <c r="A42" s="26">
        <v>34528</v>
      </c>
      <c r="B42" s="52">
        <v>17.25</v>
      </c>
      <c r="C42" s="52">
        <v>17.166699999999999</v>
      </c>
      <c r="D42" s="133">
        <f t="shared" si="7"/>
        <v>-8.3300000000001262E-2</v>
      </c>
      <c r="E42" s="52">
        <f t="shared" si="8"/>
        <v>0</v>
      </c>
      <c r="F42" s="52">
        <f t="shared" si="3"/>
        <v>0.33330000000000126</v>
      </c>
      <c r="G42" s="52">
        <f t="shared" si="9"/>
        <v>8.3300000000001262E-2</v>
      </c>
      <c r="H42" s="52">
        <f t="shared" si="4"/>
        <v>1.0416999999999987</v>
      </c>
      <c r="I42" s="52">
        <f t="shared" si="5"/>
        <v>1.375</v>
      </c>
      <c r="J42" s="52">
        <f t="shared" si="6"/>
        <v>24.240000000000091</v>
      </c>
    </row>
    <row r="43" spans="1:10">
      <c r="A43" s="27">
        <v>34529</v>
      </c>
      <c r="B43" s="55">
        <v>17.208300000000001</v>
      </c>
      <c r="C43" s="55">
        <v>17.291699999999999</v>
      </c>
      <c r="D43" s="134">
        <f t="shared" si="7"/>
        <v>8.3399999999997476E-2</v>
      </c>
      <c r="E43" s="55">
        <f t="shared" si="8"/>
        <v>8.3399999999997476E-2</v>
      </c>
      <c r="F43" s="55">
        <f t="shared" ref="F43:F58" si="10">SUM(E30:E43)</f>
        <v>0.41669999999999874</v>
      </c>
      <c r="G43" s="55">
        <f t="shared" si="9"/>
        <v>0</v>
      </c>
      <c r="H43" s="55">
        <f t="shared" ref="H43:H58" si="11">SUM(G30:G43)</f>
        <v>1</v>
      </c>
      <c r="I43" s="55">
        <f t="shared" si="5"/>
        <v>1.4166999999999987</v>
      </c>
      <c r="J43" s="55">
        <f t="shared" si="6"/>
        <v>29.413425566457196</v>
      </c>
    </row>
    <row r="44" spans="1:10">
      <c r="A44" s="27">
        <v>34530</v>
      </c>
      <c r="B44" s="55">
        <v>17.416699999999999</v>
      </c>
      <c r="C44" s="55">
        <v>17.416699999999999</v>
      </c>
      <c r="D44" s="134">
        <f t="shared" si="7"/>
        <v>0</v>
      </c>
      <c r="E44" s="55">
        <f t="shared" si="8"/>
        <v>0</v>
      </c>
      <c r="F44" s="55">
        <f t="shared" si="10"/>
        <v>0.41669999999999874</v>
      </c>
      <c r="G44" s="55">
        <f t="shared" si="9"/>
        <v>0</v>
      </c>
      <c r="H44" s="55">
        <f t="shared" si="11"/>
        <v>0.91669999999999874</v>
      </c>
      <c r="I44" s="55">
        <f t="shared" si="5"/>
        <v>1.3333999999999975</v>
      </c>
      <c r="J44" s="55">
        <f t="shared" si="6"/>
        <v>31.25093745312731</v>
      </c>
    </row>
    <row r="45" spans="1:10">
      <c r="A45" s="26">
        <v>34533</v>
      </c>
      <c r="B45" s="52">
        <v>17.416699999999999</v>
      </c>
      <c r="C45" s="52">
        <v>17.416699999999999</v>
      </c>
      <c r="D45" s="133">
        <f t="shared" si="7"/>
        <v>0</v>
      </c>
      <c r="E45" s="52">
        <f t="shared" si="8"/>
        <v>0</v>
      </c>
      <c r="F45" s="52">
        <f t="shared" si="10"/>
        <v>0.375</v>
      </c>
      <c r="G45" s="52">
        <f t="shared" si="9"/>
        <v>0</v>
      </c>
      <c r="H45" s="52">
        <f t="shared" si="11"/>
        <v>0.91669999999999874</v>
      </c>
      <c r="I45" s="52">
        <f t="shared" si="5"/>
        <v>1.2916999999999987</v>
      </c>
      <c r="J45" s="52">
        <f t="shared" si="6"/>
        <v>29.031508864287403</v>
      </c>
    </row>
    <row r="46" spans="1:10">
      <c r="A46" s="26">
        <v>34534</v>
      </c>
      <c r="B46" s="52">
        <v>17.458300000000001</v>
      </c>
      <c r="C46" s="52">
        <v>17.666699999999999</v>
      </c>
      <c r="D46" s="133">
        <f t="shared" ref="D46:D61" si="12">C46-B46</f>
        <v>0.20839999999999748</v>
      </c>
      <c r="E46" s="52">
        <f t="shared" ref="E46:E61" si="13">IF(D46&gt;0,D46,0)</f>
        <v>0.20839999999999748</v>
      </c>
      <c r="F46" s="52">
        <f t="shared" si="10"/>
        <v>0.54179999999999495</v>
      </c>
      <c r="G46" s="52">
        <f t="shared" ref="G46:G61" si="14">IF(D46&lt;0,ABS(D46),0)</f>
        <v>0</v>
      </c>
      <c r="H46" s="52">
        <f t="shared" si="11"/>
        <v>0.91669999999999874</v>
      </c>
      <c r="I46" s="52">
        <f t="shared" si="5"/>
        <v>1.4584999999999937</v>
      </c>
      <c r="J46" s="52">
        <f t="shared" si="6"/>
        <v>37.147754542337836</v>
      </c>
    </row>
    <row r="47" spans="1:10">
      <c r="A47" s="27">
        <v>34535</v>
      </c>
      <c r="B47" s="55">
        <v>17.666699999999999</v>
      </c>
      <c r="C47" s="55">
        <v>17.25</v>
      </c>
      <c r="D47" s="134">
        <f t="shared" si="12"/>
        <v>-0.41669999999999874</v>
      </c>
      <c r="E47" s="55">
        <f t="shared" si="13"/>
        <v>0</v>
      </c>
      <c r="F47" s="55">
        <f t="shared" si="10"/>
        <v>0.54179999999999495</v>
      </c>
      <c r="G47" s="55">
        <f t="shared" si="14"/>
        <v>0.41669999999999874</v>
      </c>
      <c r="H47" s="55">
        <f t="shared" si="11"/>
        <v>1.2916999999999987</v>
      </c>
      <c r="I47" s="55">
        <f t="shared" si="5"/>
        <v>1.8334999999999937</v>
      </c>
      <c r="J47" s="55">
        <f t="shared" si="6"/>
        <v>29.550040905372065</v>
      </c>
    </row>
    <row r="48" spans="1:10">
      <c r="A48" s="27">
        <v>34536</v>
      </c>
      <c r="B48" s="55">
        <v>17.25</v>
      </c>
      <c r="C48" s="55">
        <v>17.333300000000001</v>
      </c>
      <c r="D48" s="134">
        <f t="shared" si="12"/>
        <v>8.3300000000001262E-2</v>
      </c>
      <c r="E48" s="55">
        <f t="shared" si="13"/>
        <v>8.3300000000001262E-2</v>
      </c>
      <c r="F48" s="55">
        <f t="shared" si="10"/>
        <v>0.62509999999999621</v>
      </c>
      <c r="G48" s="55">
        <f t="shared" si="14"/>
        <v>0</v>
      </c>
      <c r="H48" s="55">
        <f t="shared" si="11"/>
        <v>1.2500999999999962</v>
      </c>
      <c r="I48" s="55">
        <f t="shared" si="5"/>
        <v>1.8751999999999924</v>
      </c>
      <c r="J48" s="55">
        <f t="shared" si="6"/>
        <v>33.335110921501638</v>
      </c>
    </row>
    <row r="49" spans="1:10">
      <c r="A49" s="26">
        <v>34537</v>
      </c>
      <c r="B49" s="52">
        <v>17.333300000000001</v>
      </c>
      <c r="C49" s="52">
        <v>17.25</v>
      </c>
      <c r="D49" s="133">
        <f t="shared" si="12"/>
        <v>-8.3300000000001262E-2</v>
      </c>
      <c r="E49" s="52">
        <f t="shared" si="13"/>
        <v>0</v>
      </c>
      <c r="F49" s="52">
        <f t="shared" si="10"/>
        <v>0.54179999999999495</v>
      </c>
      <c r="G49" s="52">
        <f t="shared" si="14"/>
        <v>8.3300000000001262E-2</v>
      </c>
      <c r="H49" s="52">
        <f t="shared" si="11"/>
        <v>1.3333999999999975</v>
      </c>
      <c r="I49" s="52">
        <f t="shared" si="5"/>
        <v>1.8751999999999924</v>
      </c>
      <c r="J49" s="52">
        <f t="shared" si="6"/>
        <v>28.892918088737048</v>
      </c>
    </row>
    <row r="50" spans="1:10">
      <c r="A50" s="26">
        <v>34540</v>
      </c>
      <c r="B50" s="52">
        <v>17.25</v>
      </c>
      <c r="C50" s="52">
        <v>17.208300000000001</v>
      </c>
      <c r="D50" s="133">
        <f t="shared" si="12"/>
        <v>-4.1699999999998738E-2</v>
      </c>
      <c r="E50" s="52">
        <f t="shared" si="13"/>
        <v>0</v>
      </c>
      <c r="F50" s="52">
        <f t="shared" si="10"/>
        <v>0.54179999999999495</v>
      </c>
      <c r="G50" s="52">
        <f t="shared" si="14"/>
        <v>4.1699999999998738E-2</v>
      </c>
      <c r="H50" s="52">
        <f t="shared" si="11"/>
        <v>1.2500999999999962</v>
      </c>
      <c r="I50" s="52">
        <f t="shared" si="5"/>
        <v>1.7918999999999912</v>
      </c>
      <c r="J50" s="52">
        <f t="shared" si="6"/>
        <v>30.236062280261045</v>
      </c>
    </row>
    <row r="51" spans="1:10">
      <c r="A51" s="27">
        <v>34541</v>
      </c>
      <c r="B51" s="55">
        <v>17.208300000000001</v>
      </c>
      <c r="C51" s="55">
        <v>17.208300000000001</v>
      </c>
      <c r="D51" s="134">
        <f t="shared" si="12"/>
        <v>0</v>
      </c>
      <c r="E51" s="55">
        <f t="shared" si="13"/>
        <v>0</v>
      </c>
      <c r="F51" s="55">
        <f t="shared" si="10"/>
        <v>0.54179999999999495</v>
      </c>
      <c r="G51" s="55">
        <f t="shared" si="14"/>
        <v>0</v>
      </c>
      <c r="H51" s="55">
        <f t="shared" si="11"/>
        <v>1.0416999999999987</v>
      </c>
      <c r="I51" s="55">
        <f t="shared" si="5"/>
        <v>1.5834999999999937</v>
      </c>
      <c r="J51" s="55">
        <f t="shared" si="6"/>
        <v>34.215345753078438</v>
      </c>
    </row>
    <row r="52" spans="1:10">
      <c r="A52" s="27">
        <v>34542</v>
      </c>
      <c r="B52" s="55">
        <v>17.416699999999999</v>
      </c>
      <c r="C52" s="55">
        <v>17.291699999999999</v>
      </c>
      <c r="D52" s="134">
        <f t="shared" si="12"/>
        <v>-0.125</v>
      </c>
      <c r="E52" s="55">
        <f t="shared" si="13"/>
        <v>0</v>
      </c>
      <c r="F52" s="55">
        <f t="shared" si="10"/>
        <v>0.54179999999999495</v>
      </c>
      <c r="G52" s="55">
        <f t="shared" si="14"/>
        <v>0.125</v>
      </c>
      <c r="H52" s="55">
        <f t="shared" si="11"/>
        <v>1.1666999999999987</v>
      </c>
      <c r="I52" s="55">
        <f t="shared" si="5"/>
        <v>1.7084999999999937</v>
      </c>
      <c r="J52" s="55">
        <f t="shared" si="6"/>
        <v>31.712028094819839</v>
      </c>
    </row>
    <row r="53" spans="1:10">
      <c r="A53" s="26">
        <v>34543</v>
      </c>
      <c r="B53" s="52">
        <v>17.291699999999999</v>
      </c>
      <c r="C53" s="52">
        <v>17.416699999999999</v>
      </c>
      <c r="D53" s="133">
        <f t="shared" si="12"/>
        <v>0.125</v>
      </c>
      <c r="E53" s="52">
        <f t="shared" si="13"/>
        <v>0.125</v>
      </c>
      <c r="F53" s="52">
        <f t="shared" si="10"/>
        <v>0.58349999999999369</v>
      </c>
      <c r="G53" s="52">
        <f t="shared" si="14"/>
        <v>0</v>
      </c>
      <c r="H53" s="52">
        <f t="shared" si="11"/>
        <v>1.1666999999999987</v>
      </c>
      <c r="I53" s="52">
        <f t="shared" si="5"/>
        <v>1.7501999999999924</v>
      </c>
      <c r="J53" s="52">
        <f t="shared" si="6"/>
        <v>33.339046966060806</v>
      </c>
    </row>
    <row r="54" spans="1:10">
      <c r="A54" s="26">
        <v>34544</v>
      </c>
      <c r="B54" s="52">
        <v>17.541699999999999</v>
      </c>
      <c r="C54" s="52">
        <v>17.333300000000001</v>
      </c>
      <c r="D54" s="133">
        <f t="shared" si="12"/>
        <v>-0.20839999999999748</v>
      </c>
      <c r="E54" s="52">
        <f t="shared" si="13"/>
        <v>0</v>
      </c>
      <c r="F54" s="52">
        <f t="shared" si="10"/>
        <v>0.58349999999999369</v>
      </c>
      <c r="G54" s="52">
        <f t="shared" si="14"/>
        <v>0.20839999999999748</v>
      </c>
      <c r="H54" s="52">
        <f t="shared" si="11"/>
        <v>0.95839999999999748</v>
      </c>
      <c r="I54" s="52">
        <f t="shared" si="5"/>
        <v>1.5418999999999912</v>
      </c>
      <c r="J54" s="52">
        <f t="shared" si="6"/>
        <v>37.842921071405215</v>
      </c>
    </row>
    <row r="55" spans="1:10">
      <c r="A55" s="27">
        <v>34547</v>
      </c>
      <c r="B55" s="55">
        <v>17.291699999999999</v>
      </c>
      <c r="C55" s="55">
        <v>17.5</v>
      </c>
      <c r="D55" s="134">
        <f t="shared" si="12"/>
        <v>0.20830000000000126</v>
      </c>
      <c r="E55" s="55">
        <f t="shared" si="13"/>
        <v>0.20830000000000126</v>
      </c>
      <c r="F55" s="55">
        <f t="shared" si="10"/>
        <v>0.70839999999999748</v>
      </c>
      <c r="G55" s="55">
        <f t="shared" si="14"/>
        <v>0</v>
      </c>
      <c r="H55" s="55">
        <f t="shared" si="11"/>
        <v>0.95839999999999748</v>
      </c>
      <c r="I55" s="55">
        <f t="shared" si="5"/>
        <v>1.666799999999995</v>
      </c>
      <c r="J55" s="55">
        <f t="shared" si="6"/>
        <v>42.500599952003817</v>
      </c>
    </row>
    <row r="56" spans="1:10">
      <c r="A56" s="27">
        <v>34548</v>
      </c>
      <c r="B56" s="55">
        <v>17.541699999999999</v>
      </c>
      <c r="C56" s="55">
        <v>17.458300000000001</v>
      </c>
      <c r="D56" s="134">
        <f t="shared" si="12"/>
        <v>-8.3399999999997476E-2</v>
      </c>
      <c r="E56" s="55">
        <f t="shared" si="13"/>
        <v>0</v>
      </c>
      <c r="F56" s="55">
        <f t="shared" si="10"/>
        <v>0.70839999999999748</v>
      </c>
      <c r="G56" s="55">
        <f t="shared" si="14"/>
        <v>8.3399999999997476E-2</v>
      </c>
      <c r="H56" s="55">
        <f t="shared" si="11"/>
        <v>0.95849999999999369</v>
      </c>
      <c r="I56" s="55">
        <f t="shared" si="5"/>
        <v>1.6668999999999912</v>
      </c>
      <c r="J56" s="55">
        <f t="shared" si="6"/>
        <v>42.498050272961855</v>
      </c>
    </row>
    <row r="57" spans="1:10">
      <c r="A57" s="26">
        <v>34549</v>
      </c>
      <c r="B57" s="52">
        <v>17.5</v>
      </c>
      <c r="C57" s="52">
        <v>17.583300000000001</v>
      </c>
      <c r="D57" s="133">
        <f t="shared" si="12"/>
        <v>8.3300000000001262E-2</v>
      </c>
      <c r="E57" s="52">
        <f t="shared" si="13"/>
        <v>8.3300000000001262E-2</v>
      </c>
      <c r="F57" s="52">
        <f t="shared" si="10"/>
        <v>0.70830000000000126</v>
      </c>
      <c r="G57" s="52">
        <f t="shared" si="14"/>
        <v>0</v>
      </c>
      <c r="H57" s="52">
        <f t="shared" si="11"/>
        <v>0.95849999999999369</v>
      </c>
      <c r="I57" s="52">
        <f t="shared" si="5"/>
        <v>1.666799999999995</v>
      </c>
      <c r="J57" s="52">
        <f t="shared" si="6"/>
        <v>42.494600431965644</v>
      </c>
    </row>
    <row r="58" spans="1:10">
      <c r="A58" s="26">
        <v>34550</v>
      </c>
      <c r="B58" s="52">
        <v>17.583300000000001</v>
      </c>
      <c r="C58" s="52">
        <v>17.333300000000001</v>
      </c>
      <c r="D58" s="133">
        <f t="shared" si="12"/>
        <v>-0.25</v>
      </c>
      <c r="E58" s="52">
        <f t="shared" si="13"/>
        <v>0</v>
      </c>
      <c r="F58" s="52">
        <f t="shared" si="10"/>
        <v>0.70830000000000126</v>
      </c>
      <c r="G58" s="52">
        <f t="shared" si="14"/>
        <v>0.25</v>
      </c>
      <c r="H58" s="52">
        <f t="shared" si="11"/>
        <v>1.2084999999999937</v>
      </c>
      <c r="I58" s="52">
        <f t="shared" si="5"/>
        <v>1.916799999999995</v>
      </c>
      <c r="J58" s="52">
        <f t="shared" si="6"/>
        <v>36.952212020033556</v>
      </c>
    </row>
    <row r="59" spans="1:10">
      <c r="A59" s="27">
        <v>34551</v>
      </c>
      <c r="B59" s="55">
        <v>17.291699999999999</v>
      </c>
      <c r="C59" s="55">
        <v>17.291699999999999</v>
      </c>
      <c r="D59" s="134">
        <f t="shared" si="12"/>
        <v>0</v>
      </c>
      <c r="E59" s="55">
        <f t="shared" si="13"/>
        <v>0</v>
      </c>
      <c r="F59" s="55">
        <f t="shared" ref="F59:F66" si="15">SUM(E46:E59)</f>
        <v>0.70830000000000126</v>
      </c>
      <c r="G59" s="55">
        <f t="shared" si="14"/>
        <v>0</v>
      </c>
      <c r="H59" s="55">
        <f t="shared" ref="H59:H66" si="16">SUM(G46:G59)</f>
        <v>1.2084999999999937</v>
      </c>
      <c r="I59" s="55">
        <f t="shared" si="5"/>
        <v>1.916799999999995</v>
      </c>
      <c r="J59" s="55">
        <f t="shared" si="6"/>
        <v>36.952212020033556</v>
      </c>
    </row>
    <row r="60" spans="1:10">
      <c r="A60" s="27">
        <v>34554</v>
      </c>
      <c r="B60" s="55">
        <v>17.291699999999999</v>
      </c>
      <c r="C60" s="55">
        <v>17.083300000000001</v>
      </c>
      <c r="D60" s="134">
        <f t="shared" si="12"/>
        <v>-0.20839999999999748</v>
      </c>
      <c r="E60" s="55">
        <f t="shared" si="13"/>
        <v>0</v>
      </c>
      <c r="F60" s="55">
        <f t="shared" si="15"/>
        <v>0.49990000000000379</v>
      </c>
      <c r="G60" s="55">
        <f t="shared" si="14"/>
        <v>0.20839999999999748</v>
      </c>
      <c r="H60" s="55">
        <f t="shared" si="16"/>
        <v>1.4168999999999912</v>
      </c>
      <c r="I60" s="55">
        <f t="shared" si="5"/>
        <v>1.916799999999995</v>
      </c>
      <c r="J60" s="55">
        <f t="shared" si="6"/>
        <v>26.079924874791583</v>
      </c>
    </row>
    <row r="61" spans="1:10">
      <c r="A61" s="26">
        <v>34555</v>
      </c>
      <c r="B61" s="52">
        <v>17.125</v>
      </c>
      <c r="C61" s="52">
        <v>17.166699999999999</v>
      </c>
      <c r="D61" s="133">
        <f t="shared" si="12"/>
        <v>4.1699999999998738E-2</v>
      </c>
      <c r="E61" s="52">
        <f t="shared" si="13"/>
        <v>4.1699999999998738E-2</v>
      </c>
      <c r="F61" s="52">
        <f t="shared" si="15"/>
        <v>0.54160000000000252</v>
      </c>
      <c r="G61" s="52">
        <f t="shared" si="14"/>
        <v>0</v>
      </c>
      <c r="H61" s="52">
        <f t="shared" si="16"/>
        <v>1.0001999999999924</v>
      </c>
      <c r="I61" s="52">
        <f t="shared" si="5"/>
        <v>1.541799999999995</v>
      </c>
      <c r="J61" s="52">
        <f t="shared" si="6"/>
        <v>35.127772733169301</v>
      </c>
    </row>
    <row r="62" spans="1:10">
      <c r="A62" s="26">
        <v>34556</v>
      </c>
      <c r="B62" s="52">
        <v>17.25</v>
      </c>
      <c r="C62" s="52">
        <v>17.125</v>
      </c>
      <c r="D62" s="133">
        <f>C62-B62</f>
        <v>-0.125</v>
      </c>
      <c r="E62" s="52">
        <f>IF(D62&gt;0,D62,0)</f>
        <v>0</v>
      </c>
      <c r="F62" s="52">
        <f t="shared" si="15"/>
        <v>0.45830000000000126</v>
      </c>
      <c r="G62" s="52">
        <f>IF(D62&lt;0,ABS(D62),0)</f>
        <v>0.125</v>
      </c>
      <c r="H62" s="52">
        <f t="shared" si="16"/>
        <v>1.1251999999999924</v>
      </c>
      <c r="I62" s="52">
        <f t="shared" si="5"/>
        <v>1.5834999999999937</v>
      </c>
      <c r="J62" s="52">
        <f t="shared" si="6"/>
        <v>28.942216608778221</v>
      </c>
    </row>
    <row r="63" spans="1:10">
      <c r="A63" s="27">
        <v>34557</v>
      </c>
      <c r="B63" s="55">
        <v>17.125</v>
      </c>
      <c r="C63" s="55">
        <v>17</v>
      </c>
      <c r="D63" s="134">
        <f>C63-B63</f>
        <v>-0.125</v>
      </c>
      <c r="E63" s="55">
        <f>IF(D63&gt;0,D63,0)</f>
        <v>0</v>
      </c>
      <c r="F63" s="55">
        <f t="shared" si="15"/>
        <v>0.45830000000000126</v>
      </c>
      <c r="G63" s="55">
        <f>IF(D63&lt;0,ABS(D63),0)</f>
        <v>0.125</v>
      </c>
      <c r="H63" s="55">
        <f t="shared" si="16"/>
        <v>1.1668999999999912</v>
      </c>
      <c r="I63" s="55">
        <f t="shared" si="5"/>
        <v>1.6251999999999924</v>
      </c>
      <c r="J63" s="55">
        <f t="shared" si="6"/>
        <v>28.19960620231377</v>
      </c>
    </row>
    <row r="64" spans="1:10">
      <c r="A64" s="27">
        <v>34558</v>
      </c>
      <c r="B64" s="55">
        <v>17</v>
      </c>
      <c r="C64" s="55">
        <v>16.875</v>
      </c>
      <c r="D64" s="134">
        <f>C64-B64</f>
        <v>-0.125</v>
      </c>
      <c r="E64" s="55">
        <f>IF(D64&gt;0,D64,0)</f>
        <v>0</v>
      </c>
      <c r="F64" s="55">
        <f t="shared" si="15"/>
        <v>0.45830000000000126</v>
      </c>
      <c r="G64" s="55">
        <f>IF(D64&lt;0,ABS(D64),0)</f>
        <v>0.125</v>
      </c>
      <c r="H64" s="55">
        <f t="shared" si="16"/>
        <v>1.2501999999999924</v>
      </c>
      <c r="I64" s="55">
        <f t="shared" si="5"/>
        <v>1.7084999999999937</v>
      </c>
      <c r="J64" s="55">
        <f t="shared" si="6"/>
        <v>26.824700029265607</v>
      </c>
    </row>
    <row r="65" spans="1:10">
      <c r="A65" s="26">
        <v>34561</v>
      </c>
      <c r="B65" s="52">
        <v>16.916699999999999</v>
      </c>
      <c r="C65" s="52">
        <v>16.583300000000001</v>
      </c>
      <c r="D65" s="133">
        <f>C65-B65</f>
        <v>-0.33339999999999748</v>
      </c>
      <c r="E65" s="52">
        <f>IF(D65&gt;0,D65,0)</f>
        <v>0</v>
      </c>
      <c r="F65" s="52">
        <f t="shared" si="15"/>
        <v>0.45830000000000126</v>
      </c>
      <c r="G65" s="52">
        <f>IF(D65&lt;0,ABS(D65),0)</f>
        <v>0.33339999999999748</v>
      </c>
      <c r="H65" s="52">
        <f t="shared" si="16"/>
        <v>1.5835999999999899</v>
      </c>
      <c r="I65" s="52">
        <f t="shared" si="5"/>
        <v>2.0418999999999912</v>
      </c>
      <c r="J65" s="52">
        <f t="shared" si="6"/>
        <v>22.444781820853287</v>
      </c>
    </row>
    <row r="66" spans="1:10">
      <c r="A66" s="26">
        <v>34562</v>
      </c>
      <c r="B66" s="52">
        <v>16.625</v>
      </c>
      <c r="C66" s="52">
        <v>16.583300000000001</v>
      </c>
      <c r="D66" s="133">
        <f>C66-B66</f>
        <v>-4.1699999999998738E-2</v>
      </c>
      <c r="E66" s="52">
        <f>IF(D66&gt;0,D66,0)</f>
        <v>0</v>
      </c>
      <c r="F66" s="52">
        <f t="shared" si="15"/>
        <v>0.45830000000000126</v>
      </c>
      <c r="G66" s="52">
        <f>IF(D66&lt;0,ABS(D66),0)</f>
        <v>4.1699999999998738E-2</v>
      </c>
      <c r="H66" s="52">
        <f t="shared" si="16"/>
        <v>1.5002999999999886</v>
      </c>
      <c r="I66" s="52">
        <f t="shared" si="5"/>
        <v>1.9585999999999899</v>
      </c>
      <c r="J66" s="52">
        <f t="shared" si="6"/>
        <v>23.399366894720906</v>
      </c>
    </row>
    <row r="67" spans="1:10">
      <c r="A67" s="2"/>
      <c r="B67" s="4"/>
      <c r="C67" s="4"/>
      <c r="D67" s="6"/>
      <c r="E67" s="4"/>
      <c r="F67" s="4"/>
      <c r="G67" s="4"/>
      <c r="H67" s="4"/>
      <c r="I67" s="4"/>
      <c r="J67" s="4"/>
    </row>
    <row r="68" spans="1:10">
      <c r="A68" s="2"/>
      <c r="B68" s="4"/>
      <c r="C68" s="4"/>
      <c r="D68" s="6"/>
      <c r="E68" s="4"/>
      <c r="F68" s="4"/>
      <c r="G68" s="4"/>
      <c r="H68" s="4"/>
      <c r="I68" s="4"/>
      <c r="J68" s="4"/>
    </row>
    <row r="69" spans="1:10" ht="15">
      <c r="A69" s="241" t="s">
        <v>581</v>
      </c>
      <c r="B69" s="4"/>
      <c r="C69" s="4"/>
      <c r="D69" s="6"/>
      <c r="E69" s="4"/>
      <c r="F69" s="4"/>
      <c r="G69" s="4"/>
      <c r="H69" s="4"/>
      <c r="I69" s="4"/>
      <c r="J69" s="4"/>
    </row>
    <row r="70" spans="1:10" ht="32.25" customHeight="1">
      <c r="A70" s="447" t="s">
        <v>582</v>
      </c>
      <c r="B70" s="447"/>
      <c r="C70" s="447"/>
      <c r="D70" s="447"/>
      <c r="E70" s="447"/>
      <c r="F70" s="447"/>
      <c r="G70" s="447"/>
      <c r="H70" s="447"/>
      <c r="I70" s="447"/>
      <c r="J70" s="447"/>
    </row>
    <row r="71" spans="1:10" ht="15">
      <c r="A71" s="447" t="s">
        <v>583</v>
      </c>
      <c r="B71" s="447"/>
      <c r="C71" s="447"/>
      <c r="D71" s="447"/>
      <c r="E71" s="447"/>
      <c r="F71" s="447"/>
      <c r="G71" s="447"/>
      <c r="H71" s="447"/>
      <c r="I71" s="447"/>
      <c r="J71" s="447"/>
    </row>
    <row r="72" spans="1:10" ht="49.5" customHeight="1">
      <c r="A72" s="447" t="s">
        <v>317</v>
      </c>
      <c r="B72" s="447"/>
      <c r="C72" s="447"/>
      <c r="D72" s="447"/>
      <c r="E72" s="447"/>
      <c r="F72" s="447"/>
      <c r="G72" s="447"/>
      <c r="H72" s="447"/>
      <c r="I72" s="447"/>
      <c r="J72" s="447"/>
    </row>
    <row r="73" spans="1:10" ht="17">
      <c r="A73" s="241" t="s">
        <v>318</v>
      </c>
      <c r="B73" s="4"/>
      <c r="C73" s="4"/>
      <c r="D73" s="6"/>
      <c r="E73" s="4"/>
      <c r="F73" s="4"/>
      <c r="G73" s="4"/>
      <c r="H73" s="4"/>
      <c r="I73" s="4"/>
      <c r="J73" s="4"/>
    </row>
    <row r="74" spans="1:10" ht="17">
      <c r="A74" s="241" t="s">
        <v>319</v>
      </c>
      <c r="B74" s="4"/>
      <c r="C74" s="4"/>
      <c r="D74" s="6"/>
      <c r="E74" s="4"/>
      <c r="F74" s="4"/>
      <c r="G74" s="4"/>
      <c r="H74" s="4"/>
      <c r="I74" s="4"/>
      <c r="J74" s="4"/>
    </row>
    <row r="75" spans="1:10" ht="18" customHeight="1">
      <c r="A75" s="241" t="s">
        <v>321</v>
      </c>
      <c r="B75" s="4"/>
      <c r="C75" s="4"/>
      <c r="D75" s="6"/>
      <c r="E75" s="4"/>
      <c r="F75" s="4"/>
      <c r="G75" s="4"/>
      <c r="H75" s="4"/>
      <c r="I75" s="4"/>
      <c r="J75" s="4"/>
    </row>
    <row r="76" spans="1:10" ht="21">
      <c r="A76" s="349"/>
      <c r="B76" s="4"/>
      <c r="C76" s="4"/>
      <c r="D76" s="6"/>
      <c r="E76" s="4"/>
      <c r="F76" s="4"/>
      <c r="G76" s="4"/>
      <c r="H76" s="4"/>
      <c r="I76" s="4"/>
      <c r="J76" s="4"/>
    </row>
    <row r="77" spans="1:10">
      <c r="A77" s="2"/>
      <c r="B77" s="4"/>
      <c r="C77" s="4"/>
      <c r="D77" s="6"/>
      <c r="E77" s="4"/>
      <c r="F77" s="4"/>
      <c r="G77" s="4"/>
      <c r="H77" s="4"/>
      <c r="I77" s="4"/>
      <c r="J77" s="4"/>
    </row>
    <row r="78" spans="1:10">
      <c r="A78" s="2"/>
      <c r="B78" s="4"/>
      <c r="C78" s="4"/>
      <c r="D78" s="6"/>
      <c r="E78" s="4"/>
      <c r="F78" s="4"/>
      <c r="G78" s="4"/>
      <c r="H78" s="4"/>
      <c r="I78" s="4"/>
      <c r="J78" s="4"/>
    </row>
    <row r="79" spans="1:10">
      <c r="A79" s="2"/>
      <c r="B79" s="4"/>
      <c r="C79" s="4"/>
      <c r="D79" s="6"/>
      <c r="E79" s="4"/>
      <c r="F79" s="4"/>
      <c r="G79" s="4"/>
      <c r="H79" s="4"/>
      <c r="I79" s="4"/>
      <c r="J79" s="4"/>
    </row>
    <row r="80" spans="1:10">
      <c r="A80" s="2"/>
      <c r="B80" s="4"/>
      <c r="C80" s="4"/>
      <c r="D80" s="6"/>
      <c r="E80" s="4"/>
      <c r="F80" s="4"/>
      <c r="G80" s="4"/>
      <c r="H80" s="4"/>
      <c r="I80" s="4"/>
      <c r="J80" s="4"/>
    </row>
    <row r="81" spans="1:10">
      <c r="A81" s="2"/>
      <c r="B81" s="4"/>
      <c r="C81" s="4"/>
      <c r="D81" s="6"/>
      <c r="E81" s="4"/>
      <c r="F81" s="4"/>
      <c r="G81" s="4"/>
      <c r="H81" s="4"/>
      <c r="I81" s="4"/>
      <c r="J81" s="4"/>
    </row>
    <row r="82" spans="1:10">
      <c r="A82" s="2"/>
      <c r="B82" s="4"/>
      <c r="C82" s="4"/>
      <c r="D82" s="6"/>
      <c r="E82" s="4"/>
      <c r="F82" s="4"/>
      <c r="G82" s="4"/>
      <c r="H82" s="4"/>
      <c r="I82" s="4"/>
      <c r="J82" s="4"/>
    </row>
    <row r="83" spans="1:10">
      <c r="A83" s="2"/>
      <c r="B83" s="4"/>
      <c r="C83" s="4"/>
      <c r="D83" s="6"/>
      <c r="E83" s="4"/>
      <c r="F83" s="4"/>
      <c r="G83" s="4"/>
      <c r="H83" s="4"/>
      <c r="I83" s="4"/>
      <c r="J83" s="4"/>
    </row>
    <row r="84" spans="1:10">
      <c r="A84" s="2"/>
      <c r="B84" s="4"/>
      <c r="C84" s="4"/>
      <c r="D84" s="6"/>
      <c r="E84" s="4"/>
      <c r="F84" s="4"/>
      <c r="G84" s="4"/>
      <c r="H84" s="4"/>
      <c r="I84" s="4"/>
      <c r="J84" s="4"/>
    </row>
    <row r="85" spans="1:10">
      <c r="A85" s="2"/>
      <c r="B85" s="4"/>
      <c r="C85" s="4"/>
      <c r="D85" s="6"/>
      <c r="E85" s="4"/>
      <c r="F85" s="4"/>
      <c r="G85" s="4"/>
      <c r="H85" s="4"/>
      <c r="I85" s="4"/>
      <c r="J85" s="4"/>
    </row>
    <row r="86" spans="1:10">
      <c r="A86" s="2"/>
      <c r="B86" s="4"/>
      <c r="C86" s="4"/>
      <c r="D86" s="6"/>
      <c r="E86" s="4"/>
      <c r="F86" s="4"/>
      <c r="G86" s="4"/>
      <c r="H86" s="4"/>
      <c r="I86" s="4"/>
      <c r="J86" s="4"/>
    </row>
    <row r="87" spans="1:10">
      <c r="A87" s="2"/>
      <c r="B87" s="4"/>
      <c r="C87" s="4"/>
      <c r="D87" s="6"/>
      <c r="E87" s="4"/>
      <c r="F87" s="4"/>
      <c r="G87" s="4"/>
      <c r="H87" s="4"/>
      <c r="I87" s="4"/>
      <c r="J87" s="4"/>
    </row>
    <row r="88" spans="1:10">
      <c r="A88" s="2"/>
      <c r="B88" s="4"/>
      <c r="C88" s="4"/>
      <c r="D88" s="6"/>
      <c r="E88" s="4"/>
      <c r="F88" s="4"/>
      <c r="G88" s="4"/>
      <c r="H88" s="4"/>
      <c r="I88" s="4"/>
      <c r="J88" s="4"/>
    </row>
    <row r="89" spans="1:10">
      <c r="A89" s="2"/>
      <c r="B89" s="4"/>
      <c r="C89" s="4"/>
      <c r="D89" s="6"/>
      <c r="E89" s="4"/>
      <c r="F89" s="4"/>
      <c r="G89" s="4"/>
      <c r="H89" s="4"/>
      <c r="I89" s="4"/>
      <c r="J89" s="4"/>
    </row>
    <row r="90" spans="1:10">
      <c r="A90" s="2"/>
      <c r="B90" s="4"/>
      <c r="C90" s="4"/>
      <c r="D90" s="6"/>
      <c r="E90" s="4"/>
      <c r="F90" s="4"/>
      <c r="G90" s="4"/>
      <c r="H90" s="4"/>
      <c r="I90" s="4"/>
      <c r="J90" s="4"/>
    </row>
    <row r="91" spans="1:10">
      <c r="A91" s="2"/>
      <c r="B91" s="4"/>
      <c r="C91" s="4"/>
      <c r="D91" s="6"/>
      <c r="E91" s="4"/>
      <c r="F91" s="4"/>
      <c r="G91" s="4"/>
      <c r="H91" s="4"/>
      <c r="I91" s="4"/>
      <c r="J91" s="4"/>
    </row>
    <row r="92" spans="1:10">
      <c r="A92" s="2"/>
      <c r="B92" s="4"/>
      <c r="C92" s="4"/>
      <c r="D92" s="6"/>
      <c r="E92" s="4"/>
      <c r="F92" s="4"/>
      <c r="G92" s="4"/>
      <c r="H92" s="4"/>
      <c r="I92" s="4"/>
      <c r="J92" s="4"/>
    </row>
    <row r="93" spans="1:10">
      <c r="A93" s="2"/>
      <c r="B93" s="4"/>
      <c r="C93" s="4"/>
      <c r="D93" s="6"/>
      <c r="E93" s="4"/>
      <c r="F93" s="4"/>
      <c r="G93" s="4"/>
      <c r="H93" s="4"/>
      <c r="I93" s="4"/>
      <c r="J93" s="4"/>
    </row>
    <row r="94" spans="1:10">
      <c r="A94" s="2"/>
      <c r="B94" s="4"/>
      <c r="C94" s="4"/>
      <c r="D94" s="6"/>
      <c r="E94" s="4"/>
      <c r="F94" s="4"/>
      <c r="G94" s="4"/>
      <c r="H94" s="4"/>
      <c r="I94" s="4"/>
      <c r="J94" s="4"/>
    </row>
    <row r="95" spans="1:10">
      <c r="A95" s="2"/>
      <c r="B95" s="4"/>
      <c r="C95" s="4"/>
      <c r="D95" s="6"/>
      <c r="E95" s="4"/>
      <c r="F95" s="4"/>
      <c r="G95" s="4"/>
      <c r="H95" s="4"/>
      <c r="I95" s="4"/>
      <c r="J95" s="4"/>
    </row>
    <row r="96" spans="1:10">
      <c r="A96" s="2"/>
      <c r="B96" s="4"/>
      <c r="C96" s="4"/>
      <c r="D96" s="6"/>
      <c r="E96" s="4"/>
      <c r="F96" s="4"/>
      <c r="G96" s="4"/>
      <c r="H96" s="4"/>
      <c r="I96" s="4"/>
      <c r="J96" s="4"/>
    </row>
    <row r="97" spans="1:10">
      <c r="A97" s="2"/>
      <c r="B97" s="4"/>
      <c r="C97" s="4"/>
      <c r="D97" s="6"/>
      <c r="E97" s="4"/>
      <c r="F97" s="4"/>
      <c r="G97" s="4"/>
      <c r="H97" s="4"/>
      <c r="I97" s="4"/>
      <c r="J97" s="4"/>
    </row>
    <row r="98" spans="1:10">
      <c r="A98" s="2"/>
      <c r="B98" s="4"/>
      <c r="C98" s="4"/>
      <c r="D98" s="6"/>
      <c r="E98" s="4"/>
      <c r="F98" s="4"/>
      <c r="G98" s="4"/>
      <c r="H98" s="4"/>
      <c r="I98" s="4"/>
      <c r="J98" s="4"/>
    </row>
    <row r="99" spans="1:10">
      <c r="A99" s="2"/>
      <c r="B99" s="4"/>
      <c r="C99" s="4"/>
      <c r="D99" s="6"/>
      <c r="E99" s="4"/>
      <c r="F99" s="4"/>
      <c r="G99" s="4"/>
      <c r="H99" s="4"/>
      <c r="I99" s="4"/>
      <c r="J99" s="4"/>
    </row>
    <row r="100" spans="1:10">
      <c r="A100" s="2"/>
      <c r="B100" s="4"/>
      <c r="C100" s="4"/>
      <c r="D100" s="6"/>
      <c r="E100" s="4"/>
      <c r="F100" s="4"/>
      <c r="G100" s="4"/>
      <c r="H100" s="4"/>
      <c r="I100" s="4"/>
      <c r="J100" s="4"/>
    </row>
    <row r="101" spans="1:10">
      <c r="A101" s="2"/>
      <c r="B101" s="4"/>
      <c r="C101" s="4"/>
      <c r="D101" s="6"/>
      <c r="E101" s="4"/>
      <c r="F101" s="4"/>
      <c r="G101" s="4"/>
      <c r="H101" s="4"/>
      <c r="I101" s="4"/>
      <c r="J101" s="4"/>
    </row>
    <row r="102" spans="1:10">
      <c r="A102" s="2"/>
      <c r="B102" s="4"/>
      <c r="C102" s="4"/>
      <c r="D102" s="6"/>
      <c r="E102" s="4"/>
      <c r="F102" s="4"/>
      <c r="G102" s="4"/>
      <c r="H102" s="4"/>
      <c r="I102" s="4"/>
      <c r="J102" s="4"/>
    </row>
    <row r="103" spans="1:10">
      <c r="A103" s="2"/>
      <c r="B103" s="4"/>
      <c r="C103" s="4"/>
      <c r="D103" s="6"/>
      <c r="E103" s="4"/>
      <c r="F103" s="4"/>
      <c r="G103" s="4"/>
      <c r="H103" s="4"/>
      <c r="I103" s="4"/>
      <c r="J103" s="4"/>
    </row>
    <row r="104" spans="1:10">
      <c r="A104" s="2"/>
      <c r="B104" s="4"/>
      <c r="C104" s="4"/>
      <c r="D104" s="6"/>
      <c r="E104" s="4"/>
      <c r="F104" s="4"/>
      <c r="G104" s="4"/>
      <c r="H104" s="4"/>
      <c r="I104" s="4"/>
      <c r="J104" s="4"/>
    </row>
    <row r="105" spans="1:10">
      <c r="A105" s="2"/>
      <c r="B105" s="4"/>
      <c r="C105" s="4"/>
      <c r="D105" s="6"/>
      <c r="E105" s="4"/>
      <c r="F105" s="4"/>
      <c r="G105" s="4"/>
      <c r="H105" s="4"/>
      <c r="I105" s="4"/>
      <c r="J105" s="4"/>
    </row>
    <row r="106" spans="1:10">
      <c r="A106" s="2"/>
      <c r="B106" s="4"/>
      <c r="C106" s="4"/>
      <c r="D106" s="6"/>
      <c r="E106" s="4"/>
      <c r="F106" s="4"/>
      <c r="G106" s="4"/>
      <c r="H106" s="4"/>
      <c r="I106" s="4"/>
      <c r="J106" s="4"/>
    </row>
    <row r="107" spans="1:10">
      <c r="A107" s="2"/>
      <c r="B107" s="4"/>
      <c r="C107" s="4"/>
      <c r="D107" s="6"/>
      <c r="E107" s="4"/>
      <c r="F107" s="4"/>
      <c r="G107" s="4"/>
      <c r="H107" s="4"/>
      <c r="I107" s="4"/>
      <c r="J107" s="4"/>
    </row>
    <row r="108" spans="1:10">
      <c r="A108" s="2"/>
      <c r="B108" s="4"/>
      <c r="C108" s="4"/>
      <c r="D108" s="6"/>
      <c r="E108" s="4"/>
      <c r="F108" s="4"/>
      <c r="G108" s="4"/>
      <c r="H108" s="4"/>
      <c r="I108" s="4"/>
      <c r="J108" s="4"/>
    </row>
    <row r="109" spans="1:10">
      <c r="A109" s="2"/>
      <c r="B109" s="4"/>
      <c r="C109" s="4"/>
      <c r="D109" s="6"/>
      <c r="E109" s="4"/>
      <c r="F109" s="4"/>
      <c r="G109" s="4"/>
      <c r="H109" s="4"/>
      <c r="I109" s="4"/>
      <c r="J109" s="4"/>
    </row>
    <row r="110" spans="1:10">
      <c r="A110" s="2"/>
      <c r="B110" s="4"/>
      <c r="C110" s="4"/>
      <c r="D110" s="6"/>
      <c r="E110" s="4"/>
      <c r="F110" s="4"/>
      <c r="G110" s="4"/>
      <c r="H110" s="4"/>
      <c r="I110" s="4"/>
      <c r="J110" s="4"/>
    </row>
    <row r="111" spans="1:10">
      <c r="A111" s="2"/>
      <c r="B111" s="4"/>
      <c r="C111" s="4"/>
      <c r="D111" s="6"/>
      <c r="E111" s="4"/>
      <c r="F111" s="4"/>
      <c r="G111" s="4"/>
      <c r="H111" s="4"/>
      <c r="I111" s="4"/>
      <c r="J111" s="4"/>
    </row>
    <row r="112" spans="1:10">
      <c r="A112" s="2"/>
      <c r="B112" s="4"/>
      <c r="C112" s="4"/>
      <c r="D112" s="6"/>
      <c r="E112" s="4"/>
      <c r="F112" s="4"/>
      <c r="G112" s="4"/>
      <c r="H112" s="4"/>
      <c r="I112" s="4"/>
      <c r="J112" s="4"/>
    </row>
    <row r="113" spans="1:10">
      <c r="A113" s="2"/>
      <c r="B113" s="4"/>
      <c r="C113" s="4"/>
      <c r="D113" s="6"/>
      <c r="E113" s="4"/>
      <c r="F113" s="4"/>
      <c r="G113" s="4"/>
      <c r="H113" s="4"/>
      <c r="I113" s="4"/>
      <c r="J113" s="4"/>
    </row>
    <row r="114" spans="1:10">
      <c r="A114" s="2"/>
      <c r="B114" s="4"/>
      <c r="C114" s="4"/>
      <c r="D114" s="6"/>
      <c r="E114" s="4"/>
      <c r="F114" s="4"/>
      <c r="G114" s="4"/>
      <c r="H114" s="4"/>
      <c r="I114" s="4"/>
      <c r="J114" s="4"/>
    </row>
    <row r="115" spans="1:10">
      <c r="A115" s="2"/>
      <c r="B115" s="4"/>
      <c r="C115" s="4"/>
      <c r="D115" s="6"/>
      <c r="E115" s="4"/>
      <c r="F115" s="4"/>
      <c r="G115" s="4"/>
      <c r="H115" s="4"/>
      <c r="I115" s="4"/>
      <c r="J115" s="4"/>
    </row>
    <row r="116" spans="1:10">
      <c r="A116" s="2"/>
      <c r="B116" s="4"/>
      <c r="C116" s="4"/>
      <c r="D116" s="6"/>
      <c r="E116" s="4"/>
      <c r="F116" s="4"/>
      <c r="G116" s="4"/>
      <c r="H116" s="4"/>
      <c r="I116" s="4"/>
      <c r="J116" s="4"/>
    </row>
    <row r="117" spans="1:10">
      <c r="A117" s="2"/>
      <c r="B117" s="4"/>
      <c r="C117" s="4"/>
      <c r="D117" s="6"/>
      <c r="E117" s="4"/>
      <c r="F117" s="4"/>
      <c r="G117" s="4"/>
      <c r="H117" s="4"/>
      <c r="I117" s="4"/>
      <c r="J117" s="4"/>
    </row>
    <row r="118" spans="1:10">
      <c r="A118" s="2"/>
      <c r="B118" s="4"/>
      <c r="C118" s="4"/>
      <c r="D118" s="6"/>
      <c r="E118" s="4"/>
      <c r="F118" s="4"/>
      <c r="G118" s="4"/>
      <c r="H118" s="4"/>
      <c r="I118" s="4"/>
      <c r="J118" s="4"/>
    </row>
    <row r="119" spans="1:10">
      <c r="A119" s="2"/>
      <c r="B119" s="4"/>
      <c r="C119" s="4"/>
      <c r="D119" s="6"/>
      <c r="E119" s="4"/>
      <c r="F119" s="4"/>
      <c r="G119" s="4"/>
      <c r="H119" s="4"/>
      <c r="I119" s="4"/>
      <c r="J119" s="4"/>
    </row>
    <row r="120" spans="1:10">
      <c r="A120" s="2"/>
      <c r="B120" s="4"/>
      <c r="C120" s="4"/>
      <c r="D120" s="6"/>
      <c r="E120" s="4"/>
      <c r="F120" s="4"/>
      <c r="G120" s="4"/>
      <c r="H120" s="4"/>
      <c r="I120" s="4"/>
      <c r="J120" s="4"/>
    </row>
    <row r="121" spans="1:10">
      <c r="A121" s="2"/>
      <c r="B121" s="4"/>
      <c r="C121" s="4"/>
      <c r="D121" s="6"/>
      <c r="E121" s="4"/>
      <c r="F121" s="4"/>
      <c r="G121" s="4"/>
      <c r="H121" s="4"/>
      <c r="I121" s="4"/>
      <c r="J121" s="4"/>
    </row>
    <row r="122" spans="1:10">
      <c r="A122" s="2"/>
      <c r="B122" s="4"/>
      <c r="C122" s="4"/>
      <c r="D122" s="6"/>
      <c r="E122" s="4"/>
      <c r="F122" s="4"/>
      <c r="G122" s="4"/>
      <c r="H122" s="4"/>
      <c r="I122" s="4"/>
      <c r="J122" s="4"/>
    </row>
    <row r="123" spans="1:10">
      <c r="A123" s="2"/>
      <c r="B123" s="4"/>
      <c r="C123" s="4"/>
      <c r="D123" s="6"/>
      <c r="E123" s="4"/>
      <c r="F123" s="4"/>
      <c r="G123" s="4"/>
      <c r="H123" s="4"/>
      <c r="I123" s="4"/>
      <c r="J123" s="4"/>
    </row>
    <row r="124" spans="1:10">
      <c r="A124" s="2"/>
      <c r="B124" s="4"/>
      <c r="C124" s="4"/>
      <c r="D124" s="6"/>
      <c r="E124" s="4"/>
      <c r="F124" s="4"/>
      <c r="G124" s="4"/>
      <c r="H124" s="4"/>
      <c r="I124" s="4"/>
      <c r="J124" s="4"/>
    </row>
    <row r="125" spans="1:10">
      <c r="A125" s="2"/>
      <c r="B125" s="4"/>
      <c r="C125" s="4"/>
      <c r="D125" s="6"/>
      <c r="E125" s="4"/>
      <c r="F125" s="4"/>
      <c r="G125" s="4"/>
      <c r="H125" s="4"/>
      <c r="I125" s="4"/>
      <c r="J125" s="4"/>
    </row>
    <row r="126" spans="1:10">
      <c r="A126" s="2"/>
      <c r="B126" s="4"/>
      <c r="C126" s="4"/>
      <c r="D126" s="6"/>
      <c r="E126" s="4"/>
      <c r="F126" s="4"/>
      <c r="G126" s="4"/>
      <c r="H126" s="4"/>
      <c r="I126" s="4"/>
      <c r="J126" s="4"/>
    </row>
    <row r="127" spans="1:10">
      <c r="A127" s="2"/>
      <c r="B127" s="4"/>
      <c r="C127" s="4"/>
      <c r="D127" s="6"/>
      <c r="E127" s="4"/>
      <c r="F127" s="4"/>
      <c r="G127" s="4"/>
      <c r="H127" s="4"/>
      <c r="I127" s="4"/>
      <c r="J127" s="4"/>
    </row>
    <row r="128" spans="1:10">
      <c r="A128" s="2"/>
      <c r="B128" s="4"/>
      <c r="C128" s="4"/>
      <c r="D128" s="6"/>
      <c r="E128" s="4"/>
      <c r="F128" s="4"/>
      <c r="G128" s="4"/>
      <c r="H128" s="4"/>
      <c r="I128" s="4"/>
      <c r="J128" s="4"/>
    </row>
    <row r="129" spans="1:10">
      <c r="A129" s="2"/>
      <c r="B129" s="4"/>
      <c r="C129" s="4"/>
      <c r="D129" s="6"/>
      <c r="E129" s="4"/>
      <c r="F129" s="4"/>
      <c r="G129" s="4"/>
      <c r="H129" s="4"/>
      <c r="I129" s="4"/>
      <c r="J129" s="4"/>
    </row>
    <row r="130" spans="1:10">
      <c r="A130" s="2"/>
      <c r="B130" s="4"/>
      <c r="C130" s="4"/>
      <c r="D130" s="6"/>
      <c r="E130" s="4"/>
      <c r="F130" s="4"/>
      <c r="G130" s="4"/>
      <c r="H130" s="4"/>
      <c r="I130" s="4"/>
      <c r="J130" s="4"/>
    </row>
    <row r="131" spans="1:10">
      <c r="A131" s="2"/>
      <c r="B131" s="4"/>
      <c r="C131" s="4"/>
      <c r="D131" s="6"/>
      <c r="E131" s="4"/>
      <c r="F131" s="4"/>
      <c r="G131" s="4"/>
      <c r="H131" s="4"/>
      <c r="I131" s="4"/>
      <c r="J131" s="4"/>
    </row>
    <row r="132" spans="1:10">
      <c r="A132" s="2"/>
      <c r="B132" s="4"/>
      <c r="C132" s="4"/>
      <c r="D132" s="6"/>
      <c r="E132" s="4"/>
      <c r="F132" s="4"/>
      <c r="G132" s="4"/>
      <c r="H132" s="4"/>
      <c r="I132" s="4"/>
      <c r="J132" s="4"/>
    </row>
    <row r="133" spans="1:10">
      <c r="A133" s="2"/>
      <c r="B133" s="4"/>
      <c r="C133" s="4"/>
      <c r="D133" s="6"/>
      <c r="E133" s="4"/>
      <c r="F133" s="4"/>
      <c r="G133" s="4"/>
      <c r="H133" s="4"/>
      <c r="I133" s="4"/>
      <c r="J133" s="4"/>
    </row>
    <row r="134" spans="1:10">
      <c r="A134" s="2"/>
      <c r="B134" s="4"/>
      <c r="C134" s="4"/>
      <c r="D134" s="6"/>
      <c r="E134" s="4"/>
      <c r="F134" s="4"/>
      <c r="G134" s="4"/>
      <c r="H134" s="4"/>
      <c r="I134" s="4"/>
      <c r="J134" s="4"/>
    </row>
    <row r="135" spans="1:10">
      <c r="A135" s="2"/>
      <c r="B135" s="4"/>
      <c r="C135" s="4"/>
      <c r="D135" s="6"/>
      <c r="E135" s="4"/>
      <c r="F135" s="4"/>
      <c r="G135" s="4"/>
      <c r="H135" s="4"/>
      <c r="I135" s="4"/>
      <c r="J135" s="4"/>
    </row>
    <row r="136" spans="1:10">
      <c r="A136" s="2"/>
      <c r="B136" s="4"/>
      <c r="C136" s="4"/>
      <c r="D136" s="6"/>
      <c r="E136" s="4"/>
      <c r="F136" s="4"/>
      <c r="G136" s="4"/>
      <c r="H136" s="4"/>
      <c r="I136" s="4"/>
      <c r="J136" s="4"/>
    </row>
    <row r="137" spans="1:10">
      <c r="A137" s="2"/>
      <c r="B137" s="4"/>
      <c r="C137" s="4"/>
      <c r="D137" s="6"/>
      <c r="E137" s="4"/>
      <c r="F137" s="4"/>
      <c r="G137" s="4"/>
      <c r="H137" s="4"/>
      <c r="I137" s="4"/>
      <c r="J137" s="4"/>
    </row>
    <row r="138" spans="1:10">
      <c r="A138" s="2"/>
      <c r="B138" s="4"/>
      <c r="C138" s="4"/>
      <c r="D138" s="6"/>
      <c r="E138" s="4"/>
      <c r="F138" s="4"/>
      <c r="G138" s="4"/>
      <c r="H138" s="4"/>
      <c r="I138" s="4"/>
      <c r="J138" s="4"/>
    </row>
    <row r="139" spans="1:10">
      <c r="A139" s="2"/>
      <c r="B139" s="4"/>
      <c r="C139" s="4"/>
      <c r="D139" s="6"/>
      <c r="E139" s="4"/>
      <c r="F139" s="4"/>
      <c r="G139" s="4"/>
      <c r="H139" s="4"/>
      <c r="I139" s="4"/>
      <c r="J139" s="4"/>
    </row>
    <row r="140" spans="1:10">
      <c r="A140" s="2"/>
      <c r="B140" s="4"/>
      <c r="C140" s="4"/>
      <c r="D140" s="6"/>
      <c r="E140" s="4"/>
      <c r="F140" s="4"/>
      <c r="G140" s="4"/>
      <c r="H140" s="4"/>
      <c r="I140" s="4"/>
      <c r="J140" s="4"/>
    </row>
    <row r="141" spans="1:10">
      <c r="A141" s="2"/>
      <c r="B141" s="4"/>
      <c r="C141" s="4"/>
      <c r="D141" s="6"/>
      <c r="E141" s="4"/>
      <c r="F141" s="4"/>
      <c r="G141" s="4"/>
      <c r="H141" s="4"/>
      <c r="I141" s="4"/>
      <c r="J141" s="4"/>
    </row>
    <row r="142" spans="1:10">
      <c r="A142" s="2"/>
      <c r="B142" s="4"/>
      <c r="C142" s="4"/>
      <c r="D142" s="6"/>
      <c r="E142" s="4"/>
      <c r="F142" s="4"/>
      <c r="G142" s="4"/>
      <c r="H142" s="4"/>
      <c r="I142" s="4"/>
      <c r="J142" s="4"/>
    </row>
    <row r="143" spans="1:10">
      <c r="A143" s="2"/>
      <c r="B143" s="4"/>
      <c r="C143" s="4"/>
      <c r="D143" s="6"/>
      <c r="E143" s="4"/>
      <c r="F143" s="4"/>
      <c r="G143" s="4"/>
      <c r="H143" s="4"/>
      <c r="I143" s="4"/>
      <c r="J143" s="4"/>
    </row>
    <row r="144" spans="1:10">
      <c r="A144" s="2"/>
      <c r="B144" s="4"/>
      <c r="C144" s="4"/>
      <c r="D144" s="6"/>
      <c r="E144" s="4"/>
      <c r="F144" s="4"/>
      <c r="G144" s="4"/>
      <c r="H144" s="4"/>
      <c r="I144" s="4"/>
      <c r="J144" s="4"/>
    </row>
    <row r="145" spans="1:10">
      <c r="A145" s="2"/>
      <c r="B145" s="4"/>
      <c r="C145" s="4"/>
      <c r="D145" s="6"/>
      <c r="E145" s="4"/>
      <c r="F145" s="4"/>
      <c r="G145" s="4"/>
      <c r="H145" s="4"/>
      <c r="I145" s="4"/>
      <c r="J145" s="4"/>
    </row>
    <row r="146" spans="1:10">
      <c r="A146" s="2"/>
      <c r="B146" s="4"/>
      <c r="C146" s="4"/>
      <c r="D146" s="6"/>
      <c r="E146" s="4"/>
      <c r="F146" s="4"/>
      <c r="G146" s="4"/>
      <c r="H146" s="4"/>
      <c r="I146" s="4"/>
      <c r="J146" s="4"/>
    </row>
    <row r="147" spans="1:10">
      <c r="A147" s="2"/>
      <c r="B147" s="4"/>
      <c r="C147" s="4"/>
      <c r="D147" s="6"/>
      <c r="E147" s="4"/>
      <c r="F147" s="4"/>
      <c r="G147" s="4"/>
      <c r="H147" s="4"/>
      <c r="I147" s="4"/>
      <c r="J147" s="4"/>
    </row>
    <row r="148" spans="1:10">
      <c r="A148" s="2"/>
      <c r="B148" s="4"/>
      <c r="C148" s="4"/>
      <c r="D148" s="6"/>
      <c r="E148" s="4"/>
      <c r="F148" s="4"/>
      <c r="G148" s="4"/>
      <c r="H148" s="4"/>
      <c r="I148" s="4"/>
      <c r="J148" s="4"/>
    </row>
    <row r="149" spans="1:10">
      <c r="A149" s="2"/>
      <c r="B149" s="4"/>
      <c r="C149" s="4"/>
      <c r="D149" s="6"/>
      <c r="E149" s="4"/>
      <c r="F149" s="4"/>
      <c r="G149" s="4"/>
      <c r="H149" s="4"/>
      <c r="I149" s="4"/>
      <c r="J149" s="4"/>
    </row>
    <row r="150" spans="1:10">
      <c r="A150" s="2"/>
      <c r="B150" s="4"/>
      <c r="C150" s="4"/>
      <c r="D150" s="6"/>
      <c r="E150" s="4"/>
      <c r="F150" s="4"/>
      <c r="G150" s="4"/>
      <c r="H150" s="4"/>
      <c r="I150" s="4"/>
      <c r="J150" s="4"/>
    </row>
    <row r="151" spans="1:10">
      <c r="A151" s="2"/>
      <c r="B151" s="4"/>
      <c r="C151" s="4"/>
      <c r="D151" s="6"/>
      <c r="E151" s="4"/>
      <c r="F151" s="4"/>
      <c r="G151" s="4"/>
      <c r="H151" s="4"/>
      <c r="I151" s="4"/>
      <c r="J151" s="4"/>
    </row>
    <row r="152" spans="1:10">
      <c r="A152" s="2"/>
      <c r="B152" s="4"/>
      <c r="C152" s="4"/>
      <c r="D152" s="6"/>
      <c r="E152" s="4"/>
      <c r="F152" s="4"/>
      <c r="G152" s="4"/>
      <c r="H152" s="4"/>
      <c r="I152" s="4"/>
      <c r="J152" s="4"/>
    </row>
    <row r="153" spans="1:10">
      <c r="A153" s="2"/>
      <c r="B153" s="4"/>
      <c r="C153" s="4"/>
      <c r="D153" s="6"/>
      <c r="E153" s="4"/>
      <c r="F153" s="4"/>
      <c r="G153" s="4"/>
      <c r="H153" s="4"/>
      <c r="I153" s="4"/>
      <c r="J153" s="4"/>
    </row>
    <row r="154" spans="1:10">
      <c r="A154" s="2"/>
      <c r="B154" s="4"/>
      <c r="C154" s="4"/>
      <c r="D154" s="6"/>
      <c r="E154" s="4"/>
      <c r="F154" s="4"/>
      <c r="G154" s="4"/>
      <c r="H154" s="4"/>
      <c r="I154" s="4"/>
      <c r="J154" s="4"/>
    </row>
    <row r="155" spans="1:10">
      <c r="A155" s="2"/>
      <c r="B155" s="4"/>
      <c r="C155" s="4"/>
      <c r="D155" s="6"/>
      <c r="E155" s="4"/>
      <c r="F155" s="4"/>
      <c r="G155" s="4"/>
      <c r="H155" s="4"/>
      <c r="I155" s="4"/>
      <c r="J155" s="4"/>
    </row>
    <row r="156" spans="1:10">
      <c r="A156" s="2"/>
      <c r="B156" s="4"/>
      <c r="C156" s="4"/>
      <c r="D156" s="6"/>
      <c r="E156" s="4"/>
      <c r="F156" s="4"/>
      <c r="G156" s="4"/>
      <c r="H156" s="4"/>
      <c r="I156" s="4"/>
      <c r="J156" s="4"/>
    </row>
    <row r="157" spans="1:10">
      <c r="A157" s="2"/>
      <c r="B157" s="4"/>
      <c r="C157" s="4"/>
      <c r="D157" s="6"/>
      <c r="E157" s="4"/>
      <c r="F157" s="4"/>
      <c r="G157" s="4"/>
      <c r="H157" s="4"/>
      <c r="I157" s="4"/>
      <c r="J157" s="4"/>
    </row>
    <row r="158" spans="1:10">
      <c r="A158" s="2"/>
      <c r="B158" s="4"/>
      <c r="C158" s="4"/>
      <c r="D158" s="6"/>
      <c r="E158" s="4"/>
      <c r="F158" s="4"/>
      <c r="G158" s="4"/>
      <c r="H158" s="4"/>
      <c r="I158" s="4"/>
      <c r="J158" s="4"/>
    </row>
    <row r="159" spans="1:10">
      <c r="A159" s="2"/>
      <c r="B159" s="4"/>
      <c r="C159" s="4"/>
      <c r="D159" s="6"/>
      <c r="E159" s="4"/>
      <c r="F159" s="4"/>
      <c r="G159" s="4"/>
      <c r="H159" s="4"/>
      <c r="I159" s="4"/>
      <c r="J159" s="4"/>
    </row>
    <row r="160" spans="1:10">
      <c r="A160" s="2"/>
      <c r="B160" s="4"/>
      <c r="C160" s="4"/>
      <c r="D160" s="6"/>
      <c r="E160" s="4"/>
      <c r="F160" s="4"/>
      <c r="G160" s="4"/>
      <c r="H160" s="4"/>
      <c r="I160" s="4"/>
      <c r="J160" s="4"/>
    </row>
    <row r="161" spans="1:10">
      <c r="A161" s="2"/>
      <c r="B161" s="4"/>
      <c r="C161" s="4"/>
      <c r="D161" s="6"/>
      <c r="E161" s="4"/>
      <c r="F161" s="4"/>
      <c r="G161" s="4"/>
      <c r="H161" s="4"/>
      <c r="I161" s="4"/>
      <c r="J161" s="4"/>
    </row>
    <row r="162" spans="1:10">
      <c r="A162" s="2"/>
      <c r="B162" s="4"/>
      <c r="C162" s="4"/>
      <c r="D162" s="6"/>
      <c r="E162" s="4"/>
      <c r="F162" s="4"/>
      <c r="G162" s="4"/>
      <c r="H162" s="4"/>
      <c r="I162" s="4"/>
      <c r="J162" s="4"/>
    </row>
    <row r="163" spans="1:10">
      <c r="A163" s="2"/>
      <c r="B163" s="4"/>
      <c r="C163" s="4"/>
      <c r="D163" s="6"/>
      <c r="E163" s="4"/>
      <c r="F163" s="4"/>
      <c r="G163" s="4"/>
      <c r="H163" s="4"/>
      <c r="I163" s="4"/>
      <c r="J163" s="4"/>
    </row>
    <row r="164" spans="1:10">
      <c r="A164" s="2"/>
      <c r="B164" s="4"/>
      <c r="C164" s="4"/>
      <c r="D164" s="6"/>
      <c r="E164" s="4"/>
      <c r="F164" s="4"/>
      <c r="G164" s="4"/>
      <c r="H164" s="4"/>
      <c r="I164" s="4"/>
      <c r="J164" s="4"/>
    </row>
    <row r="165" spans="1:10">
      <c r="A165" s="2"/>
      <c r="B165" s="4"/>
      <c r="C165" s="4"/>
      <c r="D165" s="6"/>
      <c r="E165" s="4"/>
      <c r="F165" s="4"/>
      <c r="G165" s="4"/>
      <c r="H165" s="4"/>
      <c r="I165" s="4"/>
      <c r="J165" s="4"/>
    </row>
    <row r="166" spans="1:10">
      <c r="A166" s="2"/>
      <c r="B166" s="4"/>
      <c r="C166" s="4"/>
      <c r="D166" s="6"/>
      <c r="E166" s="4"/>
      <c r="F166" s="4"/>
      <c r="G166" s="4"/>
      <c r="H166" s="4"/>
      <c r="I166" s="4"/>
      <c r="J166" s="4"/>
    </row>
    <row r="167" spans="1:10">
      <c r="A167" s="2"/>
      <c r="B167" s="4"/>
      <c r="C167" s="4"/>
      <c r="D167" s="6"/>
      <c r="E167" s="4"/>
      <c r="F167" s="4"/>
      <c r="G167" s="4"/>
      <c r="H167" s="4"/>
      <c r="I167" s="4"/>
      <c r="J167" s="4"/>
    </row>
    <row r="168" spans="1:10">
      <c r="A168" s="2"/>
      <c r="B168" s="4"/>
      <c r="C168" s="4"/>
      <c r="D168" s="6"/>
      <c r="E168" s="4"/>
      <c r="F168" s="4"/>
      <c r="G168" s="4"/>
      <c r="H168" s="4"/>
      <c r="I168" s="4"/>
      <c r="J168" s="4"/>
    </row>
    <row r="169" spans="1:10">
      <c r="A169" s="2"/>
      <c r="B169" s="4"/>
      <c r="C169" s="4"/>
      <c r="D169" s="6"/>
      <c r="E169" s="4"/>
      <c r="F169" s="4"/>
      <c r="G169" s="4"/>
      <c r="H169" s="4"/>
      <c r="I169" s="4"/>
      <c r="J169" s="4"/>
    </row>
    <row r="170" spans="1:10">
      <c r="A170" s="2"/>
      <c r="B170" s="4"/>
      <c r="C170" s="4"/>
      <c r="D170" s="6"/>
      <c r="E170" s="4"/>
      <c r="F170" s="4"/>
      <c r="G170" s="4"/>
      <c r="H170" s="4"/>
      <c r="I170" s="4"/>
      <c r="J170" s="4"/>
    </row>
    <row r="171" spans="1:10">
      <c r="A171" s="2"/>
      <c r="B171" s="4"/>
      <c r="C171" s="4"/>
      <c r="D171" s="6"/>
      <c r="E171" s="4"/>
      <c r="F171" s="4"/>
      <c r="G171" s="4"/>
      <c r="H171" s="4"/>
      <c r="I171" s="4"/>
      <c r="J171" s="4"/>
    </row>
    <row r="172" spans="1:10">
      <c r="A172" s="2"/>
      <c r="B172" s="4"/>
      <c r="C172" s="4"/>
      <c r="D172" s="6"/>
      <c r="E172" s="4"/>
      <c r="F172" s="4"/>
      <c r="G172" s="4"/>
      <c r="H172" s="4"/>
      <c r="I172" s="4"/>
      <c r="J172" s="4"/>
    </row>
    <row r="173" spans="1:10">
      <c r="A173" s="2"/>
      <c r="B173" s="4"/>
      <c r="C173" s="4"/>
      <c r="D173" s="6"/>
      <c r="E173" s="4"/>
      <c r="F173" s="4"/>
      <c r="G173" s="4"/>
      <c r="H173" s="4"/>
      <c r="I173" s="4"/>
      <c r="J173" s="4"/>
    </row>
    <row r="174" spans="1:10">
      <c r="A174" s="2"/>
      <c r="B174" s="4"/>
      <c r="C174" s="4"/>
      <c r="D174" s="6"/>
      <c r="E174" s="4"/>
      <c r="F174" s="4"/>
      <c r="G174" s="4"/>
      <c r="H174" s="4"/>
      <c r="I174" s="4"/>
      <c r="J174" s="4"/>
    </row>
    <row r="175" spans="1:10">
      <c r="A175" s="2"/>
      <c r="B175" s="4"/>
      <c r="C175" s="4"/>
      <c r="D175" s="6"/>
      <c r="E175" s="4"/>
      <c r="F175" s="4"/>
      <c r="G175" s="4"/>
      <c r="H175" s="4"/>
      <c r="I175" s="4"/>
      <c r="J175" s="4"/>
    </row>
    <row r="176" spans="1:10">
      <c r="A176" s="2"/>
      <c r="B176" s="4"/>
      <c r="C176" s="4"/>
      <c r="D176" s="6"/>
      <c r="E176" s="4"/>
      <c r="F176" s="4"/>
      <c r="G176" s="4"/>
      <c r="H176" s="4"/>
      <c r="I176" s="4"/>
      <c r="J176" s="4"/>
    </row>
    <row r="177" spans="1:10">
      <c r="A177" s="2"/>
      <c r="B177" s="4"/>
      <c r="C177" s="4"/>
      <c r="D177" s="6"/>
      <c r="E177" s="4"/>
      <c r="F177" s="4"/>
      <c r="G177" s="4"/>
      <c r="H177" s="4"/>
      <c r="I177" s="4"/>
      <c r="J177" s="4"/>
    </row>
    <row r="178" spans="1:10">
      <c r="A178" s="2"/>
      <c r="B178" s="4"/>
      <c r="C178" s="4"/>
      <c r="D178" s="6"/>
      <c r="E178" s="4"/>
      <c r="F178" s="4"/>
      <c r="G178" s="4"/>
      <c r="H178" s="4"/>
      <c r="I178" s="4"/>
      <c r="J178" s="4"/>
    </row>
    <row r="179" spans="1:10">
      <c r="A179" s="2"/>
      <c r="B179" s="4"/>
      <c r="C179" s="4"/>
      <c r="D179" s="6"/>
      <c r="E179" s="4"/>
      <c r="F179" s="4"/>
      <c r="G179" s="4"/>
      <c r="H179" s="4"/>
      <c r="I179" s="4"/>
      <c r="J179" s="4"/>
    </row>
    <row r="180" spans="1:10">
      <c r="A180" s="2"/>
      <c r="B180" s="4"/>
      <c r="C180" s="4"/>
      <c r="D180" s="6"/>
      <c r="E180" s="4"/>
      <c r="F180" s="4"/>
      <c r="G180" s="4"/>
      <c r="H180" s="4"/>
      <c r="I180" s="4"/>
      <c r="J180" s="4"/>
    </row>
    <row r="181" spans="1:10">
      <c r="A181" s="2"/>
      <c r="B181" s="4"/>
      <c r="C181" s="4"/>
      <c r="D181" s="6"/>
      <c r="E181" s="4"/>
      <c r="F181" s="4"/>
      <c r="G181" s="4"/>
      <c r="H181" s="4"/>
      <c r="I181" s="4"/>
      <c r="J181" s="4"/>
    </row>
    <row r="182" spans="1:10">
      <c r="A182" s="2"/>
      <c r="B182" s="4"/>
      <c r="C182" s="4"/>
      <c r="D182" s="6"/>
      <c r="E182" s="4"/>
      <c r="F182" s="4"/>
      <c r="G182" s="4"/>
      <c r="H182" s="4"/>
      <c r="I182" s="4"/>
      <c r="J182" s="4"/>
    </row>
    <row r="183" spans="1:10">
      <c r="A183" s="2"/>
      <c r="B183" s="4"/>
      <c r="C183" s="4"/>
      <c r="D183" s="6"/>
      <c r="E183" s="4"/>
      <c r="F183" s="4"/>
      <c r="G183" s="4"/>
      <c r="H183" s="4"/>
      <c r="I183" s="4"/>
      <c r="J183" s="4"/>
    </row>
    <row r="184" spans="1:10">
      <c r="A184" s="2"/>
      <c r="B184" s="4"/>
      <c r="C184" s="4"/>
      <c r="D184" s="6"/>
      <c r="E184" s="4"/>
      <c r="F184" s="4"/>
      <c r="G184" s="4"/>
      <c r="H184" s="4"/>
      <c r="I184" s="4"/>
      <c r="J184" s="4"/>
    </row>
    <row r="185" spans="1:10">
      <c r="A185" s="2"/>
      <c r="B185" s="4"/>
      <c r="C185" s="4"/>
      <c r="D185" s="6"/>
      <c r="E185" s="4"/>
      <c r="F185" s="4"/>
      <c r="G185" s="4"/>
      <c r="H185" s="4"/>
      <c r="I185" s="4"/>
      <c r="J185" s="4"/>
    </row>
    <row r="186" spans="1:10">
      <c r="A186" s="2"/>
      <c r="B186" s="4"/>
      <c r="C186" s="4"/>
      <c r="D186" s="6"/>
      <c r="E186" s="4"/>
      <c r="F186" s="4"/>
      <c r="G186" s="4"/>
      <c r="H186" s="4"/>
      <c r="I186" s="4"/>
      <c r="J186" s="4"/>
    </row>
    <row r="187" spans="1:10">
      <c r="A187" s="2"/>
      <c r="B187" s="4"/>
      <c r="C187" s="4"/>
      <c r="D187" s="6"/>
      <c r="E187" s="4"/>
      <c r="F187" s="4"/>
      <c r="G187" s="4"/>
      <c r="H187" s="4"/>
      <c r="I187" s="4"/>
      <c r="J187" s="4"/>
    </row>
    <row r="188" spans="1:10">
      <c r="A188" s="2"/>
      <c r="B188" s="4"/>
      <c r="C188" s="4"/>
      <c r="D188" s="6"/>
      <c r="E188" s="4"/>
      <c r="F188" s="4"/>
      <c r="G188" s="4"/>
      <c r="H188" s="4"/>
      <c r="I188" s="4"/>
      <c r="J188" s="4"/>
    </row>
    <row r="189" spans="1:10">
      <c r="A189" s="2"/>
      <c r="B189" s="4"/>
      <c r="C189" s="4"/>
      <c r="D189" s="6"/>
      <c r="E189" s="4"/>
      <c r="F189" s="4"/>
      <c r="G189" s="4"/>
      <c r="H189" s="4"/>
      <c r="I189" s="4"/>
      <c r="J189" s="4"/>
    </row>
    <row r="190" spans="1:10">
      <c r="A190" s="2"/>
      <c r="B190" s="4"/>
      <c r="C190" s="4"/>
      <c r="D190" s="6"/>
      <c r="E190" s="4"/>
      <c r="F190" s="4"/>
      <c r="G190" s="4"/>
      <c r="H190" s="4"/>
      <c r="I190" s="4"/>
      <c r="J190" s="4"/>
    </row>
    <row r="191" spans="1:10">
      <c r="A191" s="2"/>
      <c r="B191" s="4"/>
      <c r="C191" s="4"/>
      <c r="D191" s="6"/>
      <c r="E191" s="4"/>
      <c r="F191" s="4"/>
      <c r="G191" s="4"/>
      <c r="H191" s="4"/>
      <c r="I191" s="4"/>
      <c r="J191" s="4"/>
    </row>
    <row r="192" spans="1:10">
      <c r="A192" s="2"/>
      <c r="B192" s="4"/>
      <c r="C192" s="4"/>
      <c r="D192" s="6"/>
      <c r="E192" s="4"/>
      <c r="F192" s="4"/>
      <c r="G192" s="4"/>
      <c r="H192" s="4"/>
      <c r="I192" s="4"/>
      <c r="J192" s="4"/>
    </row>
    <row r="193" spans="1:10">
      <c r="A193" s="2"/>
      <c r="B193" s="4"/>
      <c r="C193" s="4"/>
      <c r="D193" s="6"/>
      <c r="E193" s="4"/>
      <c r="F193" s="4"/>
      <c r="G193" s="4"/>
      <c r="H193" s="4"/>
      <c r="I193" s="4"/>
      <c r="J193" s="4"/>
    </row>
    <row r="194" spans="1:10">
      <c r="A194" s="2"/>
      <c r="B194" s="4"/>
      <c r="C194" s="4"/>
      <c r="D194" s="6"/>
      <c r="E194" s="4"/>
      <c r="F194" s="4"/>
      <c r="G194" s="4"/>
      <c r="H194" s="4"/>
      <c r="I194" s="4"/>
      <c r="J194" s="4"/>
    </row>
    <row r="195" spans="1:10">
      <c r="A195" s="2"/>
      <c r="B195" s="4"/>
      <c r="C195" s="4"/>
      <c r="D195" s="6"/>
      <c r="E195" s="4"/>
      <c r="F195" s="4"/>
      <c r="G195" s="4"/>
      <c r="H195" s="4"/>
      <c r="I195" s="4"/>
      <c r="J195" s="4"/>
    </row>
    <row r="196" spans="1:10">
      <c r="A196" s="2"/>
      <c r="B196" s="4"/>
      <c r="C196" s="4"/>
      <c r="D196" s="6"/>
      <c r="E196" s="4"/>
      <c r="F196" s="4"/>
      <c r="G196" s="4"/>
      <c r="H196" s="4"/>
      <c r="I196" s="4"/>
      <c r="J196" s="4"/>
    </row>
    <row r="197" spans="1:10">
      <c r="A197" s="2"/>
      <c r="B197" s="4"/>
      <c r="C197" s="4"/>
      <c r="D197" s="6"/>
      <c r="E197" s="4"/>
      <c r="F197" s="4"/>
      <c r="G197" s="4"/>
      <c r="H197" s="4"/>
      <c r="I197" s="4"/>
      <c r="J197" s="4"/>
    </row>
    <row r="198" spans="1:10">
      <c r="A198" s="2"/>
      <c r="B198" s="4"/>
      <c r="C198" s="4"/>
      <c r="D198" s="6"/>
      <c r="E198" s="4"/>
      <c r="F198" s="4"/>
      <c r="G198" s="4"/>
      <c r="H198" s="4"/>
      <c r="I198" s="4"/>
      <c r="J198" s="4"/>
    </row>
    <row r="199" spans="1:10">
      <c r="A199" s="2"/>
      <c r="B199" s="4"/>
      <c r="C199" s="4"/>
      <c r="D199" s="6"/>
      <c r="E199" s="4"/>
      <c r="F199" s="4"/>
      <c r="G199" s="4"/>
      <c r="H199" s="4"/>
      <c r="I199" s="4"/>
      <c r="J199" s="4"/>
    </row>
    <row r="200" spans="1:10">
      <c r="A200" s="2"/>
      <c r="B200" s="4"/>
      <c r="C200" s="4"/>
      <c r="D200" s="6"/>
      <c r="E200" s="4"/>
      <c r="F200" s="4"/>
      <c r="G200" s="4"/>
      <c r="H200" s="4"/>
      <c r="I200" s="4"/>
      <c r="J200" s="4"/>
    </row>
    <row r="201" spans="1:10">
      <c r="A201" s="2"/>
      <c r="B201" s="4"/>
      <c r="C201" s="4"/>
      <c r="D201" s="6"/>
      <c r="E201" s="4"/>
      <c r="F201" s="4"/>
      <c r="G201" s="4"/>
      <c r="H201" s="4"/>
      <c r="I201" s="4"/>
      <c r="J201" s="4"/>
    </row>
    <row r="202" spans="1:10">
      <c r="A202" s="2"/>
      <c r="B202" s="4"/>
      <c r="C202" s="4"/>
      <c r="D202" s="6"/>
      <c r="E202" s="4"/>
      <c r="F202" s="4"/>
      <c r="G202" s="4"/>
      <c r="H202" s="4"/>
      <c r="I202" s="4"/>
      <c r="J202" s="4"/>
    </row>
    <row r="203" spans="1:10">
      <c r="A203" s="2"/>
      <c r="B203" s="4"/>
      <c r="C203" s="4"/>
      <c r="D203" s="6"/>
      <c r="E203" s="4"/>
      <c r="F203" s="4"/>
      <c r="G203" s="4"/>
      <c r="H203" s="4"/>
      <c r="I203" s="4"/>
      <c r="J203" s="4"/>
    </row>
    <row r="204" spans="1:10">
      <c r="A204" s="2"/>
      <c r="B204" s="4"/>
      <c r="C204" s="4"/>
      <c r="D204" s="6"/>
      <c r="E204" s="4"/>
      <c r="F204" s="4"/>
      <c r="G204" s="4"/>
      <c r="H204" s="4"/>
      <c r="I204" s="4"/>
      <c r="J204" s="4"/>
    </row>
    <row r="205" spans="1:10">
      <c r="A205" s="2"/>
      <c r="B205" s="4"/>
      <c r="C205" s="4"/>
      <c r="D205" s="6"/>
      <c r="E205" s="4"/>
      <c r="F205" s="4"/>
      <c r="G205" s="4"/>
      <c r="H205" s="4"/>
      <c r="I205" s="4"/>
      <c r="J205" s="4"/>
    </row>
    <row r="206" spans="1:10">
      <c r="A206" s="2"/>
      <c r="B206" s="4"/>
      <c r="C206" s="4"/>
      <c r="D206" s="6"/>
      <c r="E206" s="4"/>
      <c r="F206" s="4"/>
      <c r="G206" s="4"/>
      <c r="H206" s="4"/>
      <c r="I206" s="4"/>
      <c r="J206" s="4"/>
    </row>
    <row r="207" spans="1:10">
      <c r="A207" s="2"/>
      <c r="B207" s="4"/>
      <c r="C207" s="4"/>
      <c r="D207" s="6"/>
      <c r="E207" s="4"/>
      <c r="F207" s="4"/>
      <c r="G207" s="4"/>
      <c r="H207" s="4"/>
      <c r="I207" s="4"/>
      <c r="J207" s="4"/>
    </row>
    <row r="208" spans="1:10">
      <c r="A208" s="2"/>
      <c r="B208" s="4"/>
      <c r="C208" s="4"/>
      <c r="D208" s="6"/>
      <c r="E208" s="4"/>
      <c r="F208" s="4"/>
      <c r="G208" s="4"/>
      <c r="H208" s="4"/>
      <c r="I208" s="4"/>
      <c r="J208" s="4"/>
    </row>
    <row r="209" spans="1:10">
      <c r="A209" s="2"/>
      <c r="B209" s="4"/>
      <c r="C209" s="4"/>
      <c r="D209" s="6"/>
      <c r="E209" s="4"/>
      <c r="F209" s="4"/>
      <c r="G209" s="4"/>
      <c r="H209" s="4"/>
      <c r="I209" s="4"/>
      <c r="J209" s="4"/>
    </row>
    <row r="210" spans="1:10">
      <c r="A210" s="2"/>
      <c r="B210" s="4"/>
      <c r="C210" s="4"/>
      <c r="D210" s="6"/>
      <c r="E210" s="4"/>
      <c r="F210" s="4"/>
      <c r="G210" s="4"/>
      <c r="H210" s="4"/>
      <c r="I210" s="4"/>
      <c r="J210" s="4"/>
    </row>
    <row r="211" spans="1:10">
      <c r="A211" s="2"/>
      <c r="B211" s="4"/>
      <c r="C211" s="4"/>
      <c r="D211" s="6"/>
      <c r="E211" s="4"/>
      <c r="F211" s="4"/>
      <c r="G211" s="4"/>
      <c r="H211" s="4"/>
      <c r="I211" s="4"/>
      <c r="J211" s="4"/>
    </row>
    <row r="212" spans="1:10">
      <c r="A212" s="2"/>
      <c r="B212" s="4"/>
      <c r="C212" s="4"/>
      <c r="D212" s="6"/>
      <c r="E212" s="4"/>
      <c r="F212" s="4"/>
      <c r="G212" s="4"/>
      <c r="H212" s="4"/>
      <c r="I212" s="4"/>
      <c r="J212" s="4"/>
    </row>
    <row r="213" spans="1:10">
      <c r="A213" s="2"/>
      <c r="B213" s="4"/>
      <c r="C213" s="4"/>
      <c r="D213" s="6"/>
      <c r="E213" s="4"/>
      <c r="F213" s="4"/>
      <c r="G213" s="4"/>
      <c r="H213" s="4"/>
      <c r="I213" s="4"/>
      <c r="J213" s="4"/>
    </row>
    <row r="214" spans="1:10">
      <c r="A214" s="2"/>
      <c r="B214" s="4"/>
      <c r="C214" s="4"/>
      <c r="D214" s="6"/>
      <c r="E214" s="4"/>
      <c r="F214" s="4"/>
      <c r="G214" s="4"/>
      <c r="H214" s="4"/>
      <c r="I214" s="4"/>
      <c r="J214" s="4"/>
    </row>
    <row r="215" spans="1:10">
      <c r="A215" s="2"/>
      <c r="B215" s="4"/>
      <c r="C215" s="4"/>
      <c r="D215" s="6"/>
      <c r="E215" s="4"/>
      <c r="F215" s="4"/>
      <c r="G215" s="4"/>
      <c r="H215" s="4"/>
      <c r="I215" s="4"/>
      <c r="J215" s="4"/>
    </row>
    <row r="216" spans="1:10">
      <c r="A216" s="2"/>
      <c r="B216" s="4"/>
      <c r="C216" s="4"/>
      <c r="D216" s="6"/>
      <c r="E216" s="4"/>
      <c r="F216" s="4"/>
      <c r="G216" s="4"/>
      <c r="H216" s="4"/>
      <c r="I216" s="4"/>
      <c r="J216" s="4"/>
    </row>
    <row r="217" spans="1:10">
      <c r="A217" s="2"/>
      <c r="B217" s="4"/>
      <c r="C217" s="4"/>
      <c r="D217" s="6"/>
      <c r="E217" s="4"/>
      <c r="F217" s="4"/>
      <c r="G217" s="4"/>
      <c r="H217" s="4"/>
      <c r="I217" s="4"/>
      <c r="J217" s="4"/>
    </row>
    <row r="218" spans="1:10">
      <c r="A218" s="2"/>
      <c r="B218" s="4"/>
      <c r="C218" s="4"/>
      <c r="D218" s="6"/>
      <c r="E218" s="4"/>
      <c r="F218" s="4"/>
      <c r="G218" s="4"/>
      <c r="H218" s="4"/>
      <c r="I218" s="4"/>
      <c r="J218" s="4"/>
    </row>
    <row r="219" spans="1:10">
      <c r="A219" s="2"/>
      <c r="B219" s="4"/>
      <c r="C219" s="4"/>
      <c r="D219" s="6"/>
      <c r="E219" s="4"/>
      <c r="F219" s="4"/>
      <c r="G219" s="4"/>
      <c r="H219" s="4"/>
      <c r="I219" s="4"/>
      <c r="J219" s="4"/>
    </row>
    <row r="220" spans="1:10">
      <c r="A220" s="2"/>
      <c r="B220" s="4"/>
      <c r="C220" s="4"/>
      <c r="D220" s="6"/>
      <c r="E220" s="4"/>
      <c r="F220" s="4"/>
      <c r="G220" s="4"/>
      <c r="H220" s="4"/>
      <c r="I220" s="4"/>
      <c r="J220" s="4"/>
    </row>
    <row r="221" spans="1:10">
      <c r="A221" s="2"/>
      <c r="B221" s="4"/>
      <c r="C221" s="4"/>
      <c r="D221" s="6"/>
      <c r="E221" s="4"/>
      <c r="F221" s="4"/>
      <c r="G221" s="4"/>
      <c r="H221" s="4"/>
      <c r="I221" s="4"/>
      <c r="J221" s="4"/>
    </row>
    <row r="222" spans="1:10">
      <c r="A222" s="2"/>
      <c r="B222" s="4"/>
      <c r="C222" s="4"/>
      <c r="D222" s="6"/>
      <c r="E222" s="4"/>
      <c r="F222" s="4"/>
      <c r="G222" s="4"/>
      <c r="H222" s="4"/>
      <c r="I222" s="4"/>
      <c r="J222" s="4"/>
    </row>
    <row r="223" spans="1:10">
      <c r="A223" s="2"/>
      <c r="B223" s="4"/>
      <c r="C223" s="4"/>
      <c r="D223" s="6"/>
      <c r="E223" s="4"/>
      <c r="F223" s="4"/>
      <c r="G223" s="4"/>
      <c r="H223" s="4"/>
      <c r="I223" s="4"/>
      <c r="J223" s="4"/>
    </row>
    <row r="224" spans="1:10">
      <c r="A224" s="2"/>
      <c r="B224" s="4"/>
      <c r="C224" s="4"/>
      <c r="D224" s="6"/>
      <c r="E224" s="4"/>
      <c r="F224" s="4"/>
      <c r="G224" s="4"/>
      <c r="H224" s="4"/>
      <c r="I224" s="4"/>
      <c r="J224" s="4"/>
    </row>
    <row r="225" spans="1:10">
      <c r="A225" s="2"/>
      <c r="B225" s="4"/>
      <c r="C225" s="4"/>
      <c r="D225" s="6"/>
      <c r="E225" s="4"/>
      <c r="F225" s="4"/>
      <c r="G225" s="4"/>
      <c r="H225" s="4"/>
      <c r="I225" s="4"/>
      <c r="J225" s="4"/>
    </row>
    <row r="226" spans="1:10">
      <c r="A226" s="2"/>
      <c r="B226" s="4"/>
      <c r="C226" s="4"/>
      <c r="D226" s="6"/>
      <c r="E226" s="4"/>
      <c r="F226" s="4"/>
      <c r="G226" s="4"/>
      <c r="H226" s="4"/>
      <c r="I226" s="4"/>
      <c r="J226" s="4"/>
    </row>
    <row r="227" spans="1:10">
      <c r="A227" s="2"/>
      <c r="B227" s="4"/>
      <c r="C227" s="4"/>
      <c r="D227" s="6"/>
      <c r="E227" s="4"/>
      <c r="F227" s="4"/>
      <c r="G227" s="4"/>
      <c r="H227" s="4"/>
      <c r="I227" s="4"/>
      <c r="J227" s="4"/>
    </row>
    <row r="228" spans="1:10">
      <c r="A228" s="2"/>
      <c r="B228" s="4"/>
      <c r="C228" s="4"/>
      <c r="D228" s="6"/>
      <c r="E228" s="4"/>
      <c r="F228" s="4"/>
      <c r="G228" s="4"/>
      <c r="H228" s="4"/>
      <c r="I228" s="4"/>
      <c r="J228" s="4"/>
    </row>
    <row r="229" spans="1:10">
      <c r="A229" s="2"/>
      <c r="B229" s="4"/>
      <c r="C229" s="4"/>
      <c r="D229" s="6"/>
      <c r="E229" s="4"/>
      <c r="F229" s="4"/>
      <c r="G229" s="4"/>
      <c r="H229" s="4"/>
      <c r="I229" s="4"/>
      <c r="J229" s="4"/>
    </row>
    <row r="230" spans="1:10">
      <c r="A230" s="2"/>
      <c r="B230" s="4"/>
      <c r="C230" s="4"/>
      <c r="D230" s="6"/>
      <c r="E230" s="4"/>
      <c r="F230" s="4"/>
      <c r="G230" s="4"/>
      <c r="H230" s="4"/>
      <c r="I230" s="4"/>
      <c r="J230" s="4"/>
    </row>
    <row r="231" spans="1:10">
      <c r="A231" s="2"/>
      <c r="B231" s="4"/>
      <c r="C231" s="4"/>
      <c r="D231" s="6"/>
      <c r="E231" s="4"/>
      <c r="F231" s="4"/>
      <c r="G231" s="4"/>
      <c r="H231" s="4"/>
      <c r="I231" s="4"/>
      <c r="J231" s="4"/>
    </row>
    <row r="232" spans="1:10">
      <c r="A232" s="2"/>
      <c r="B232" s="4"/>
      <c r="C232" s="4"/>
      <c r="D232" s="6"/>
      <c r="E232" s="4"/>
      <c r="F232" s="4"/>
      <c r="G232" s="4"/>
      <c r="H232" s="4"/>
      <c r="I232" s="4"/>
      <c r="J232" s="4"/>
    </row>
    <row r="233" spans="1:10">
      <c r="A233" s="2"/>
      <c r="B233" s="4"/>
      <c r="C233" s="4"/>
      <c r="D233" s="6"/>
      <c r="E233" s="4"/>
      <c r="F233" s="4"/>
      <c r="G233" s="4"/>
      <c r="H233" s="4"/>
      <c r="I233" s="4"/>
      <c r="J233" s="4"/>
    </row>
    <row r="234" spans="1:10">
      <c r="A234" s="2"/>
      <c r="B234" s="4"/>
      <c r="C234" s="4"/>
      <c r="D234" s="6"/>
      <c r="E234" s="4"/>
      <c r="F234" s="4"/>
      <c r="G234" s="4"/>
      <c r="H234" s="4"/>
      <c r="I234" s="4"/>
      <c r="J234" s="4"/>
    </row>
    <row r="235" spans="1:10">
      <c r="A235" s="2"/>
      <c r="B235" s="4"/>
      <c r="C235" s="4"/>
      <c r="D235" s="6"/>
      <c r="E235" s="4"/>
      <c r="F235" s="4"/>
      <c r="G235" s="4"/>
      <c r="H235" s="4"/>
      <c r="I235" s="4"/>
      <c r="J235" s="4"/>
    </row>
    <row r="236" spans="1:10">
      <c r="A236" s="2"/>
      <c r="B236" s="4"/>
      <c r="C236" s="4"/>
      <c r="D236" s="6"/>
      <c r="E236" s="4"/>
      <c r="F236" s="4"/>
      <c r="G236" s="4"/>
      <c r="H236" s="4"/>
      <c r="I236" s="4"/>
      <c r="J236" s="4"/>
    </row>
    <row r="237" spans="1:10">
      <c r="A237" s="2"/>
      <c r="B237" s="4"/>
      <c r="C237" s="4"/>
      <c r="D237" s="6"/>
      <c r="E237" s="4"/>
      <c r="F237" s="4"/>
      <c r="G237" s="4"/>
      <c r="H237" s="4"/>
      <c r="I237" s="4"/>
      <c r="J237" s="4"/>
    </row>
    <row r="238" spans="1:10">
      <c r="A238" s="2"/>
      <c r="B238" s="4"/>
      <c r="C238" s="4"/>
      <c r="D238" s="6"/>
      <c r="E238" s="4"/>
      <c r="F238" s="4"/>
      <c r="G238" s="4"/>
      <c r="H238" s="4"/>
      <c r="I238" s="4"/>
      <c r="J238" s="4"/>
    </row>
    <row r="239" spans="1:10">
      <c r="A239" s="2"/>
      <c r="B239" s="4"/>
      <c r="C239" s="4"/>
      <c r="D239" s="6"/>
      <c r="E239" s="4"/>
      <c r="F239" s="4"/>
      <c r="G239" s="4"/>
      <c r="H239" s="4"/>
      <c r="I239" s="4"/>
      <c r="J239" s="4"/>
    </row>
    <row r="240" spans="1:10">
      <c r="A240" s="2"/>
      <c r="B240" s="4"/>
      <c r="C240" s="4"/>
      <c r="D240" s="6"/>
      <c r="E240" s="4"/>
      <c r="F240" s="4"/>
      <c r="G240" s="4"/>
      <c r="H240" s="4"/>
      <c r="I240" s="4"/>
      <c r="J240" s="4"/>
    </row>
    <row r="241" spans="1:10">
      <c r="A241" s="2"/>
      <c r="B241" s="4"/>
      <c r="C241" s="4"/>
      <c r="D241" s="6"/>
      <c r="E241" s="4"/>
      <c r="F241" s="4"/>
      <c r="G241" s="4"/>
      <c r="H241" s="4"/>
      <c r="I241" s="4"/>
      <c r="J241" s="4"/>
    </row>
    <row r="242" spans="1:10">
      <c r="A242" s="2"/>
      <c r="B242" s="4"/>
      <c r="C242" s="4"/>
      <c r="D242" s="6"/>
      <c r="E242" s="4"/>
      <c r="F242" s="4"/>
      <c r="G242" s="4"/>
      <c r="H242" s="4"/>
      <c r="I242" s="4"/>
      <c r="J242" s="4"/>
    </row>
    <row r="243" spans="1:10">
      <c r="A243" s="2"/>
      <c r="B243" s="4"/>
      <c r="C243" s="4"/>
      <c r="D243" s="6"/>
      <c r="E243" s="4"/>
      <c r="F243" s="4"/>
      <c r="G243" s="4"/>
      <c r="H243" s="4"/>
      <c r="I243" s="4"/>
      <c r="J243" s="4"/>
    </row>
    <row r="244" spans="1:10">
      <c r="A244" s="2"/>
      <c r="B244" s="4"/>
      <c r="C244" s="4"/>
      <c r="D244" s="6"/>
      <c r="E244" s="4"/>
      <c r="F244" s="4"/>
      <c r="G244" s="4"/>
      <c r="H244" s="4"/>
      <c r="I244" s="4"/>
      <c r="J244" s="4"/>
    </row>
    <row r="245" spans="1:10">
      <c r="A245" s="2"/>
      <c r="B245" s="4"/>
      <c r="C245" s="4"/>
      <c r="D245" s="6"/>
      <c r="E245" s="4"/>
      <c r="F245" s="4"/>
      <c r="G245" s="4"/>
      <c r="H245" s="4"/>
      <c r="I245" s="4"/>
      <c r="J245" s="4"/>
    </row>
    <row r="246" spans="1:10">
      <c r="A246" s="2"/>
      <c r="B246" s="4"/>
      <c r="C246" s="4"/>
      <c r="D246" s="6"/>
      <c r="E246" s="4"/>
      <c r="F246" s="4"/>
      <c r="G246" s="4"/>
      <c r="H246" s="4"/>
      <c r="I246" s="4"/>
      <c r="J246" s="4"/>
    </row>
    <row r="247" spans="1:10">
      <c r="A247" s="2"/>
      <c r="B247" s="4"/>
      <c r="C247" s="4"/>
      <c r="D247" s="6"/>
      <c r="E247" s="4"/>
      <c r="F247" s="4"/>
      <c r="G247" s="4"/>
      <c r="H247" s="4"/>
      <c r="I247" s="4"/>
      <c r="J247" s="4"/>
    </row>
    <row r="248" spans="1:10">
      <c r="A248" s="2"/>
      <c r="B248" s="4"/>
      <c r="C248" s="4"/>
      <c r="D248" s="6"/>
      <c r="E248" s="4"/>
      <c r="F248" s="4"/>
      <c r="G248" s="4"/>
      <c r="H248" s="4"/>
      <c r="I248" s="4"/>
      <c r="J248" s="4"/>
    </row>
    <row r="249" spans="1:10">
      <c r="A249" s="2"/>
      <c r="B249" s="4"/>
      <c r="C249" s="4"/>
      <c r="D249" s="6"/>
      <c r="E249" s="4"/>
      <c r="F249" s="4"/>
      <c r="G249" s="4"/>
      <c r="H249" s="4"/>
      <c r="I249" s="4"/>
      <c r="J249" s="4"/>
    </row>
    <row r="250" spans="1:10">
      <c r="A250" s="2"/>
      <c r="B250" s="4"/>
      <c r="C250" s="4"/>
      <c r="D250" s="6"/>
      <c r="E250" s="4"/>
      <c r="F250" s="4"/>
      <c r="G250" s="4"/>
      <c r="H250" s="4"/>
      <c r="I250" s="4"/>
      <c r="J250" s="4"/>
    </row>
    <row r="251" spans="1:10">
      <c r="A251" s="2"/>
      <c r="B251" s="4"/>
      <c r="C251" s="4"/>
      <c r="D251" s="6"/>
      <c r="E251" s="4"/>
      <c r="F251" s="4"/>
      <c r="G251" s="4"/>
      <c r="H251" s="4"/>
      <c r="I251" s="4"/>
      <c r="J251" s="4"/>
    </row>
    <row r="252" spans="1:10">
      <c r="A252" s="2"/>
      <c r="B252" s="4"/>
      <c r="C252" s="4"/>
      <c r="D252" s="6"/>
      <c r="E252" s="4"/>
      <c r="F252" s="4"/>
      <c r="G252" s="4"/>
      <c r="H252" s="4"/>
      <c r="I252" s="4"/>
      <c r="J252" s="4"/>
    </row>
    <row r="253" spans="1:10">
      <c r="A253" s="2"/>
      <c r="B253" s="4"/>
      <c r="C253" s="4"/>
      <c r="D253" s="6"/>
      <c r="E253" s="4"/>
      <c r="F253" s="4"/>
      <c r="G253" s="4"/>
      <c r="H253" s="4"/>
      <c r="I253" s="4"/>
      <c r="J253" s="4"/>
    </row>
    <row r="254" spans="1:10">
      <c r="A254" s="2"/>
      <c r="B254" s="4"/>
      <c r="C254" s="4"/>
      <c r="D254" s="6"/>
      <c r="E254" s="4"/>
      <c r="F254" s="4"/>
      <c r="G254" s="4"/>
      <c r="H254" s="4"/>
      <c r="I254" s="4"/>
      <c r="J254" s="4"/>
    </row>
    <row r="255" spans="1:10">
      <c r="A255" s="2"/>
      <c r="B255" s="4"/>
      <c r="C255" s="4"/>
      <c r="D255" s="6"/>
      <c r="E255" s="4"/>
      <c r="F255" s="4"/>
      <c r="G255" s="4"/>
      <c r="H255" s="4"/>
      <c r="I255" s="4"/>
      <c r="J255" s="4"/>
    </row>
    <row r="256" spans="1:10">
      <c r="A256" s="2"/>
      <c r="B256" s="4"/>
      <c r="C256" s="4"/>
      <c r="D256" s="6"/>
      <c r="E256" s="4"/>
      <c r="F256" s="4"/>
      <c r="G256" s="4"/>
      <c r="H256" s="4"/>
      <c r="I256" s="4"/>
      <c r="J256" s="4"/>
    </row>
    <row r="257" spans="1:10">
      <c r="A257" s="2"/>
      <c r="B257" s="4"/>
      <c r="C257" s="4"/>
      <c r="D257" s="6"/>
      <c r="E257" s="4"/>
      <c r="F257" s="4"/>
      <c r="G257" s="4"/>
      <c r="H257" s="4"/>
      <c r="I257" s="4"/>
      <c r="J257" s="4"/>
    </row>
    <row r="258" spans="1:10">
      <c r="A258" s="2"/>
      <c r="B258" s="4"/>
      <c r="C258" s="4"/>
      <c r="D258" s="6"/>
      <c r="E258" s="4"/>
      <c r="F258" s="4"/>
      <c r="G258" s="4"/>
      <c r="H258" s="4"/>
      <c r="I258" s="4"/>
      <c r="J258" s="4"/>
    </row>
    <row r="259" spans="1:10">
      <c r="A259" s="2"/>
      <c r="B259" s="4"/>
      <c r="C259" s="4"/>
      <c r="D259" s="6"/>
      <c r="E259" s="4"/>
      <c r="F259" s="4"/>
      <c r="G259" s="4"/>
      <c r="H259" s="4"/>
      <c r="I259" s="4"/>
      <c r="J259" s="4"/>
    </row>
    <row r="260" spans="1:10">
      <c r="A260" s="2"/>
      <c r="B260" s="4"/>
      <c r="C260" s="4"/>
      <c r="D260" s="6"/>
      <c r="E260" s="4"/>
      <c r="F260" s="4"/>
      <c r="G260" s="4"/>
      <c r="H260" s="4"/>
      <c r="I260" s="4"/>
      <c r="J260" s="4"/>
    </row>
    <row r="261" spans="1:10">
      <c r="A261" s="2"/>
      <c r="B261" s="4"/>
      <c r="C261" s="4"/>
      <c r="D261" s="6"/>
      <c r="E261" s="4"/>
      <c r="F261" s="4"/>
      <c r="G261" s="4"/>
      <c r="H261" s="4"/>
      <c r="I261" s="4"/>
      <c r="J261" s="4"/>
    </row>
    <row r="262" spans="1:10">
      <c r="A262" s="2"/>
      <c r="B262" s="4"/>
      <c r="C262" s="4"/>
      <c r="D262" s="6"/>
      <c r="E262" s="4"/>
      <c r="F262" s="4"/>
      <c r="G262" s="4"/>
      <c r="H262" s="4"/>
      <c r="I262" s="4"/>
      <c r="J262" s="4"/>
    </row>
    <row r="263" spans="1:10">
      <c r="A263" s="2"/>
      <c r="B263" s="4"/>
      <c r="C263" s="4"/>
      <c r="D263" s="6"/>
      <c r="E263" s="4"/>
      <c r="F263" s="4"/>
      <c r="G263" s="4"/>
      <c r="H263" s="4"/>
      <c r="I263" s="4"/>
      <c r="J263" s="4"/>
    </row>
    <row r="264" spans="1:10">
      <c r="A264" s="2"/>
      <c r="B264" s="4"/>
      <c r="C264" s="4"/>
      <c r="D264" s="6"/>
      <c r="E264" s="4"/>
      <c r="F264" s="4"/>
      <c r="G264" s="4"/>
      <c r="H264" s="4"/>
      <c r="I264" s="4"/>
      <c r="J264" s="4"/>
    </row>
    <row r="265" spans="1:10">
      <c r="A265" s="2"/>
      <c r="B265" s="4"/>
      <c r="C265" s="4"/>
      <c r="D265" s="6"/>
      <c r="E265" s="4"/>
      <c r="F265" s="4"/>
      <c r="G265" s="4"/>
      <c r="H265" s="4"/>
      <c r="I265" s="4"/>
      <c r="J265" s="4"/>
    </row>
    <row r="266" spans="1:10">
      <c r="A266" s="2"/>
      <c r="B266" s="4"/>
      <c r="C266" s="4"/>
      <c r="D266" s="6"/>
      <c r="E266" s="4"/>
      <c r="F266" s="4"/>
      <c r="G266" s="4"/>
      <c r="H266" s="4"/>
      <c r="I266" s="4"/>
      <c r="J266" s="4"/>
    </row>
    <row r="267" spans="1:10">
      <c r="A267" s="2"/>
      <c r="B267" s="4"/>
      <c r="C267" s="4"/>
      <c r="D267" s="6"/>
      <c r="E267" s="4"/>
      <c r="F267" s="4"/>
      <c r="G267" s="4"/>
      <c r="H267" s="4"/>
      <c r="I267" s="4"/>
      <c r="J267" s="4"/>
    </row>
    <row r="268" spans="1:10">
      <c r="A268" s="2"/>
      <c r="B268" s="4"/>
      <c r="C268" s="4"/>
      <c r="D268" s="6"/>
      <c r="E268" s="4"/>
      <c r="F268" s="4"/>
      <c r="G268" s="4"/>
      <c r="H268" s="4"/>
      <c r="I268" s="4"/>
      <c r="J268" s="4"/>
    </row>
    <row r="269" spans="1:10">
      <c r="A269" s="2"/>
      <c r="B269" s="4"/>
      <c r="C269" s="4"/>
      <c r="D269" s="6"/>
      <c r="E269" s="4"/>
      <c r="F269" s="4"/>
      <c r="G269" s="4"/>
      <c r="H269" s="4"/>
      <c r="I269" s="4"/>
      <c r="J269" s="4"/>
    </row>
    <row r="270" spans="1:10">
      <c r="A270" s="2"/>
      <c r="B270" s="4"/>
      <c r="C270" s="4"/>
      <c r="D270" s="6"/>
      <c r="E270" s="4"/>
      <c r="F270" s="4"/>
      <c r="G270" s="4"/>
      <c r="H270" s="4"/>
      <c r="I270" s="4"/>
      <c r="J270" s="4"/>
    </row>
    <row r="271" spans="1:10">
      <c r="A271" s="2"/>
      <c r="B271" s="4"/>
      <c r="C271" s="4"/>
      <c r="D271" s="6"/>
      <c r="E271" s="4"/>
      <c r="F271" s="4"/>
      <c r="G271" s="4"/>
      <c r="H271" s="4"/>
      <c r="I271" s="4"/>
      <c r="J271" s="4"/>
    </row>
    <row r="272" spans="1:10">
      <c r="A272" s="2"/>
      <c r="B272" s="4"/>
      <c r="C272" s="4"/>
      <c r="D272" s="6"/>
      <c r="E272" s="4"/>
      <c r="F272" s="4"/>
      <c r="G272" s="4"/>
      <c r="H272" s="4"/>
      <c r="I272" s="4"/>
      <c r="J272" s="4"/>
    </row>
    <row r="273" spans="1:10">
      <c r="A273" s="2"/>
      <c r="B273" s="4"/>
      <c r="C273" s="4"/>
      <c r="D273" s="6"/>
      <c r="E273" s="4"/>
      <c r="F273" s="4"/>
      <c r="G273" s="4"/>
      <c r="H273" s="4"/>
      <c r="I273" s="4"/>
      <c r="J273" s="4"/>
    </row>
    <row r="274" spans="1:10">
      <c r="A274" s="2"/>
      <c r="B274" s="4"/>
      <c r="C274" s="4"/>
      <c r="D274" s="6"/>
      <c r="E274" s="4"/>
      <c r="F274" s="4"/>
      <c r="G274" s="4"/>
      <c r="H274" s="4"/>
      <c r="I274" s="4"/>
      <c r="J274" s="4"/>
    </row>
    <row r="275" spans="1:10">
      <c r="A275" s="2"/>
      <c r="B275" s="4"/>
      <c r="C275" s="4"/>
      <c r="D275" s="6"/>
      <c r="E275" s="4"/>
      <c r="F275" s="4"/>
      <c r="G275" s="4"/>
      <c r="H275" s="4"/>
      <c r="I275" s="4"/>
      <c r="J275" s="4"/>
    </row>
    <row r="276" spans="1:10">
      <c r="A276" s="2"/>
      <c r="B276" s="4"/>
      <c r="C276" s="4"/>
      <c r="D276" s="6"/>
      <c r="E276" s="4"/>
      <c r="F276" s="4"/>
      <c r="G276" s="4"/>
      <c r="H276" s="4"/>
      <c r="I276" s="4"/>
      <c r="J276" s="4"/>
    </row>
    <row r="277" spans="1:10">
      <c r="A277" s="2"/>
      <c r="B277" s="4"/>
      <c r="C277" s="4"/>
      <c r="D277" s="6"/>
      <c r="E277" s="4"/>
      <c r="F277" s="4"/>
      <c r="G277" s="4"/>
      <c r="H277" s="4"/>
      <c r="I277" s="4"/>
      <c r="J277" s="4"/>
    </row>
    <row r="278" spans="1:10">
      <c r="A278" s="2"/>
      <c r="B278" s="4"/>
      <c r="C278" s="4"/>
      <c r="D278" s="6"/>
      <c r="E278" s="4"/>
      <c r="F278" s="4"/>
      <c r="G278" s="4"/>
      <c r="H278" s="4"/>
      <c r="I278" s="4"/>
      <c r="J278" s="4"/>
    </row>
    <row r="279" spans="1:10">
      <c r="A279" s="2"/>
      <c r="B279" s="4"/>
      <c r="C279" s="4"/>
      <c r="D279" s="6"/>
      <c r="E279" s="4"/>
      <c r="F279" s="4"/>
      <c r="G279" s="4"/>
      <c r="H279" s="4"/>
      <c r="I279" s="4"/>
      <c r="J279" s="4"/>
    </row>
    <row r="280" spans="1:10">
      <c r="A280" s="2"/>
      <c r="B280" s="4"/>
      <c r="C280" s="4"/>
      <c r="D280" s="6"/>
      <c r="E280" s="4"/>
      <c r="F280" s="4"/>
      <c r="G280" s="4"/>
      <c r="H280" s="4"/>
      <c r="I280" s="4"/>
      <c r="J280" s="4"/>
    </row>
    <row r="281" spans="1:10">
      <c r="A281" s="2"/>
      <c r="B281" s="4"/>
      <c r="C281" s="4"/>
      <c r="D281" s="6"/>
      <c r="E281" s="4"/>
      <c r="F281" s="4"/>
      <c r="G281" s="4"/>
      <c r="H281" s="4"/>
      <c r="I281" s="4"/>
      <c r="J281" s="4"/>
    </row>
    <row r="282" spans="1:10">
      <c r="A282" s="2"/>
      <c r="B282" s="4"/>
      <c r="C282" s="4"/>
      <c r="D282" s="6"/>
      <c r="E282" s="4"/>
      <c r="F282" s="4"/>
      <c r="G282" s="4"/>
      <c r="H282" s="4"/>
      <c r="I282" s="4"/>
      <c r="J282" s="4"/>
    </row>
    <row r="283" spans="1:10">
      <c r="A283" s="2"/>
      <c r="B283" s="4"/>
      <c r="C283" s="4"/>
      <c r="D283" s="6"/>
      <c r="E283" s="4"/>
      <c r="F283" s="4"/>
      <c r="G283" s="4"/>
      <c r="H283" s="4"/>
      <c r="I283" s="4"/>
      <c r="J283" s="4"/>
    </row>
    <row r="284" spans="1:10">
      <c r="A284" s="2"/>
      <c r="B284" s="4"/>
      <c r="C284" s="4"/>
      <c r="D284" s="6"/>
      <c r="E284" s="4"/>
      <c r="F284" s="4"/>
      <c r="G284" s="4"/>
      <c r="H284" s="4"/>
      <c r="I284" s="4"/>
      <c r="J284" s="4"/>
    </row>
    <row r="285" spans="1:10">
      <c r="A285" s="2"/>
      <c r="B285" s="4"/>
      <c r="C285" s="4"/>
      <c r="D285" s="6"/>
      <c r="E285" s="4"/>
      <c r="F285" s="4"/>
      <c r="G285" s="4"/>
      <c r="H285" s="4"/>
      <c r="I285" s="4"/>
      <c r="J285" s="4"/>
    </row>
    <row r="286" spans="1:10">
      <c r="A286" s="2"/>
      <c r="B286" s="4"/>
      <c r="C286" s="4"/>
      <c r="D286" s="6"/>
      <c r="E286" s="4"/>
      <c r="F286" s="4"/>
      <c r="G286" s="4"/>
      <c r="H286" s="4"/>
      <c r="I286" s="4"/>
      <c r="J286" s="4"/>
    </row>
    <row r="287" spans="1:10">
      <c r="A287" s="2"/>
      <c r="B287" s="4"/>
      <c r="C287" s="4"/>
      <c r="D287" s="6"/>
      <c r="E287" s="4"/>
      <c r="F287" s="4"/>
      <c r="G287" s="4"/>
      <c r="H287" s="4"/>
      <c r="I287" s="4"/>
      <c r="J287" s="4"/>
    </row>
    <row r="288" spans="1:10">
      <c r="A288" s="2"/>
      <c r="B288" s="4"/>
      <c r="C288" s="4"/>
      <c r="D288" s="6"/>
      <c r="E288" s="4"/>
      <c r="F288" s="4"/>
      <c r="G288" s="4"/>
      <c r="H288" s="4"/>
      <c r="I288" s="4"/>
      <c r="J288" s="4"/>
    </row>
    <row r="289" spans="1:10">
      <c r="A289" s="2"/>
      <c r="B289" s="4"/>
      <c r="C289" s="4"/>
      <c r="D289" s="6"/>
      <c r="E289" s="4"/>
      <c r="F289" s="4"/>
      <c r="G289" s="4"/>
      <c r="H289" s="4"/>
      <c r="I289" s="4"/>
      <c r="J289" s="4"/>
    </row>
    <row r="290" spans="1:10">
      <c r="A290" s="2"/>
      <c r="B290" s="4"/>
      <c r="C290" s="4"/>
      <c r="D290" s="6"/>
      <c r="E290" s="4"/>
      <c r="F290" s="4"/>
      <c r="G290" s="4"/>
      <c r="H290" s="4"/>
      <c r="I290" s="4"/>
      <c r="J290" s="4"/>
    </row>
    <row r="291" spans="1:10">
      <c r="A291" s="2"/>
      <c r="B291" s="4"/>
      <c r="C291" s="4"/>
      <c r="D291" s="6"/>
      <c r="E291" s="4"/>
      <c r="F291" s="4"/>
      <c r="G291" s="4"/>
      <c r="H291" s="4"/>
      <c r="I291" s="4"/>
      <c r="J291" s="4"/>
    </row>
    <row r="292" spans="1:10">
      <c r="A292" s="2"/>
      <c r="B292" s="4"/>
      <c r="C292" s="4"/>
      <c r="D292" s="6"/>
      <c r="E292" s="4"/>
      <c r="F292" s="4"/>
      <c r="G292" s="4"/>
      <c r="H292" s="4"/>
      <c r="I292" s="4"/>
      <c r="J292" s="4"/>
    </row>
    <row r="293" spans="1:10">
      <c r="A293" s="2"/>
      <c r="B293" s="4"/>
      <c r="C293" s="4"/>
      <c r="D293" s="6"/>
      <c r="E293" s="4"/>
      <c r="F293" s="4"/>
      <c r="G293" s="4"/>
      <c r="H293" s="4"/>
      <c r="I293" s="4"/>
      <c r="J293" s="4"/>
    </row>
    <row r="294" spans="1:10">
      <c r="A294" s="2"/>
      <c r="B294" s="4"/>
      <c r="C294" s="4"/>
      <c r="D294" s="6"/>
      <c r="E294" s="4"/>
      <c r="F294" s="4"/>
      <c r="G294" s="4"/>
      <c r="H294" s="4"/>
      <c r="I294" s="4"/>
      <c r="J294" s="4"/>
    </row>
    <row r="295" spans="1:10">
      <c r="A295" s="2"/>
      <c r="B295" s="4"/>
      <c r="C295" s="4"/>
      <c r="D295" s="6"/>
      <c r="E295" s="4"/>
      <c r="F295" s="4"/>
      <c r="G295" s="4"/>
      <c r="H295" s="4"/>
      <c r="I295" s="4"/>
      <c r="J295" s="4"/>
    </row>
    <row r="296" spans="1:10">
      <c r="A296" s="2"/>
      <c r="B296" s="4"/>
      <c r="C296" s="4"/>
      <c r="D296" s="6"/>
      <c r="E296" s="4"/>
      <c r="F296" s="4"/>
      <c r="G296" s="4"/>
      <c r="H296" s="4"/>
      <c r="I296" s="4"/>
      <c r="J296" s="4"/>
    </row>
    <row r="297" spans="1:10">
      <c r="A297" s="2"/>
      <c r="B297" s="4"/>
      <c r="C297" s="4"/>
      <c r="D297" s="6"/>
      <c r="E297" s="4"/>
      <c r="F297" s="4"/>
      <c r="G297" s="4"/>
      <c r="H297" s="4"/>
      <c r="I297" s="4"/>
      <c r="J297" s="4"/>
    </row>
    <row r="298" spans="1:10">
      <c r="A298" s="2"/>
      <c r="B298" s="4"/>
      <c r="C298" s="4"/>
      <c r="D298" s="6"/>
      <c r="E298" s="4"/>
      <c r="F298" s="4"/>
      <c r="G298" s="4"/>
      <c r="H298" s="4"/>
      <c r="I298" s="4"/>
      <c r="J298" s="4"/>
    </row>
    <row r="299" spans="1:10">
      <c r="A299" s="2"/>
      <c r="B299" s="4"/>
      <c r="C299" s="4"/>
      <c r="D299" s="6"/>
      <c r="E299" s="4"/>
      <c r="F299" s="4"/>
      <c r="G299" s="4"/>
      <c r="H299" s="4"/>
      <c r="I299" s="4"/>
      <c r="J299" s="4"/>
    </row>
    <row r="300" spans="1:10">
      <c r="A300" s="2"/>
      <c r="B300" s="4"/>
      <c r="C300" s="4"/>
      <c r="D300" s="6"/>
      <c r="E300" s="4"/>
      <c r="F300" s="4"/>
      <c r="G300" s="4"/>
      <c r="H300" s="4"/>
      <c r="I300" s="4"/>
      <c r="J300" s="4"/>
    </row>
    <row r="301" spans="1:10">
      <c r="A301" s="2"/>
      <c r="B301" s="4"/>
      <c r="C301" s="4"/>
      <c r="D301" s="6"/>
      <c r="E301" s="4"/>
      <c r="F301" s="4"/>
      <c r="G301" s="4"/>
      <c r="H301" s="4"/>
      <c r="I301" s="4"/>
      <c r="J301" s="4"/>
    </row>
    <row r="302" spans="1:10">
      <c r="A302" s="2"/>
      <c r="B302" s="4"/>
      <c r="C302" s="4"/>
      <c r="D302" s="6"/>
      <c r="E302" s="4"/>
      <c r="F302" s="4"/>
      <c r="G302" s="4"/>
      <c r="H302" s="4"/>
      <c r="I302" s="4"/>
      <c r="J302" s="4"/>
    </row>
    <row r="303" spans="1:10">
      <c r="A303" s="2"/>
      <c r="B303" s="4"/>
      <c r="C303" s="4"/>
      <c r="D303" s="6"/>
      <c r="E303" s="4"/>
      <c r="F303" s="4"/>
      <c r="G303" s="4"/>
      <c r="H303" s="4"/>
      <c r="I303" s="4"/>
      <c r="J303" s="4"/>
    </row>
    <row r="304" spans="1:10">
      <c r="A304" s="2"/>
      <c r="B304" s="4"/>
      <c r="C304" s="4"/>
      <c r="D304" s="6"/>
      <c r="E304" s="4"/>
      <c r="F304" s="4"/>
      <c r="G304" s="4"/>
      <c r="H304" s="4"/>
      <c r="I304" s="4"/>
      <c r="J304" s="4"/>
    </row>
    <row r="305" spans="1:10">
      <c r="A305" s="2"/>
      <c r="B305" s="4"/>
      <c r="C305" s="4"/>
      <c r="D305" s="6"/>
      <c r="E305" s="4"/>
      <c r="F305" s="4"/>
      <c r="G305" s="4"/>
      <c r="H305" s="4"/>
      <c r="I305" s="4"/>
      <c r="J305" s="4"/>
    </row>
    <row r="306" spans="1:10">
      <c r="A306" s="2"/>
      <c r="B306" s="4"/>
      <c r="C306" s="4"/>
      <c r="D306" s="6"/>
      <c r="E306" s="4"/>
      <c r="F306" s="4"/>
      <c r="G306" s="4"/>
      <c r="H306" s="4"/>
      <c r="I306" s="4"/>
      <c r="J306" s="4"/>
    </row>
    <row r="307" spans="1:10">
      <c r="A307" s="2"/>
      <c r="B307" s="4"/>
      <c r="C307" s="4"/>
      <c r="D307" s="6"/>
      <c r="E307" s="4"/>
      <c r="F307" s="4"/>
      <c r="G307" s="4"/>
      <c r="H307" s="4"/>
      <c r="I307" s="4"/>
      <c r="J307" s="4"/>
    </row>
    <row r="308" spans="1:10">
      <c r="A308" s="2"/>
      <c r="B308" s="4"/>
      <c r="C308" s="4"/>
      <c r="D308" s="6"/>
      <c r="E308" s="4"/>
      <c r="F308" s="4"/>
      <c r="G308" s="4"/>
      <c r="H308" s="4"/>
      <c r="I308" s="4"/>
      <c r="J308" s="4"/>
    </row>
    <row r="309" spans="1:10">
      <c r="A309" s="2"/>
      <c r="B309" s="4"/>
      <c r="C309" s="4"/>
      <c r="D309" s="6"/>
      <c r="E309" s="4"/>
      <c r="F309" s="4"/>
      <c r="G309" s="4"/>
      <c r="H309" s="4"/>
      <c r="I309" s="4"/>
      <c r="J309" s="4"/>
    </row>
    <row r="310" spans="1:10">
      <c r="A310" s="2"/>
      <c r="B310" s="4"/>
      <c r="C310" s="4"/>
      <c r="D310" s="6"/>
      <c r="E310" s="4"/>
      <c r="F310" s="4"/>
      <c r="G310" s="4"/>
      <c r="H310" s="4"/>
      <c r="I310" s="4"/>
      <c r="J310" s="4"/>
    </row>
    <row r="311" spans="1:10">
      <c r="A311" s="2"/>
      <c r="B311" s="4"/>
      <c r="C311" s="4"/>
      <c r="D311" s="6"/>
      <c r="E311" s="4"/>
      <c r="F311" s="4"/>
      <c r="G311" s="4"/>
      <c r="H311" s="4"/>
      <c r="I311" s="4"/>
      <c r="J311" s="4"/>
    </row>
    <row r="312" spans="1:10">
      <c r="A312" s="2"/>
      <c r="B312" s="4"/>
      <c r="C312" s="4"/>
      <c r="D312" s="6"/>
      <c r="E312" s="4"/>
      <c r="F312" s="4"/>
      <c r="G312" s="4"/>
      <c r="H312" s="4"/>
      <c r="I312" s="4"/>
      <c r="J312" s="4"/>
    </row>
    <row r="313" spans="1:10">
      <c r="A313" s="2"/>
      <c r="B313" s="4"/>
      <c r="C313" s="4"/>
      <c r="D313" s="6"/>
      <c r="E313" s="4"/>
      <c r="F313" s="4"/>
      <c r="G313" s="4"/>
      <c r="H313" s="4"/>
      <c r="I313" s="4"/>
      <c r="J313" s="4"/>
    </row>
    <row r="314" spans="1:10">
      <c r="A314" s="2"/>
      <c r="B314" s="4"/>
      <c r="C314" s="4"/>
      <c r="D314" s="6"/>
      <c r="E314" s="4"/>
      <c r="F314" s="4"/>
      <c r="G314" s="4"/>
      <c r="H314" s="4"/>
      <c r="I314" s="4"/>
      <c r="J314" s="4"/>
    </row>
    <row r="315" spans="1:10">
      <c r="A315" s="2"/>
      <c r="B315" s="4"/>
      <c r="C315" s="4"/>
      <c r="D315" s="6"/>
      <c r="E315" s="4"/>
      <c r="F315" s="4"/>
      <c r="G315" s="4"/>
      <c r="H315" s="4"/>
      <c r="I315" s="4"/>
      <c r="J315" s="4"/>
    </row>
    <row r="316" spans="1:10">
      <c r="A316" s="2"/>
      <c r="B316" s="4"/>
      <c r="C316" s="4"/>
      <c r="D316" s="6"/>
      <c r="E316" s="4"/>
      <c r="F316" s="4"/>
      <c r="G316" s="4"/>
      <c r="H316" s="4"/>
      <c r="I316" s="4"/>
      <c r="J316" s="4"/>
    </row>
    <row r="317" spans="1:10">
      <c r="A317" s="2"/>
      <c r="B317" s="4"/>
      <c r="C317" s="4"/>
      <c r="D317" s="6"/>
      <c r="E317" s="4"/>
      <c r="F317" s="4"/>
      <c r="G317" s="4"/>
      <c r="H317" s="4"/>
      <c r="I317" s="4"/>
      <c r="J317" s="4"/>
    </row>
    <row r="318" spans="1:10">
      <c r="A318" s="2"/>
      <c r="B318" s="4"/>
      <c r="C318" s="4"/>
      <c r="D318" s="6"/>
      <c r="E318" s="4"/>
      <c r="F318" s="4"/>
      <c r="G318" s="4"/>
      <c r="H318" s="4"/>
      <c r="I318" s="4"/>
      <c r="J318" s="4"/>
    </row>
    <row r="319" spans="1:10">
      <c r="A319" s="2"/>
      <c r="B319" s="4"/>
      <c r="C319" s="4"/>
      <c r="D319" s="6"/>
      <c r="E319" s="4"/>
      <c r="F319" s="4"/>
      <c r="G319" s="4"/>
      <c r="H319" s="4"/>
      <c r="I319" s="4"/>
      <c r="J319" s="4"/>
    </row>
    <row r="320" spans="1:10">
      <c r="A320" s="2"/>
      <c r="B320" s="4"/>
      <c r="C320" s="4"/>
      <c r="D320" s="6"/>
      <c r="E320" s="4"/>
      <c r="F320" s="4"/>
      <c r="G320" s="4"/>
      <c r="H320" s="4"/>
      <c r="I320" s="4"/>
      <c r="J320" s="4"/>
    </row>
    <row r="321" spans="1:10">
      <c r="A321" s="2"/>
      <c r="B321" s="4"/>
      <c r="C321" s="4"/>
      <c r="D321" s="6"/>
      <c r="E321" s="4"/>
      <c r="F321" s="4"/>
      <c r="G321" s="4"/>
      <c r="H321" s="4"/>
      <c r="I321" s="4"/>
      <c r="J321" s="4"/>
    </row>
    <row r="322" spans="1:10">
      <c r="A322" s="2"/>
      <c r="B322" s="4"/>
      <c r="C322" s="4"/>
      <c r="D322" s="6"/>
      <c r="E322" s="4"/>
      <c r="F322" s="4"/>
      <c r="G322" s="4"/>
      <c r="H322" s="4"/>
      <c r="I322" s="4"/>
      <c r="J322" s="4"/>
    </row>
    <row r="323" spans="1:10">
      <c r="A323" s="2"/>
      <c r="B323" s="4"/>
      <c r="C323" s="4"/>
      <c r="D323" s="6"/>
      <c r="E323" s="4"/>
      <c r="F323" s="4"/>
      <c r="G323" s="4"/>
      <c r="H323" s="4"/>
      <c r="I323" s="4"/>
      <c r="J323" s="4"/>
    </row>
    <row r="324" spans="1:10">
      <c r="A324" s="2"/>
      <c r="B324" s="4"/>
      <c r="C324" s="4"/>
      <c r="D324" s="6"/>
      <c r="E324" s="4"/>
      <c r="F324" s="4"/>
      <c r="G324" s="4"/>
      <c r="H324" s="4"/>
      <c r="I324" s="4"/>
      <c r="J324" s="4"/>
    </row>
    <row r="325" spans="1:10">
      <c r="A325" s="2"/>
      <c r="B325" s="4"/>
      <c r="C325" s="4"/>
      <c r="D325" s="6"/>
      <c r="E325" s="4"/>
      <c r="F325" s="4"/>
      <c r="G325" s="4"/>
      <c r="H325" s="4"/>
      <c r="I325" s="4"/>
      <c r="J325" s="4"/>
    </row>
    <row r="326" spans="1:10">
      <c r="G326" s="1"/>
      <c r="H326" s="1"/>
      <c r="I326" s="1"/>
      <c r="J326" s="1"/>
    </row>
    <row r="327" spans="1:10">
      <c r="G327" s="1"/>
      <c r="H327" s="1"/>
      <c r="I327" s="1"/>
      <c r="J327" s="1"/>
    </row>
    <row r="328" spans="1:10">
      <c r="G328" s="1"/>
      <c r="H328" s="1"/>
      <c r="I328" s="1"/>
      <c r="J328" s="1"/>
    </row>
  </sheetData>
  <mergeCells count="6">
    <mergeCell ref="B5:J5"/>
    <mergeCell ref="A70:J70"/>
    <mergeCell ref="A72:J72"/>
    <mergeCell ref="A71:J71"/>
    <mergeCell ref="B9:J9"/>
    <mergeCell ref="B10:J10"/>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8196"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8197"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8198"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3" enableFormatConditionsCalculation="0"/>
  <dimension ref="A1:N92"/>
  <sheetViews>
    <sheetView workbookViewId="0"/>
  </sheetViews>
  <sheetFormatPr baseColWidth="10" defaultColWidth="8.83203125" defaultRowHeight="12" x14ac:dyDescent="0"/>
  <cols>
    <col min="1" max="1" width="10.5" customWidth="1"/>
    <col min="2" max="3" width="9.33203125" bestFit="1" customWidth="1"/>
    <col min="4" max="4" width="12.83203125" customWidth="1"/>
    <col min="5" max="5" width="11.33203125" bestFit="1" customWidth="1"/>
    <col min="6" max="6" width="9.33203125" bestFit="1" customWidth="1"/>
    <col min="7" max="7" width="13.5" customWidth="1"/>
    <col min="8" max="8" width="14" customWidth="1"/>
    <col min="9" max="9" width="13.33203125" bestFit="1" customWidth="1"/>
    <col min="10" max="11" width="11.5" bestFit="1" customWidth="1"/>
    <col min="12" max="12" width="11.1640625" bestFit="1" customWidth="1"/>
    <col min="13" max="13" width="12" customWidth="1"/>
    <col min="14" max="14" width="10.1640625" bestFit="1" customWidth="1"/>
  </cols>
  <sheetData>
    <row r="1" spans="1:14">
      <c r="A1" s="21"/>
      <c r="B1" s="21"/>
      <c r="C1" s="21" t="s">
        <v>846</v>
      </c>
      <c r="D1" s="21"/>
      <c r="E1" s="21"/>
      <c r="F1" s="21"/>
      <c r="G1" s="21"/>
      <c r="H1" s="21"/>
      <c r="I1" s="21"/>
      <c r="J1" s="21"/>
      <c r="K1" s="21"/>
      <c r="L1" s="21"/>
    </row>
    <row r="2" spans="1:14" ht="21" customHeight="1">
      <c r="A2" s="21"/>
      <c r="B2" s="21"/>
      <c r="C2" s="21"/>
      <c r="D2" s="374"/>
      <c r="E2" s="374"/>
      <c r="F2" s="374"/>
      <c r="G2" s="374"/>
      <c r="H2" s="374"/>
      <c r="I2" s="374"/>
      <c r="J2" s="374"/>
      <c r="K2" s="374"/>
      <c r="L2" s="374"/>
      <c r="M2" s="372"/>
      <c r="N2" s="372"/>
    </row>
    <row r="3" spans="1:14">
      <c r="A3" s="19" t="s">
        <v>1045</v>
      </c>
      <c r="B3" s="20" t="s">
        <v>1323</v>
      </c>
      <c r="C3" s="21"/>
      <c r="D3" s="21"/>
      <c r="E3" s="21"/>
      <c r="F3" s="21"/>
      <c r="G3" s="21"/>
      <c r="H3" s="21"/>
      <c r="I3" s="21"/>
      <c r="J3" s="21"/>
      <c r="K3" s="21"/>
      <c r="L3" s="21"/>
    </row>
    <row r="4" spans="1:14">
      <c r="A4" s="19" t="s">
        <v>774</v>
      </c>
      <c r="B4" s="20" t="s">
        <v>381</v>
      </c>
      <c r="C4" s="21"/>
      <c r="D4" s="21"/>
      <c r="E4" s="21"/>
      <c r="F4" s="21"/>
      <c r="G4" s="21"/>
      <c r="H4" s="21"/>
      <c r="I4" s="21"/>
      <c r="J4" s="21"/>
      <c r="K4" s="21"/>
      <c r="L4" s="21"/>
    </row>
    <row r="5" spans="1:14" ht="14.25" customHeight="1">
      <c r="A5" s="118" t="s">
        <v>779</v>
      </c>
      <c r="B5" s="127" t="s">
        <v>326</v>
      </c>
      <c r="C5" s="21"/>
      <c r="D5" s="21"/>
      <c r="E5" s="21"/>
      <c r="F5" s="21"/>
      <c r="G5" s="21"/>
      <c r="H5" s="21"/>
      <c r="I5" s="21"/>
      <c r="J5" s="21"/>
      <c r="K5" s="21"/>
      <c r="L5" s="21"/>
    </row>
    <row r="6" spans="1:14" ht="34.5" customHeight="1">
      <c r="A6" s="118"/>
      <c r="B6" s="446" t="s">
        <v>327</v>
      </c>
      <c r="C6" s="446"/>
      <c r="D6" s="446"/>
      <c r="E6" s="446"/>
      <c r="F6" s="446"/>
      <c r="G6" s="446"/>
      <c r="H6" s="446"/>
      <c r="I6" s="446"/>
      <c r="J6" s="446"/>
      <c r="K6" s="446"/>
      <c r="L6" s="446"/>
    </row>
    <row r="7" spans="1:14" ht="39.75" customHeight="1">
      <c r="A7" s="118"/>
      <c r="B7" s="21"/>
      <c r="C7" s="21"/>
      <c r="D7" s="21"/>
      <c r="E7" s="21"/>
      <c r="F7" s="21"/>
      <c r="G7" s="21"/>
      <c r="H7" s="21"/>
      <c r="I7" s="21"/>
      <c r="J7" s="21"/>
      <c r="K7" s="21"/>
      <c r="L7" s="21"/>
    </row>
    <row r="8" spans="1:14" ht="15.75" customHeight="1">
      <c r="A8" s="118"/>
      <c r="B8" s="21"/>
      <c r="C8" s="21" t="s">
        <v>1205</v>
      </c>
      <c r="D8" s="21"/>
      <c r="E8" s="21"/>
      <c r="F8" s="21"/>
      <c r="G8" s="21"/>
      <c r="H8" s="21"/>
      <c r="I8" s="21"/>
      <c r="J8" s="21"/>
      <c r="K8" s="21"/>
      <c r="L8" s="21"/>
    </row>
    <row r="9" spans="1:14" ht="15.75" customHeight="1">
      <c r="A9" s="118"/>
      <c r="B9" s="21"/>
      <c r="C9" s="127" t="s">
        <v>322</v>
      </c>
      <c r="D9" s="21"/>
      <c r="E9" s="21"/>
      <c r="F9" s="21"/>
      <c r="G9" s="21"/>
      <c r="H9" s="21"/>
      <c r="I9" s="21"/>
      <c r="J9" s="21"/>
      <c r="K9" s="21"/>
      <c r="L9" s="21"/>
    </row>
    <row r="10" spans="1:14" ht="15">
      <c r="A10" s="19"/>
      <c r="B10" s="20"/>
      <c r="C10" s="127" t="s">
        <v>325</v>
      </c>
      <c r="D10" s="21"/>
      <c r="E10" s="21"/>
      <c r="F10" s="21"/>
      <c r="G10" s="21"/>
      <c r="H10" s="21"/>
      <c r="I10" s="21"/>
      <c r="J10" s="21"/>
      <c r="K10" s="21"/>
      <c r="L10" s="21"/>
    </row>
    <row r="11" spans="1:14" ht="15">
      <c r="A11" s="19"/>
      <c r="B11" s="20"/>
      <c r="C11" s="127" t="s">
        <v>323</v>
      </c>
      <c r="D11" s="21"/>
      <c r="E11" s="21"/>
      <c r="F11" s="21"/>
      <c r="G11" s="21"/>
      <c r="H11" s="21"/>
      <c r="I11" s="21"/>
      <c r="J11" s="21"/>
      <c r="K11" s="21"/>
      <c r="L11" s="21"/>
    </row>
    <row r="12" spans="1:14" ht="15">
      <c r="A12" s="19"/>
      <c r="B12" s="20"/>
      <c r="C12" s="127" t="s">
        <v>324</v>
      </c>
      <c r="D12" s="21"/>
      <c r="E12" s="21"/>
      <c r="F12" s="21"/>
      <c r="G12" s="21"/>
      <c r="H12" s="21"/>
      <c r="I12" s="21"/>
      <c r="J12" s="21"/>
      <c r="K12" s="21"/>
      <c r="L12" s="21"/>
    </row>
    <row r="13" spans="1:14" ht="36">
      <c r="A13" s="22" t="s">
        <v>1090</v>
      </c>
      <c r="B13" s="22" t="s">
        <v>1096</v>
      </c>
      <c r="C13" s="22" t="s">
        <v>1097</v>
      </c>
      <c r="D13" s="22" t="s">
        <v>1098</v>
      </c>
      <c r="E13" s="31" t="s">
        <v>1099</v>
      </c>
      <c r="F13" s="31" t="s">
        <v>492</v>
      </c>
      <c r="G13" s="31" t="s">
        <v>522</v>
      </c>
      <c r="H13" s="31" t="s">
        <v>1301</v>
      </c>
      <c r="I13" s="31" t="s">
        <v>1302</v>
      </c>
      <c r="J13" s="31" t="s">
        <v>335</v>
      </c>
      <c r="K13" s="31" t="s">
        <v>336</v>
      </c>
      <c r="L13" s="31" t="s">
        <v>337</v>
      </c>
    </row>
    <row r="14" spans="1:14">
      <c r="A14" s="26">
        <v>36466</v>
      </c>
      <c r="B14" s="41">
        <v>181.5</v>
      </c>
      <c r="C14" s="41">
        <v>176.875</v>
      </c>
      <c r="D14" s="41">
        <v>178</v>
      </c>
      <c r="E14" s="77">
        <v>40530</v>
      </c>
      <c r="F14" s="41"/>
      <c r="G14" s="41">
        <f>B14-C14</f>
        <v>4.625</v>
      </c>
      <c r="H14" s="41"/>
      <c r="I14" s="41"/>
      <c r="J14" s="278"/>
      <c r="K14" s="278"/>
      <c r="L14" s="278"/>
      <c r="M14" s="2"/>
    </row>
    <row r="15" spans="1:14">
      <c r="A15" s="26">
        <v>36467</v>
      </c>
      <c r="B15" s="41">
        <v>182.375</v>
      </c>
      <c r="C15" s="41">
        <v>178.625</v>
      </c>
      <c r="D15" s="41">
        <v>180.625</v>
      </c>
      <c r="E15" s="77">
        <v>45506</v>
      </c>
      <c r="F15" s="41">
        <f t="shared" ref="F15:F46" si="0">IF(B15+C15+D15&gt;B14+C14+D14,1,-1)</f>
        <v>1</v>
      </c>
      <c r="G15" s="41">
        <f>B15-C15</f>
        <v>3.75</v>
      </c>
      <c r="H15" s="41">
        <f>(IF(AND(F15=1,F14=1),H14+G15,(IF(AND(F15=-1,F14=-1),H14+G15,G14+G15))))</f>
        <v>8.375</v>
      </c>
      <c r="I15" s="251">
        <f>E15*(ABS(2*(G15/H15)-1))*F15*100</f>
        <v>475435.82089552231</v>
      </c>
      <c r="J15" s="252">
        <f>I15</f>
        <v>475435.82089552231</v>
      </c>
      <c r="K15" s="252">
        <f>I15</f>
        <v>475435.82089552231</v>
      </c>
      <c r="L15" s="279">
        <f>J15-K15</f>
        <v>0</v>
      </c>
      <c r="M15" s="2"/>
    </row>
    <row r="16" spans="1:14">
      <c r="A16" s="27">
        <v>36468</v>
      </c>
      <c r="B16" s="45">
        <v>185.5</v>
      </c>
      <c r="C16" s="45">
        <v>181.31200000000001</v>
      </c>
      <c r="D16" s="45">
        <v>182.125</v>
      </c>
      <c r="E16" s="79">
        <v>57101</v>
      </c>
      <c r="F16" s="45">
        <f t="shared" si="0"/>
        <v>1</v>
      </c>
      <c r="G16" s="45">
        <f t="shared" ref="G16:G79" si="1">B16-C16</f>
        <v>4.1879999999999882</v>
      </c>
      <c r="H16" s="45">
        <f t="shared" ref="H16:H79" si="2">(IF(AND(F16=1,F15=1),H15+G16,(IF(AND(F16=-1,F15=-1),H15+G16,G15+G16))))</f>
        <v>12.562999999999988</v>
      </c>
      <c r="I16" s="253">
        <f t="shared" ref="I16:I79" si="3">E16*(ABS(2*(G16/H16)-1))*F16*100</f>
        <v>1903063.6551779106</v>
      </c>
      <c r="J16" s="254">
        <f>(I16*2/(34+1))+(J15*(1-(2/(34+1))))</f>
        <v>557014.55428308737</v>
      </c>
      <c r="K16" s="254">
        <f>(I16*2/(55+1))+(K15*(1-(2/(55+1))))</f>
        <v>526422.52926275053</v>
      </c>
      <c r="L16" s="280">
        <f t="shared" ref="L16:L79" si="4">J16-K16</f>
        <v>30592.025020336849</v>
      </c>
      <c r="M16" s="2"/>
    </row>
    <row r="17" spans="1:13">
      <c r="A17" s="27">
        <v>36469</v>
      </c>
      <c r="B17" s="45">
        <v>186.5</v>
      </c>
      <c r="C17" s="45">
        <v>183</v>
      </c>
      <c r="D17" s="45">
        <v>183.43799999999999</v>
      </c>
      <c r="E17" s="79">
        <v>48758</v>
      </c>
      <c r="F17" s="45">
        <f t="shared" si="0"/>
        <v>1</v>
      </c>
      <c r="G17" s="45">
        <f t="shared" si="1"/>
        <v>3.5</v>
      </c>
      <c r="H17" s="45">
        <f t="shared" si="2"/>
        <v>16.062999999999988</v>
      </c>
      <c r="I17" s="253">
        <f t="shared" si="3"/>
        <v>2751003.8847039766</v>
      </c>
      <c r="J17" s="254">
        <f t="shared" ref="J17:J80" si="5">(I17*2/(34+1))+(J16*(1-(2/(34+1))))</f>
        <v>682385.37316428102</v>
      </c>
      <c r="K17" s="254">
        <f t="shared" ref="K17:K80" si="6">(I17*2/(55+1))+(K16*(1-(2/(55+1))))</f>
        <v>605871.86338565149</v>
      </c>
      <c r="L17" s="280">
        <f t="shared" si="4"/>
        <v>76513.509778629523</v>
      </c>
      <c r="M17" s="2"/>
    </row>
    <row r="18" spans="1:13">
      <c r="A18" s="26">
        <v>36472</v>
      </c>
      <c r="B18" s="41">
        <v>199.625</v>
      </c>
      <c r="C18" s="41">
        <v>181.875</v>
      </c>
      <c r="D18" s="41">
        <v>197.18799999999999</v>
      </c>
      <c r="E18" s="77">
        <v>98656</v>
      </c>
      <c r="F18" s="41">
        <f t="shared" si="0"/>
        <v>1</v>
      </c>
      <c r="G18" s="41">
        <f t="shared" si="1"/>
        <v>17.75</v>
      </c>
      <c r="H18" s="41">
        <f t="shared" si="2"/>
        <v>33.812999999999988</v>
      </c>
      <c r="I18" s="251">
        <f t="shared" si="3"/>
        <v>492215.04155206931</v>
      </c>
      <c r="J18" s="252">
        <f t="shared" si="5"/>
        <v>671518.49707215454</v>
      </c>
      <c r="K18" s="252">
        <f t="shared" si="6"/>
        <v>601812.69117730926</v>
      </c>
      <c r="L18" s="279">
        <f t="shared" si="4"/>
        <v>69705.805894845282</v>
      </c>
      <c r="M18" s="2"/>
    </row>
    <row r="19" spans="1:13">
      <c r="A19" s="26">
        <v>36473</v>
      </c>
      <c r="B19" s="41">
        <v>199.5</v>
      </c>
      <c r="C19" s="41">
        <v>192.25</v>
      </c>
      <c r="D19" s="41">
        <v>194.56200000000001</v>
      </c>
      <c r="E19" s="77">
        <v>74405</v>
      </c>
      <c r="F19" s="41">
        <f t="shared" si="0"/>
        <v>1</v>
      </c>
      <c r="G19" s="41">
        <f t="shared" si="1"/>
        <v>7.25</v>
      </c>
      <c r="H19" s="41">
        <f t="shared" si="2"/>
        <v>41.062999999999988</v>
      </c>
      <c r="I19" s="251">
        <f t="shared" si="3"/>
        <v>4813140.8202031013</v>
      </c>
      <c r="J19" s="252">
        <f t="shared" si="5"/>
        <v>908182.62982249435</v>
      </c>
      <c r="K19" s="252">
        <f t="shared" si="6"/>
        <v>752217.26721394469</v>
      </c>
      <c r="L19" s="279">
        <f t="shared" si="4"/>
        <v>155965.36260854965</v>
      </c>
      <c r="M19" s="2"/>
    </row>
    <row r="20" spans="1:13">
      <c r="A20" s="27">
        <v>36474</v>
      </c>
      <c r="B20" s="45">
        <v>202.375</v>
      </c>
      <c r="C20" s="45">
        <v>193.25</v>
      </c>
      <c r="D20" s="45">
        <v>197.68799999999999</v>
      </c>
      <c r="E20" s="79">
        <v>67085</v>
      </c>
      <c r="F20" s="45">
        <f t="shared" si="0"/>
        <v>1</v>
      </c>
      <c r="G20" s="45">
        <f t="shared" si="1"/>
        <v>9.125</v>
      </c>
      <c r="H20" s="45">
        <f t="shared" si="2"/>
        <v>50.187999999999988</v>
      </c>
      <c r="I20" s="253">
        <f t="shared" si="3"/>
        <v>4269069.7577110063</v>
      </c>
      <c r="J20" s="254">
        <f t="shared" si="5"/>
        <v>1100233.3228446951</v>
      </c>
      <c r="K20" s="254">
        <f t="shared" si="6"/>
        <v>877819.14187455398</v>
      </c>
      <c r="L20" s="280">
        <f t="shared" si="4"/>
        <v>222414.18097014108</v>
      </c>
      <c r="M20" s="2"/>
    </row>
    <row r="21" spans="1:13">
      <c r="A21" s="27">
        <v>36475</v>
      </c>
      <c r="B21" s="45">
        <v>203</v>
      </c>
      <c r="C21" s="45">
        <v>192.25</v>
      </c>
      <c r="D21" s="45">
        <v>193.125</v>
      </c>
      <c r="E21" s="79">
        <v>39736</v>
      </c>
      <c r="F21" s="45">
        <f t="shared" si="0"/>
        <v>-1</v>
      </c>
      <c r="G21" s="45">
        <f t="shared" si="1"/>
        <v>10.75</v>
      </c>
      <c r="H21" s="45">
        <f t="shared" si="2"/>
        <v>19.875</v>
      </c>
      <c r="I21" s="253">
        <f t="shared" si="3"/>
        <v>-324885.53459119488</v>
      </c>
      <c r="J21" s="254">
        <f t="shared" si="5"/>
        <v>1018797.9595626442</v>
      </c>
      <c r="K21" s="254">
        <f t="shared" si="6"/>
        <v>834865.40342934872</v>
      </c>
      <c r="L21" s="280">
        <f t="shared" si="4"/>
        <v>183932.55613329553</v>
      </c>
      <c r="M21" s="2"/>
    </row>
    <row r="22" spans="1:13">
      <c r="A22" s="26">
        <v>36476</v>
      </c>
      <c r="B22" s="41">
        <v>198.875</v>
      </c>
      <c r="C22" s="41">
        <v>190.25</v>
      </c>
      <c r="D22" s="41">
        <v>196.93799999999999</v>
      </c>
      <c r="E22" s="77">
        <v>44768</v>
      </c>
      <c r="F22" s="41">
        <f t="shared" si="0"/>
        <v>-1</v>
      </c>
      <c r="G22" s="41">
        <f t="shared" si="1"/>
        <v>8.625</v>
      </c>
      <c r="H22" s="41">
        <f t="shared" si="2"/>
        <v>28.5</v>
      </c>
      <c r="I22" s="251">
        <f t="shared" si="3"/>
        <v>-1767157.894736842</v>
      </c>
      <c r="J22" s="252">
        <f t="shared" si="5"/>
        <v>859600.48217410222</v>
      </c>
      <c r="K22" s="252">
        <f t="shared" si="6"/>
        <v>741935.99992341339</v>
      </c>
      <c r="L22" s="279">
        <f t="shared" si="4"/>
        <v>117664.48225068883</v>
      </c>
      <c r="M22" s="2"/>
    </row>
    <row r="23" spans="1:13">
      <c r="A23" s="26">
        <v>36479</v>
      </c>
      <c r="B23" s="41">
        <v>207.5</v>
      </c>
      <c r="C23" s="41">
        <v>195.375</v>
      </c>
      <c r="D23" s="41">
        <v>205</v>
      </c>
      <c r="E23" s="77">
        <v>59187</v>
      </c>
      <c r="F23" s="41">
        <f t="shared" si="0"/>
        <v>1</v>
      </c>
      <c r="G23" s="41">
        <f t="shared" si="1"/>
        <v>12.125</v>
      </c>
      <c r="H23" s="41">
        <f t="shared" si="2"/>
        <v>20.75</v>
      </c>
      <c r="I23" s="251">
        <f t="shared" si="3"/>
        <v>998334.93975903676</v>
      </c>
      <c r="J23" s="252">
        <f t="shared" si="5"/>
        <v>867528.16546466993</v>
      </c>
      <c r="K23" s="252">
        <f t="shared" si="6"/>
        <v>751093.10491754278</v>
      </c>
      <c r="L23" s="279">
        <f t="shared" si="4"/>
        <v>116435.06054712716</v>
      </c>
      <c r="M23" s="2"/>
    </row>
    <row r="24" spans="1:13">
      <c r="A24" s="27">
        <v>36480</v>
      </c>
      <c r="B24" s="45">
        <v>212.93799999999999</v>
      </c>
      <c r="C24" s="45">
        <v>203.68799999999999</v>
      </c>
      <c r="D24" s="45">
        <v>212.56200000000001</v>
      </c>
      <c r="E24" s="79">
        <v>59143</v>
      </c>
      <c r="F24" s="45">
        <f t="shared" si="0"/>
        <v>1</v>
      </c>
      <c r="G24" s="45">
        <f t="shared" si="1"/>
        <v>9.25</v>
      </c>
      <c r="H24" s="45">
        <f t="shared" si="2"/>
        <v>30</v>
      </c>
      <c r="I24" s="253">
        <f t="shared" si="3"/>
        <v>2267148.333333333</v>
      </c>
      <c r="J24" s="254">
        <f t="shared" si="5"/>
        <v>947506.46077145077</v>
      </c>
      <c r="K24" s="254">
        <f t="shared" si="6"/>
        <v>805237.93450382107</v>
      </c>
      <c r="L24" s="280">
        <f t="shared" si="4"/>
        <v>142268.5262676297</v>
      </c>
      <c r="M24" s="2"/>
    </row>
    <row r="25" spans="1:13">
      <c r="A25" s="27">
        <v>36481</v>
      </c>
      <c r="B25" s="45">
        <v>212</v>
      </c>
      <c r="C25" s="45">
        <v>204.875</v>
      </c>
      <c r="D25" s="45">
        <v>206.18799999999999</v>
      </c>
      <c r="E25" s="79">
        <v>41042</v>
      </c>
      <c r="F25" s="45">
        <f t="shared" si="0"/>
        <v>-1</v>
      </c>
      <c r="G25" s="45">
        <f t="shared" si="1"/>
        <v>7.125</v>
      </c>
      <c r="H25" s="45">
        <f t="shared" si="2"/>
        <v>16.375</v>
      </c>
      <c r="I25" s="253">
        <f t="shared" si="3"/>
        <v>-532606.10687022901</v>
      </c>
      <c r="J25" s="254">
        <f t="shared" si="5"/>
        <v>862928.59976335475</v>
      </c>
      <c r="K25" s="254">
        <f t="shared" si="6"/>
        <v>757457.79016903357</v>
      </c>
      <c r="L25" s="280">
        <f t="shared" si="4"/>
        <v>105470.80959432118</v>
      </c>
      <c r="M25" s="2"/>
    </row>
    <row r="26" spans="1:13">
      <c r="A26" s="26">
        <v>36482</v>
      </c>
      <c r="B26" s="41">
        <v>215.5</v>
      </c>
      <c r="C26" s="41">
        <v>203</v>
      </c>
      <c r="D26" s="41">
        <v>213.875</v>
      </c>
      <c r="E26" s="77">
        <v>40124</v>
      </c>
      <c r="F26" s="41">
        <f t="shared" si="0"/>
        <v>1</v>
      </c>
      <c r="G26" s="41">
        <f t="shared" si="1"/>
        <v>12.5</v>
      </c>
      <c r="H26" s="41">
        <f t="shared" si="2"/>
        <v>19.625</v>
      </c>
      <c r="I26" s="251">
        <f t="shared" si="3"/>
        <v>1098937.5796178342</v>
      </c>
      <c r="J26" s="252">
        <f t="shared" si="5"/>
        <v>876414.82718361064</v>
      </c>
      <c r="K26" s="252">
        <f t="shared" si="6"/>
        <v>769653.49693506211</v>
      </c>
      <c r="L26" s="279">
        <f t="shared" si="4"/>
        <v>106761.33024854853</v>
      </c>
      <c r="M26" s="2"/>
    </row>
    <row r="27" spans="1:13">
      <c r="A27" s="26">
        <v>36483</v>
      </c>
      <c r="B27" s="41">
        <v>219.18799999999999</v>
      </c>
      <c r="C27" s="41">
        <v>210</v>
      </c>
      <c r="D27" s="41">
        <v>218.75</v>
      </c>
      <c r="E27" s="77">
        <v>43351</v>
      </c>
      <c r="F27" s="41">
        <f t="shared" si="0"/>
        <v>1</v>
      </c>
      <c r="G27" s="41">
        <f t="shared" si="1"/>
        <v>9.1879999999999882</v>
      </c>
      <c r="H27" s="41">
        <f t="shared" si="2"/>
        <v>28.812999999999988</v>
      </c>
      <c r="I27" s="251">
        <f t="shared" si="3"/>
        <v>1570313.3550827776</v>
      </c>
      <c r="J27" s="252">
        <f t="shared" si="5"/>
        <v>916066.17163499154</v>
      </c>
      <c r="K27" s="252">
        <f t="shared" si="6"/>
        <v>798248.4918689091</v>
      </c>
      <c r="L27" s="279">
        <f t="shared" si="4"/>
        <v>117817.67976608244</v>
      </c>
      <c r="M27" s="2"/>
    </row>
    <row r="28" spans="1:13">
      <c r="A28" s="27">
        <v>36486</v>
      </c>
      <c r="B28" s="45">
        <v>230.18799999999999</v>
      </c>
      <c r="C28" s="45">
        <v>218</v>
      </c>
      <c r="D28" s="45">
        <v>226.81200000000001</v>
      </c>
      <c r="E28" s="79">
        <v>56580</v>
      </c>
      <c r="F28" s="45">
        <f t="shared" si="0"/>
        <v>1</v>
      </c>
      <c r="G28" s="45">
        <f t="shared" si="1"/>
        <v>12.187999999999988</v>
      </c>
      <c r="H28" s="45">
        <f t="shared" si="2"/>
        <v>41.000999999999976</v>
      </c>
      <c r="I28" s="253">
        <f t="shared" si="3"/>
        <v>2294194.0440477072</v>
      </c>
      <c r="J28" s="254">
        <f t="shared" si="5"/>
        <v>994816.33577286103</v>
      </c>
      <c r="K28" s="254">
        <f t="shared" si="6"/>
        <v>851675.11873243761</v>
      </c>
      <c r="L28" s="280">
        <f t="shared" si="4"/>
        <v>143141.21704042342</v>
      </c>
      <c r="M28" s="2"/>
    </row>
    <row r="29" spans="1:13">
      <c r="A29" s="27">
        <v>36487</v>
      </c>
      <c r="B29" s="45">
        <v>229.25</v>
      </c>
      <c r="C29" s="45">
        <v>218</v>
      </c>
      <c r="D29" s="45">
        <v>221.18799999999999</v>
      </c>
      <c r="E29" s="79">
        <v>64889</v>
      </c>
      <c r="F29" s="45">
        <f t="shared" si="0"/>
        <v>-1</v>
      </c>
      <c r="G29" s="45">
        <f t="shared" si="1"/>
        <v>11.25</v>
      </c>
      <c r="H29" s="45">
        <f t="shared" si="2"/>
        <v>23.437999999999988</v>
      </c>
      <c r="I29" s="253">
        <f t="shared" si="3"/>
        <v>-259688.88983701367</v>
      </c>
      <c r="J29" s="254">
        <f t="shared" si="5"/>
        <v>923130.32288086822</v>
      </c>
      <c r="K29" s="254">
        <f t="shared" si="6"/>
        <v>811983.54699781432</v>
      </c>
      <c r="L29" s="280">
        <f t="shared" si="4"/>
        <v>111146.7758830539</v>
      </c>
      <c r="M29" s="2"/>
    </row>
    <row r="30" spans="1:13">
      <c r="A30" s="26">
        <v>36488</v>
      </c>
      <c r="B30" s="41">
        <v>233</v>
      </c>
      <c r="C30" s="41">
        <v>225.25</v>
      </c>
      <c r="D30" s="41">
        <v>231</v>
      </c>
      <c r="E30" s="77">
        <v>56663</v>
      </c>
      <c r="F30" s="41">
        <f t="shared" si="0"/>
        <v>1</v>
      </c>
      <c r="G30" s="41">
        <f t="shared" si="1"/>
        <v>7.75</v>
      </c>
      <c r="H30" s="41">
        <f t="shared" si="2"/>
        <v>19</v>
      </c>
      <c r="I30" s="251">
        <f t="shared" si="3"/>
        <v>1043792.105263158</v>
      </c>
      <c r="J30" s="252">
        <f t="shared" si="5"/>
        <v>930025.28187414189</v>
      </c>
      <c r="K30" s="252">
        <f t="shared" si="6"/>
        <v>820262.42407871946</v>
      </c>
      <c r="L30" s="279">
        <f t="shared" si="4"/>
        <v>109762.85779542243</v>
      </c>
      <c r="M30" s="2"/>
    </row>
    <row r="31" spans="1:13">
      <c r="A31" s="26">
        <v>36490</v>
      </c>
      <c r="B31" s="41">
        <v>235.25</v>
      </c>
      <c r="C31" s="41">
        <v>225.375</v>
      </c>
      <c r="D31" s="41">
        <v>226.875</v>
      </c>
      <c r="E31" s="77">
        <v>20089</v>
      </c>
      <c r="F31" s="41">
        <f t="shared" si="0"/>
        <v>-1</v>
      </c>
      <c r="G31" s="41">
        <f t="shared" si="1"/>
        <v>9.875</v>
      </c>
      <c r="H31" s="41">
        <f t="shared" si="2"/>
        <v>17.625</v>
      </c>
      <c r="I31" s="251">
        <f t="shared" si="3"/>
        <v>-242207.80141843983</v>
      </c>
      <c r="J31" s="252">
        <f t="shared" si="5"/>
        <v>863040.5342574229</v>
      </c>
      <c r="K31" s="252">
        <f t="shared" si="6"/>
        <v>782317.05888239236</v>
      </c>
      <c r="L31" s="279">
        <f t="shared" si="4"/>
        <v>80723.475375030539</v>
      </c>
      <c r="M31" s="2"/>
    </row>
    <row r="32" spans="1:13">
      <c r="A32" s="27">
        <v>36493</v>
      </c>
      <c r="B32" s="45">
        <v>234.5</v>
      </c>
      <c r="C32" s="45">
        <v>224.875</v>
      </c>
      <c r="D32" s="45">
        <v>226.125</v>
      </c>
      <c r="E32" s="79">
        <v>46337</v>
      </c>
      <c r="F32" s="45">
        <f t="shared" si="0"/>
        <v>-1</v>
      </c>
      <c r="G32" s="45">
        <f t="shared" si="1"/>
        <v>9.625</v>
      </c>
      <c r="H32" s="45">
        <f t="shared" si="2"/>
        <v>27.25</v>
      </c>
      <c r="I32" s="253">
        <f t="shared" si="3"/>
        <v>-1360352.2935779819</v>
      </c>
      <c r="J32" s="254">
        <f t="shared" si="5"/>
        <v>735989.51552397117</v>
      </c>
      <c r="K32" s="254">
        <f t="shared" si="6"/>
        <v>705793.15343737905</v>
      </c>
      <c r="L32" s="280">
        <f t="shared" si="4"/>
        <v>30196.362086592126</v>
      </c>
      <c r="M32" s="2"/>
    </row>
    <row r="33" spans="1:13">
      <c r="A33" s="27">
        <v>36494</v>
      </c>
      <c r="B33" s="45">
        <v>223.625</v>
      </c>
      <c r="C33" s="45">
        <v>210.5</v>
      </c>
      <c r="D33" s="45">
        <v>212.75</v>
      </c>
      <c r="E33" s="79">
        <v>60606</v>
      </c>
      <c r="F33" s="45">
        <f t="shared" si="0"/>
        <v>-1</v>
      </c>
      <c r="G33" s="45">
        <f t="shared" si="1"/>
        <v>13.125</v>
      </c>
      <c r="H33" s="45">
        <f t="shared" si="2"/>
        <v>40.375</v>
      </c>
      <c r="I33" s="253">
        <f t="shared" si="3"/>
        <v>-2120271.8266253872</v>
      </c>
      <c r="J33" s="254">
        <f t="shared" si="5"/>
        <v>572774.58168686496</v>
      </c>
      <c r="K33" s="254">
        <f t="shared" si="6"/>
        <v>604862.26129228016</v>
      </c>
      <c r="L33" s="280">
        <f t="shared" si="4"/>
        <v>-32087.679605415207</v>
      </c>
      <c r="M33" s="2"/>
    </row>
    <row r="34" spans="1:13">
      <c r="A34" s="26">
        <v>36495</v>
      </c>
      <c r="B34" s="41">
        <v>234</v>
      </c>
      <c r="C34" s="41">
        <v>224.93799999999999</v>
      </c>
      <c r="D34" s="41">
        <v>228.875</v>
      </c>
      <c r="E34" s="77">
        <v>131935</v>
      </c>
      <c r="F34" s="41">
        <f t="shared" si="0"/>
        <v>1</v>
      </c>
      <c r="G34" s="41">
        <f t="shared" si="1"/>
        <v>9.0620000000000118</v>
      </c>
      <c r="H34" s="41">
        <f t="shared" si="2"/>
        <v>22.187000000000012</v>
      </c>
      <c r="I34" s="251">
        <f t="shared" si="3"/>
        <v>2416063.0324063557</v>
      </c>
      <c r="J34" s="252">
        <f t="shared" si="5"/>
        <v>678105.35029940726</v>
      </c>
      <c r="K34" s="252">
        <f t="shared" si="6"/>
        <v>669548.00311778288</v>
      </c>
      <c r="L34" s="279">
        <f t="shared" si="4"/>
        <v>8557.3471816243837</v>
      </c>
      <c r="M34" s="2"/>
    </row>
    <row r="35" spans="1:13">
      <c r="A35" s="26">
        <v>36496</v>
      </c>
      <c r="B35" s="41">
        <v>249.75</v>
      </c>
      <c r="C35" s="41">
        <v>227.75</v>
      </c>
      <c r="D35" s="41">
        <v>245.81200000000001</v>
      </c>
      <c r="E35" s="77">
        <v>98081</v>
      </c>
      <c r="F35" s="41">
        <f t="shared" si="0"/>
        <v>1</v>
      </c>
      <c r="G35" s="41">
        <f t="shared" si="1"/>
        <v>22</v>
      </c>
      <c r="H35" s="41">
        <f t="shared" si="2"/>
        <v>44.187000000000012</v>
      </c>
      <c r="I35" s="251">
        <f t="shared" si="3"/>
        <v>41508.015932290888</v>
      </c>
      <c r="J35" s="252">
        <f t="shared" si="5"/>
        <v>641728.35976414348</v>
      </c>
      <c r="K35" s="252">
        <f t="shared" si="6"/>
        <v>647118.00357544387</v>
      </c>
      <c r="L35" s="279">
        <f t="shared" si="4"/>
        <v>-5389.6438113003969</v>
      </c>
      <c r="M35" s="2"/>
    </row>
    <row r="36" spans="1:13">
      <c r="A36" s="27">
        <v>36497</v>
      </c>
      <c r="B36" s="45">
        <v>258.75</v>
      </c>
      <c r="C36" s="45">
        <v>248.93799999999999</v>
      </c>
      <c r="D36" s="45">
        <v>253</v>
      </c>
      <c r="E36" s="79">
        <v>100081</v>
      </c>
      <c r="F36" s="45">
        <f t="shared" si="0"/>
        <v>1</v>
      </c>
      <c r="G36" s="45">
        <f t="shared" si="1"/>
        <v>9.8120000000000118</v>
      </c>
      <c r="H36" s="45">
        <f t="shared" si="2"/>
        <v>53.999000000000024</v>
      </c>
      <c r="I36" s="253">
        <f t="shared" si="3"/>
        <v>6371014.9724994889</v>
      </c>
      <c r="J36" s="254">
        <f t="shared" si="5"/>
        <v>969116.16620616312</v>
      </c>
      <c r="K36" s="254">
        <f t="shared" si="6"/>
        <v>851542.89532273111</v>
      </c>
      <c r="L36" s="280">
        <f t="shared" si="4"/>
        <v>117573.27088343201</v>
      </c>
      <c r="M36" s="2"/>
    </row>
    <row r="37" spans="1:13">
      <c r="A37" s="27">
        <v>36500</v>
      </c>
      <c r="B37" s="45">
        <v>282</v>
      </c>
      <c r="C37" s="45">
        <v>250.68799999999999</v>
      </c>
      <c r="D37" s="45">
        <v>280.81200000000001</v>
      </c>
      <c r="E37" s="79">
        <v>160982</v>
      </c>
      <c r="F37" s="45">
        <f t="shared" si="0"/>
        <v>1</v>
      </c>
      <c r="G37" s="45">
        <f t="shared" si="1"/>
        <v>31.312000000000012</v>
      </c>
      <c r="H37" s="45">
        <f t="shared" si="2"/>
        <v>85.311000000000035</v>
      </c>
      <c r="I37" s="253">
        <f t="shared" si="3"/>
        <v>4281040.7028401969</v>
      </c>
      <c r="J37" s="254">
        <f t="shared" si="5"/>
        <v>1158368.996870965</v>
      </c>
      <c r="K37" s="254">
        <f t="shared" si="6"/>
        <v>974024.95987692627</v>
      </c>
      <c r="L37" s="280">
        <f t="shared" si="4"/>
        <v>184344.03699403873</v>
      </c>
      <c r="M37" s="2"/>
    </row>
    <row r="38" spans="1:13">
      <c r="A38" s="26">
        <v>36501</v>
      </c>
      <c r="B38" s="41">
        <v>353</v>
      </c>
      <c r="C38" s="41">
        <v>286.125</v>
      </c>
      <c r="D38" s="41">
        <v>348</v>
      </c>
      <c r="E38" s="77">
        <v>663351</v>
      </c>
      <c r="F38" s="41">
        <f t="shared" si="0"/>
        <v>1</v>
      </c>
      <c r="G38" s="41">
        <f t="shared" si="1"/>
        <v>66.875</v>
      </c>
      <c r="H38" s="41">
        <f t="shared" si="2"/>
        <v>152.18600000000004</v>
      </c>
      <c r="I38" s="251">
        <f t="shared" si="3"/>
        <v>8035915.9423337393</v>
      </c>
      <c r="J38" s="252">
        <f t="shared" si="5"/>
        <v>1551371.6794688378</v>
      </c>
      <c r="K38" s="252">
        <f t="shared" si="6"/>
        <v>1226235.3521075267</v>
      </c>
      <c r="L38" s="279">
        <f t="shared" si="4"/>
        <v>325136.32736131107</v>
      </c>
      <c r="M38" s="2"/>
    </row>
    <row r="39" spans="1:13">
      <c r="A39" s="26">
        <v>36502</v>
      </c>
      <c r="B39" s="41">
        <v>329.31200000000001</v>
      </c>
      <c r="C39" s="41">
        <v>311</v>
      </c>
      <c r="D39" s="41">
        <v>319.625</v>
      </c>
      <c r="E39" s="77">
        <v>249087</v>
      </c>
      <c r="F39" s="41">
        <f t="shared" si="0"/>
        <v>-1</v>
      </c>
      <c r="G39" s="41">
        <f t="shared" si="1"/>
        <v>18.312000000000012</v>
      </c>
      <c r="H39" s="41">
        <f t="shared" si="2"/>
        <v>85.187000000000012</v>
      </c>
      <c r="I39" s="251">
        <f t="shared" si="3"/>
        <v>-14199833.285595212</v>
      </c>
      <c r="J39" s="252">
        <f t="shared" si="5"/>
        <v>651302.82432232064</v>
      </c>
      <c r="K39" s="252">
        <f t="shared" si="6"/>
        <v>675304.32933242887</v>
      </c>
      <c r="L39" s="279">
        <f t="shared" si="4"/>
        <v>-24001.505010108231</v>
      </c>
      <c r="M39" s="2"/>
    </row>
    <row r="40" spans="1:13">
      <c r="A40" s="27">
        <v>36503</v>
      </c>
      <c r="B40" s="45">
        <v>341.25</v>
      </c>
      <c r="C40" s="45">
        <v>312.06200000000001</v>
      </c>
      <c r="D40" s="45">
        <v>340</v>
      </c>
      <c r="E40" s="79">
        <v>114180</v>
      </c>
      <c r="F40" s="45">
        <f t="shared" si="0"/>
        <v>1</v>
      </c>
      <c r="G40" s="45">
        <f t="shared" si="1"/>
        <v>29.187999999999988</v>
      </c>
      <c r="H40" s="45">
        <f t="shared" si="2"/>
        <v>47.5</v>
      </c>
      <c r="I40" s="253">
        <f t="shared" si="3"/>
        <v>2614361.4315789412</v>
      </c>
      <c r="J40" s="254">
        <f t="shared" si="5"/>
        <v>763477.60187984176</v>
      </c>
      <c r="K40" s="254">
        <f t="shared" si="6"/>
        <v>744556.36869837577</v>
      </c>
      <c r="L40" s="280">
        <f t="shared" si="4"/>
        <v>18921.233181465999</v>
      </c>
      <c r="M40" s="2"/>
    </row>
    <row r="41" spans="1:13">
      <c r="A41" s="27">
        <v>36504</v>
      </c>
      <c r="B41" s="45">
        <v>357.5</v>
      </c>
      <c r="C41" s="45">
        <v>334.25</v>
      </c>
      <c r="D41" s="45">
        <v>353.5</v>
      </c>
      <c r="E41" s="79">
        <v>95457</v>
      </c>
      <c r="F41" s="45">
        <f t="shared" si="0"/>
        <v>1</v>
      </c>
      <c r="G41" s="45">
        <f t="shared" si="1"/>
        <v>23.25</v>
      </c>
      <c r="H41" s="45">
        <f t="shared" si="2"/>
        <v>70.75</v>
      </c>
      <c r="I41" s="253">
        <f t="shared" si="3"/>
        <v>3271847.7031802116</v>
      </c>
      <c r="J41" s="254">
        <f t="shared" si="5"/>
        <v>906813.03623986291</v>
      </c>
      <c r="K41" s="254">
        <f t="shared" si="6"/>
        <v>834816.77350129851</v>
      </c>
      <c r="L41" s="280">
        <f t="shared" si="4"/>
        <v>71996.262738564401</v>
      </c>
      <c r="M41" s="2"/>
    </row>
    <row r="42" spans="1:13">
      <c r="A42" s="26">
        <v>36507</v>
      </c>
      <c r="B42" s="41">
        <v>356.25</v>
      </c>
      <c r="C42" s="41">
        <v>344.5</v>
      </c>
      <c r="D42" s="41">
        <v>351.06200000000001</v>
      </c>
      <c r="E42" s="77">
        <v>56966</v>
      </c>
      <c r="F42" s="41">
        <f t="shared" si="0"/>
        <v>1</v>
      </c>
      <c r="G42" s="41">
        <f t="shared" si="1"/>
        <v>11.75</v>
      </c>
      <c r="H42" s="41">
        <f t="shared" si="2"/>
        <v>82.5</v>
      </c>
      <c r="I42" s="251">
        <f t="shared" si="3"/>
        <v>4073932.1212121206</v>
      </c>
      <c r="J42" s="252">
        <f t="shared" si="5"/>
        <v>1087791.2696668489</v>
      </c>
      <c r="K42" s="252">
        <f t="shared" si="6"/>
        <v>950499.46449097083</v>
      </c>
      <c r="L42" s="279">
        <f t="shared" si="4"/>
        <v>137291.80517587811</v>
      </c>
      <c r="M42" s="2"/>
    </row>
    <row r="43" spans="1:13">
      <c r="A43" s="26">
        <v>36508</v>
      </c>
      <c r="B43" s="41">
        <v>350.5</v>
      </c>
      <c r="C43" s="41">
        <v>333</v>
      </c>
      <c r="D43" s="41">
        <v>333.125</v>
      </c>
      <c r="E43" s="77">
        <v>72000</v>
      </c>
      <c r="F43" s="41">
        <f t="shared" si="0"/>
        <v>-1</v>
      </c>
      <c r="G43" s="41">
        <f t="shared" si="1"/>
        <v>17.5</v>
      </c>
      <c r="H43" s="41">
        <f t="shared" si="2"/>
        <v>29.25</v>
      </c>
      <c r="I43" s="251">
        <f t="shared" si="3"/>
        <v>-1415384.615384615</v>
      </c>
      <c r="J43" s="252">
        <f t="shared" si="5"/>
        <v>944752.64766390808</v>
      </c>
      <c r="K43" s="252">
        <f t="shared" si="6"/>
        <v>866003.60449541418</v>
      </c>
      <c r="L43" s="279">
        <f t="shared" si="4"/>
        <v>78749.043168493896</v>
      </c>
      <c r="M43" s="2"/>
    </row>
    <row r="44" spans="1:13">
      <c r="A44" s="27">
        <v>36509</v>
      </c>
      <c r="B44" s="45">
        <v>334.75</v>
      </c>
      <c r="C44" s="45">
        <v>315.5</v>
      </c>
      <c r="D44" s="45">
        <v>327.5</v>
      </c>
      <c r="E44" s="79">
        <v>82831</v>
      </c>
      <c r="F44" s="45">
        <f t="shared" si="0"/>
        <v>-1</v>
      </c>
      <c r="G44" s="45">
        <f t="shared" si="1"/>
        <v>19.25</v>
      </c>
      <c r="H44" s="45">
        <f t="shared" si="2"/>
        <v>48.5</v>
      </c>
      <c r="I44" s="253">
        <f t="shared" si="3"/>
        <v>-1707855.6701030931</v>
      </c>
      <c r="J44" s="254">
        <f t="shared" si="5"/>
        <v>793175.0295057937</v>
      </c>
      <c r="K44" s="254">
        <f t="shared" si="6"/>
        <v>774080.05897403893</v>
      </c>
      <c r="L44" s="280">
        <f t="shared" si="4"/>
        <v>19094.970531754778</v>
      </c>
      <c r="M44" s="2"/>
    </row>
    <row r="45" spans="1:13">
      <c r="A45" s="27">
        <v>36510</v>
      </c>
      <c r="B45" s="45">
        <v>341.875</v>
      </c>
      <c r="C45" s="45">
        <v>332.375</v>
      </c>
      <c r="D45" s="45">
        <v>341</v>
      </c>
      <c r="E45" s="79">
        <v>49703</v>
      </c>
      <c r="F45" s="45">
        <f t="shared" si="0"/>
        <v>1</v>
      </c>
      <c r="G45" s="45">
        <f t="shared" si="1"/>
        <v>9.5</v>
      </c>
      <c r="H45" s="45">
        <f t="shared" si="2"/>
        <v>28.75</v>
      </c>
      <c r="I45" s="253">
        <f t="shared" si="3"/>
        <v>1685580.0000000002</v>
      </c>
      <c r="J45" s="254">
        <f t="shared" si="5"/>
        <v>844169.59924831975</v>
      </c>
      <c r="K45" s="254">
        <f t="shared" si="6"/>
        <v>806633.6282963946</v>
      </c>
      <c r="L45" s="280">
        <f t="shared" si="4"/>
        <v>37535.970951925148</v>
      </c>
      <c r="M45" s="2"/>
    </row>
    <row r="46" spans="1:13">
      <c r="A46" s="26">
        <v>36511</v>
      </c>
      <c r="B46" s="41">
        <v>352.125</v>
      </c>
      <c r="C46" s="41">
        <v>337</v>
      </c>
      <c r="D46" s="41">
        <v>350</v>
      </c>
      <c r="E46" s="77">
        <v>51630</v>
      </c>
      <c r="F46" s="41">
        <f t="shared" si="0"/>
        <v>1</v>
      </c>
      <c r="G46" s="41">
        <f t="shared" si="1"/>
        <v>15.125</v>
      </c>
      <c r="H46" s="41">
        <f t="shared" si="2"/>
        <v>43.875</v>
      </c>
      <c r="I46" s="251">
        <f t="shared" si="3"/>
        <v>1603324.7863247863</v>
      </c>
      <c r="J46" s="252">
        <f t="shared" si="5"/>
        <v>887549.89565268916</v>
      </c>
      <c r="K46" s="252">
        <f t="shared" si="6"/>
        <v>835086.88394026575</v>
      </c>
      <c r="L46" s="279">
        <f t="shared" si="4"/>
        <v>52463.011712423409</v>
      </c>
      <c r="M46" s="2"/>
    </row>
    <row r="47" spans="1:13">
      <c r="A47" s="26">
        <v>36514</v>
      </c>
      <c r="B47" s="41">
        <v>369.875</v>
      </c>
      <c r="C47" s="41">
        <v>346</v>
      </c>
      <c r="D47" s="41">
        <v>369.5</v>
      </c>
      <c r="E47" s="77">
        <v>68821</v>
      </c>
      <c r="F47" s="41">
        <f t="shared" ref="F47:F78" si="7">IF(B47+C47+D47&gt;B46+C46+D46,1,-1)</f>
        <v>1</v>
      </c>
      <c r="G47" s="41">
        <f t="shared" si="1"/>
        <v>23.875</v>
      </c>
      <c r="H47" s="41">
        <f t="shared" si="2"/>
        <v>67.75</v>
      </c>
      <c r="I47" s="251">
        <f t="shared" si="3"/>
        <v>2031616.2361623617</v>
      </c>
      <c r="J47" s="252">
        <f t="shared" si="5"/>
        <v>952925.11511038477</v>
      </c>
      <c r="K47" s="252">
        <f t="shared" si="6"/>
        <v>877820.0750910549</v>
      </c>
      <c r="L47" s="279">
        <f t="shared" si="4"/>
        <v>75105.04001932987</v>
      </c>
      <c r="M47" s="2"/>
    </row>
    <row r="48" spans="1:13">
      <c r="A48" s="27">
        <v>36515</v>
      </c>
      <c r="B48" s="45">
        <v>408.31200000000001</v>
      </c>
      <c r="C48" s="45">
        <v>364.81200000000001</v>
      </c>
      <c r="D48" s="45">
        <v>405.56200000000001</v>
      </c>
      <c r="E48" s="79">
        <v>101076</v>
      </c>
      <c r="F48" s="45">
        <f t="shared" si="7"/>
        <v>1</v>
      </c>
      <c r="G48" s="45">
        <f t="shared" si="1"/>
        <v>43.5</v>
      </c>
      <c r="H48" s="45">
        <f t="shared" si="2"/>
        <v>111.25</v>
      </c>
      <c r="I48" s="253">
        <f t="shared" si="3"/>
        <v>2203229.6629213486</v>
      </c>
      <c r="J48" s="254">
        <f t="shared" si="5"/>
        <v>1024371.0892710113</v>
      </c>
      <c r="K48" s="254">
        <f t="shared" si="6"/>
        <v>925156.13179927971</v>
      </c>
      <c r="L48" s="280">
        <f t="shared" si="4"/>
        <v>99214.957471731585</v>
      </c>
      <c r="M48" s="2"/>
    </row>
    <row r="49" spans="1:13">
      <c r="A49" s="27">
        <v>36516</v>
      </c>
      <c r="B49" s="45">
        <v>421.18799999999999</v>
      </c>
      <c r="C49" s="45">
        <v>394.75</v>
      </c>
      <c r="D49" s="45">
        <v>419.31200000000001</v>
      </c>
      <c r="E49" s="79">
        <v>86393</v>
      </c>
      <c r="F49" s="45">
        <f t="shared" si="7"/>
        <v>1</v>
      </c>
      <c r="G49" s="45">
        <f t="shared" si="1"/>
        <v>26.437999999999988</v>
      </c>
      <c r="H49" s="45">
        <f t="shared" si="2"/>
        <v>137.68799999999999</v>
      </c>
      <c r="I49" s="253">
        <f t="shared" si="3"/>
        <v>5321569.8652024874</v>
      </c>
      <c r="J49" s="254">
        <f t="shared" si="5"/>
        <v>1269925.3050385241</v>
      </c>
      <c r="K49" s="254">
        <f t="shared" si="6"/>
        <v>1082170.9079922515</v>
      </c>
      <c r="L49" s="280">
        <f t="shared" si="4"/>
        <v>187754.39704627264</v>
      </c>
      <c r="M49" s="2"/>
    </row>
    <row r="50" spans="1:13">
      <c r="A50" s="26">
        <v>36517</v>
      </c>
      <c r="B50" s="41">
        <v>426.25</v>
      </c>
      <c r="C50" s="41">
        <v>400</v>
      </c>
      <c r="D50" s="41">
        <v>402.625</v>
      </c>
      <c r="E50" s="77">
        <v>46171</v>
      </c>
      <c r="F50" s="41">
        <f t="shared" si="7"/>
        <v>-1</v>
      </c>
      <c r="G50" s="41">
        <f t="shared" si="1"/>
        <v>26.25</v>
      </c>
      <c r="H50" s="41">
        <f t="shared" si="2"/>
        <v>52.687999999999988</v>
      </c>
      <c r="I50" s="251">
        <f t="shared" si="3"/>
        <v>-16474.620406922786</v>
      </c>
      <c r="J50" s="252">
        <f t="shared" si="5"/>
        <v>1196416.7378702129</v>
      </c>
      <c r="K50" s="252">
        <f t="shared" si="6"/>
        <v>1042933.5676922809</v>
      </c>
      <c r="L50" s="279">
        <f t="shared" si="4"/>
        <v>153483.17017793201</v>
      </c>
      <c r="M50" s="2"/>
    </row>
    <row r="51" spans="1:13">
      <c r="A51" s="26">
        <v>36521</v>
      </c>
      <c r="B51" s="41">
        <v>428.06200000000001</v>
      </c>
      <c r="C51" s="41">
        <v>377.875</v>
      </c>
      <c r="D51" s="41">
        <v>415</v>
      </c>
      <c r="E51" s="77">
        <v>95395</v>
      </c>
      <c r="F51" s="41">
        <f t="shared" si="7"/>
        <v>-1</v>
      </c>
      <c r="G51" s="41">
        <f t="shared" si="1"/>
        <v>50.187000000000012</v>
      </c>
      <c r="H51" s="41">
        <f t="shared" si="2"/>
        <v>102.875</v>
      </c>
      <c r="I51" s="251">
        <f t="shared" si="3"/>
        <v>-231915.32928310861</v>
      </c>
      <c r="J51" s="252">
        <f t="shared" si="5"/>
        <v>1114797.7626043088</v>
      </c>
      <c r="K51" s="252">
        <f t="shared" si="6"/>
        <v>997403.24994315987</v>
      </c>
      <c r="L51" s="279">
        <f t="shared" si="4"/>
        <v>117394.51266114891</v>
      </c>
      <c r="M51" s="2"/>
    </row>
    <row r="52" spans="1:13">
      <c r="A52" s="27">
        <v>36522</v>
      </c>
      <c r="B52" s="45">
        <v>420</v>
      </c>
      <c r="C52" s="45">
        <v>390</v>
      </c>
      <c r="D52" s="45">
        <v>390.25</v>
      </c>
      <c r="E52" s="79">
        <v>52241</v>
      </c>
      <c r="F52" s="45">
        <f t="shared" si="7"/>
        <v>-1</v>
      </c>
      <c r="G52" s="45">
        <f t="shared" si="1"/>
        <v>30</v>
      </c>
      <c r="H52" s="45">
        <f t="shared" si="2"/>
        <v>132.875</v>
      </c>
      <c r="I52" s="253">
        <f t="shared" si="3"/>
        <v>-2865146.0959548447</v>
      </c>
      <c r="J52" s="254">
        <f t="shared" si="5"/>
        <v>887372.39925807132</v>
      </c>
      <c r="K52" s="254">
        <f t="shared" si="6"/>
        <v>859455.05901823111</v>
      </c>
      <c r="L52" s="280">
        <f t="shared" si="4"/>
        <v>27917.34023984021</v>
      </c>
      <c r="M52" s="2"/>
    </row>
    <row r="53" spans="1:13">
      <c r="A53" s="27">
        <v>36523</v>
      </c>
      <c r="B53" s="45">
        <v>410</v>
      </c>
      <c r="C53" s="45">
        <v>394</v>
      </c>
      <c r="D53" s="45">
        <v>403.68799999999999</v>
      </c>
      <c r="E53" s="79">
        <v>29408</v>
      </c>
      <c r="F53" s="45">
        <f t="shared" si="7"/>
        <v>1</v>
      </c>
      <c r="G53" s="45">
        <f t="shared" si="1"/>
        <v>16</v>
      </c>
      <c r="H53" s="45">
        <f t="shared" si="2"/>
        <v>46</v>
      </c>
      <c r="I53" s="253">
        <f t="shared" si="3"/>
        <v>895026.08695652185</v>
      </c>
      <c r="J53" s="254">
        <f t="shared" si="5"/>
        <v>887809.75284083991</v>
      </c>
      <c r="K53" s="254">
        <f t="shared" si="6"/>
        <v>860725.45287317003</v>
      </c>
      <c r="L53" s="280">
        <f t="shared" si="4"/>
        <v>27084.299967669882</v>
      </c>
      <c r="M53" s="2"/>
    </row>
    <row r="54" spans="1:13">
      <c r="A54" s="26">
        <v>36524</v>
      </c>
      <c r="B54" s="41">
        <v>448</v>
      </c>
      <c r="C54" s="41">
        <v>406.75</v>
      </c>
      <c r="D54" s="41">
        <v>416.06200000000001</v>
      </c>
      <c r="E54" s="77">
        <v>62431</v>
      </c>
      <c r="F54" s="41">
        <f t="shared" si="7"/>
        <v>1</v>
      </c>
      <c r="G54" s="41">
        <f t="shared" si="1"/>
        <v>41.25</v>
      </c>
      <c r="H54" s="41">
        <f t="shared" si="2"/>
        <v>87.25</v>
      </c>
      <c r="I54" s="251">
        <f t="shared" si="3"/>
        <v>339882.23495702009</v>
      </c>
      <c r="J54" s="252">
        <f t="shared" si="5"/>
        <v>856499.60896176449</v>
      </c>
      <c r="K54" s="252">
        <f t="shared" si="6"/>
        <v>842123.90937616478</v>
      </c>
      <c r="L54" s="279">
        <f t="shared" si="4"/>
        <v>14375.699585599708</v>
      </c>
      <c r="M54" s="2"/>
    </row>
    <row r="55" spans="1:13">
      <c r="A55" s="26">
        <v>36525</v>
      </c>
      <c r="B55" s="41">
        <v>441.5</v>
      </c>
      <c r="C55" s="41">
        <v>410.06200000000001</v>
      </c>
      <c r="D55" s="41">
        <v>432.68799999999999</v>
      </c>
      <c r="E55" s="77">
        <v>25291</v>
      </c>
      <c r="F55" s="41">
        <f t="shared" si="7"/>
        <v>1</v>
      </c>
      <c r="G55" s="41">
        <f t="shared" si="1"/>
        <v>31.437999999999988</v>
      </c>
      <c r="H55" s="41">
        <f t="shared" si="2"/>
        <v>118.68799999999999</v>
      </c>
      <c r="I55" s="251">
        <f t="shared" si="3"/>
        <v>1189287.2843084391</v>
      </c>
      <c r="J55" s="252">
        <f t="shared" si="5"/>
        <v>875516.04755300295</v>
      </c>
      <c r="K55" s="252">
        <f t="shared" si="6"/>
        <v>854522.60133803182</v>
      </c>
      <c r="L55" s="279">
        <f t="shared" si="4"/>
        <v>20993.446214971133</v>
      </c>
      <c r="M55" s="2"/>
    </row>
    <row r="56" spans="1:13">
      <c r="A56" s="27">
        <v>36528</v>
      </c>
      <c r="B56" s="45">
        <v>477</v>
      </c>
      <c r="C56" s="45">
        <v>429.5</v>
      </c>
      <c r="D56" s="45">
        <v>475</v>
      </c>
      <c r="E56" s="79">
        <v>96181</v>
      </c>
      <c r="F56" s="45">
        <f t="shared" si="7"/>
        <v>1</v>
      </c>
      <c r="G56" s="45">
        <f t="shared" si="1"/>
        <v>47.5</v>
      </c>
      <c r="H56" s="45">
        <f t="shared" si="2"/>
        <v>166.18799999999999</v>
      </c>
      <c r="I56" s="253">
        <f t="shared" si="3"/>
        <v>4119992.4350735308</v>
      </c>
      <c r="J56" s="254">
        <f t="shared" si="5"/>
        <v>1060914.6982684617</v>
      </c>
      <c r="K56" s="254">
        <f t="shared" si="6"/>
        <v>971146.52397144248</v>
      </c>
      <c r="L56" s="280">
        <f t="shared" si="4"/>
        <v>89768.174297019257</v>
      </c>
      <c r="M56" s="2"/>
    </row>
    <row r="57" spans="1:13">
      <c r="A57" s="27">
        <v>36529</v>
      </c>
      <c r="B57" s="45">
        <v>500.125</v>
      </c>
      <c r="C57" s="45">
        <v>442</v>
      </c>
      <c r="D57" s="45">
        <v>443</v>
      </c>
      <c r="E57" s="79">
        <v>174099</v>
      </c>
      <c r="F57" s="45">
        <f t="shared" si="7"/>
        <v>1</v>
      </c>
      <c r="G57" s="45">
        <f t="shared" si="1"/>
        <v>58.125</v>
      </c>
      <c r="H57" s="45">
        <f t="shared" si="2"/>
        <v>224.31299999999999</v>
      </c>
      <c r="I57" s="253">
        <f t="shared" si="3"/>
        <v>8387235.7986385105</v>
      </c>
      <c r="J57" s="254">
        <f t="shared" si="5"/>
        <v>1479561.6182896073</v>
      </c>
      <c r="K57" s="254">
        <f t="shared" si="6"/>
        <v>1236006.8552095522</v>
      </c>
      <c r="L57" s="280">
        <f t="shared" si="4"/>
        <v>243554.76308005513</v>
      </c>
      <c r="M57" s="2"/>
    </row>
    <row r="58" spans="1:13">
      <c r="A58" s="26">
        <v>36530</v>
      </c>
      <c r="B58" s="41">
        <v>431.125</v>
      </c>
      <c r="C58" s="41">
        <v>402</v>
      </c>
      <c r="D58" s="41">
        <v>410.5</v>
      </c>
      <c r="E58" s="77">
        <v>207987</v>
      </c>
      <c r="F58" s="41">
        <f t="shared" si="7"/>
        <v>-1</v>
      </c>
      <c r="G58" s="41">
        <f t="shared" si="1"/>
        <v>29.125</v>
      </c>
      <c r="H58" s="41">
        <f t="shared" si="2"/>
        <v>87.25</v>
      </c>
      <c r="I58" s="251">
        <f t="shared" si="3"/>
        <v>-6913034.9570200574</v>
      </c>
      <c r="J58" s="252">
        <f t="shared" si="5"/>
        <v>999984.67112905509</v>
      </c>
      <c r="K58" s="252">
        <f t="shared" si="6"/>
        <v>944969.6476299233</v>
      </c>
      <c r="L58" s="279">
        <f t="shared" si="4"/>
        <v>55015.023499131785</v>
      </c>
      <c r="M58" s="2"/>
    </row>
    <row r="59" spans="1:13">
      <c r="A59" s="26">
        <v>36531</v>
      </c>
      <c r="B59" s="41">
        <v>413</v>
      </c>
      <c r="C59" s="41">
        <v>361</v>
      </c>
      <c r="D59" s="41">
        <v>368.18799999999999</v>
      </c>
      <c r="E59" s="77">
        <v>178254</v>
      </c>
      <c r="F59" s="41">
        <f t="shared" si="7"/>
        <v>-1</v>
      </c>
      <c r="G59" s="41">
        <f t="shared" si="1"/>
        <v>52</v>
      </c>
      <c r="H59" s="41">
        <f t="shared" si="2"/>
        <v>139.25</v>
      </c>
      <c r="I59" s="251">
        <f t="shared" si="3"/>
        <v>-4512354.3985637352</v>
      </c>
      <c r="J59" s="252">
        <f t="shared" si="5"/>
        <v>684993.86714660993</v>
      </c>
      <c r="K59" s="252">
        <f t="shared" si="6"/>
        <v>750065.21740872122</v>
      </c>
      <c r="L59" s="279">
        <f t="shared" si="4"/>
        <v>-65071.350262111286</v>
      </c>
      <c r="M59" s="2"/>
    </row>
    <row r="60" spans="1:13">
      <c r="A60" s="27">
        <v>36532</v>
      </c>
      <c r="B60" s="45">
        <v>408</v>
      </c>
      <c r="C60" s="45">
        <v>363</v>
      </c>
      <c r="D60" s="45">
        <v>407.25</v>
      </c>
      <c r="E60" s="79">
        <v>122499</v>
      </c>
      <c r="F60" s="45">
        <f t="shared" si="7"/>
        <v>1</v>
      </c>
      <c r="G60" s="45">
        <f t="shared" si="1"/>
        <v>45</v>
      </c>
      <c r="H60" s="45">
        <f t="shared" si="2"/>
        <v>97</v>
      </c>
      <c r="I60" s="253">
        <f t="shared" si="3"/>
        <v>884013.40206185519</v>
      </c>
      <c r="J60" s="254">
        <f t="shared" si="5"/>
        <v>696366.41199890955</v>
      </c>
      <c r="K60" s="254">
        <f t="shared" si="6"/>
        <v>754849.08114633313</v>
      </c>
      <c r="L60" s="280">
        <f t="shared" si="4"/>
        <v>-58482.669147423585</v>
      </c>
      <c r="M60" s="2"/>
    </row>
    <row r="61" spans="1:13">
      <c r="A61" s="27">
        <v>36535</v>
      </c>
      <c r="B61" s="45">
        <v>451.25</v>
      </c>
      <c r="C61" s="45">
        <v>420</v>
      </c>
      <c r="D61" s="45">
        <v>436.06200000000001</v>
      </c>
      <c r="E61" s="79">
        <v>152557</v>
      </c>
      <c r="F61" s="45">
        <f t="shared" si="7"/>
        <v>1</v>
      </c>
      <c r="G61" s="45">
        <f t="shared" si="1"/>
        <v>31.25</v>
      </c>
      <c r="H61" s="45">
        <f t="shared" si="2"/>
        <v>128.25</v>
      </c>
      <c r="I61" s="253">
        <f t="shared" si="3"/>
        <v>7821148.3430799227</v>
      </c>
      <c r="J61" s="254">
        <f t="shared" si="5"/>
        <v>1103496.8080606817</v>
      </c>
      <c r="K61" s="254">
        <f t="shared" si="6"/>
        <v>1007216.9119296756</v>
      </c>
      <c r="L61" s="280">
        <f t="shared" si="4"/>
        <v>96279.896131006069</v>
      </c>
      <c r="M61" s="2"/>
    </row>
    <row r="62" spans="1:13">
      <c r="A62" s="26">
        <v>36536</v>
      </c>
      <c r="B62" s="41">
        <v>426.25</v>
      </c>
      <c r="C62" s="41">
        <v>392</v>
      </c>
      <c r="D62" s="41">
        <v>397.375</v>
      </c>
      <c r="E62" s="77">
        <v>189419</v>
      </c>
      <c r="F62" s="41">
        <f t="shared" si="7"/>
        <v>-1</v>
      </c>
      <c r="G62" s="41">
        <f t="shared" si="1"/>
        <v>34.25</v>
      </c>
      <c r="H62" s="41">
        <f t="shared" si="2"/>
        <v>65.5</v>
      </c>
      <c r="I62" s="251">
        <f t="shared" si="3"/>
        <v>-867567.93893129902</v>
      </c>
      <c r="J62" s="252">
        <f t="shared" si="5"/>
        <v>990864.53680399701</v>
      </c>
      <c r="K62" s="252">
        <f t="shared" si="6"/>
        <v>940260.31011321221</v>
      </c>
      <c r="L62" s="279">
        <f t="shared" si="4"/>
        <v>50604.226690784795</v>
      </c>
      <c r="M62" s="2"/>
    </row>
    <row r="63" spans="1:13">
      <c r="A63" s="26">
        <v>36537</v>
      </c>
      <c r="B63" s="41">
        <v>394</v>
      </c>
      <c r="C63" s="41">
        <v>355</v>
      </c>
      <c r="D63" s="41">
        <v>357.56200000000001</v>
      </c>
      <c r="E63" s="77">
        <v>185251</v>
      </c>
      <c r="F63" s="41">
        <f t="shared" si="7"/>
        <v>-1</v>
      </c>
      <c r="G63" s="41">
        <f t="shared" si="1"/>
        <v>39</v>
      </c>
      <c r="H63" s="41">
        <f t="shared" si="2"/>
        <v>104.5</v>
      </c>
      <c r="I63" s="251">
        <f t="shared" si="3"/>
        <v>-4697752.6315789474</v>
      </c>
      <c r="J63" s="252">
        <f t="shared" si="5"/>
        <v>665800.69861068577</v>
      </c>
      <c r="K63" s="252">
        <f t="shared" si="6"/>
        <v>738902.70505277801</v>
      </c>
      <c r="L63" s="279">
        <f t="shared" si="4"/>
        <v>-73102.006442092243</v>
      </c>
      <c r="M63" s="2"/>
    </row>
    <row r="64" spans="1:13">
      <c r="A64" s="27">
        <v>36538</v>
      </c>
      <c r="B64" s="45">
        <v>377.375</v>
      </c>
      <c r="C64" s="45">
        <v>338</v>
      </c>
      <c r="D64" s="45">
        <v>346.875</v>
      </c>
      <c r="E64" s="79">
        <v>169407</v>
      </c>
      <c r="F64" s="45">
        <f t="shared" si="7"/>
        <v>-1</v>
      </c>
      <c r="G64" s="45">
        <f t="shared" si="1"/>
        <v>39.375</v>
      </c>
      <c r="H64" s="45">
        <f t="shared" si="2"/>
        <v>143.875</v>
      </c>
      <c r="I64" s="253">
        <f t="shared" si="3"/>
        <v>-7668205.6472632494</v>
      </c>
      <c r="J64" s="254">
        <f t="shared" si="5"/>
        <v>189571.76456074661</v>
      </c>
      <c r="K64" s="254">
        <f t="shared" si="6"/>
        <v>438648.8353272056</v>
      </c>
      <c r="L64" s="280">
        <f t="shared" si="4"/>
        <v>-249077.07076645899</v>
      </c>
      <c r="M64" s="2"/>
    </row>
    <row r="65" spans="1:14">
      <c r="A65" s="27">
        <v>36539</v>
      </c>
      <c r="B65" s="45">
        <v>363</v>
      </c>
      <c r="C65" s="45">
        <v>342</v>
      </c>
      <c r="D65" s="45">
        <v>353</v>
      </c>
      <c r="E65" s="79">
        <v>123084</v>
      </c>
      <c r="F65" s="45">
        <f t="shared" si="7"/>
        <v>-1</v>
      </c>
      <c r="G65" s="45">
        <f t="shared" si="1"/>
        <v>21</v>
      </c>
      <c r="H65" s="45">
        <f t="shared" si="2"/>
        <v>164.875</v>
      </c>
      <c r="I65" s="253">
        <f t="shared" si="3"/>
        <v>-9172977.4071266111</v>
      </c>
      <c r="J65" s="254">
        <f t="shared" si="5"/>
        <v>-345431.04524995957</v>
      </c>
      <c r="K65" s="254">
        <f t="shared" si="6"/>
        <v>95376.46952528361</v>
      </c>
      <c r="L65" s="280">
        <f t="shared" si="4"/>
        <v>-440807.51477524318</v>
      </c>
      <c r="M65" s="2"/>
    </row>
    <row r="66" spans="1:14">
      <c r="A66" s="26">
        <v>36543</v>
      </c>
      <c r="B66" s="41">
        <v>350</v>
      </c>
      <c r="C66" s="41">
        <v>335</v>
      </c>
      <c r="D66" s="41">
        <v>341.18799999999999</v>
      </c>
      <c r="E66" s="77">
        <v>76765</v>
      </c>
      <c r="F66" s="41">
        <f t="shared" si="7"/>
        <v>-1</v>
      </c>
      <c r="G66" s="41">
        <f t="shared" si="1"/>
        <v>15</v>
      </c>
      <c r="H66" s="41">
        <f t="shared" si="2"/>
        <v>179.875</v>
      </c>
      <c r="I66" s="251">
        <f t="shared" si="3"/>
        <v>-6396194.2321056286</v>
      </c>
      <c r="J66" s="252">
        <f t="shared" si="5"/>
        <v>-691188.9416417121</v>
      </c>
      <c r="K66" s="252">
        <f t="shared" si="6"/>
        <v>-136465.34124724896</v>
      </c>
      <c r="L66" s="279">
        <f t="shared" si="4"/>
        <v>-554723.60039446317</v>
      </c>
      <c r="M66" s="2"/>
    </row>
    <row r="67" spans="1:14">
      <c r="A67" s="26">
        <v>36544</v>
      </c>
      <c r="B67" s="41">
        <v>367.375</v>
      </c>
      <c r="C67" s="41">
        <v>336</v>
      </c>
      <c r="D67" s="41">
        <v>364</v>
      </c>
      <c r="E67" s="77">
        <v>79500</v>
      </c>
      <c r="F67" s="41">
        <f t="shared" si="7"/>
        <v>1</v>
      </c>
      <c r="G67" s="41">
        <f t="shared" si="1"/>
        <v>31.375</v>
      </c>
      <c r="H67" s="41">
        <f t="shared" si="2"/>
        <v>46.375</v>
      </c>
      <c r="I67" s="251">
        <f t="shared" si="3"/>
        <v>2807142.8571428577</v>
      </c>
      <c r="J67" s="252">
        <f t="shared" si="5"/>
        <v>-491284.26742545096</v>
      </c>
      <c r="K67" s="252">
        <f t="shared" si="6"/>
        <v>-31336.477019030877</v>
      </c>
      <c r="L67" s="279">
        <f t="shared" si="4"/>
        <v>-459947.79040642007</v>
      </c>
      <c r="M67" s="2"/>
    </row>
    <row r="68" spans="1:14">
      <c r="A68" s="27">
        <v>36545</v>
      </c>
      <c r="B68" s="45">
        <v>371.93799999999999</v>
      </c>
      <c r="C68" s="45">
        <v>349</v>
      </c>
      <c r="D68" s="45">
        <v>351.93799999999999</v>
      </c>
      <c r="E68" s="79">
        <v>78374</v>
      </c>
      <c r="F68" s="45">
        <f t="shared" si="7"/>
        <v>1</v>
      </c>
      <c r="G68" s="45">
        <f t="shared" si="1"/>
        <v>22.937999999999988</v>
      </c>
      <c r="H68" s="45">
        <f t="shared" si="2"/>
        <v>69.312999999999988</v>
      </c>
      <c r="I68" s="253">
        <f t="shared" si="3"/>
        <v>2650082.1462063408</v>
      </c>
      <c r="J68" s="254">
        <f t="shared" si="5"/>
        <v>-311777.61521791999</v>
      </c>
      <c r="K68" s="254">
        <f t="shared" si="6"/>
        <v>64428.473810446674</v>
      </c>
      <c r="L68" s="280">
        <f t="shared" si="4"/>
        <v>-376206.08902836667</v>
      </c>
      <c r="M68" s="2"/>
    </row>
    <row r="69" spans="1:14">
      <c r="A69" s="27">
        <v>36546</v>
      </c>
      <c r="B69" s="45">
        <v>360</v>
      </c>
      <c r="C69" s="45">
        <v>348</v>
      </c>
      <c r="D69" s="45">
        <v>351.93799999999999</v>
      </c>
      <c r="E69" s="79">
        <v>44038</v>
      </c>
      <c r="F69" s="45">
        <f t="shared" si="7"/>
        <v>-1</v>
      </c>
      <c r="G69" s="45">
        <f t="shared" si="1"/>
        <v>12</v>
      </c>
      <c r="H69" s="45">
        <f t="shared" si="2"/>
        <v>34.937999999999988</v>
      </c>
      <c r="I69" s="253">
        <f t="shared" si="3"/>
        <v>-1378692.6670101311</v>
      </c>
      <c r="J69" s="254">
        <f t="shared" si="5"/>
        <v>-372744.1896060463</v>
      </c>
      <c r="K69" s="254">
        <f t="shared" si="6"/>
        <v>12888.43306685461</v>
      </c>
      <c r="L69" s="254">
        <f t="shared" si="4"/>
        <v>-385632.62267290091</v>
      </c>
      <c r="M69" s="2"/>
    </row>
    <row r="70" spans="1:14">
      <c r="A70" s="26">
        <v>36549</v>
      </c>
      <c r="B70" s="41">
        <v>360.5</v>
      </c>
      <c r="C70" s="41">
        <v>324</v>
      </c>
      <c r="D70" s="41">
        <v>324.31200000000001</v>
      </c>
      <c r="E70" s="77">
        <v>63324</v>
      </c>
      <c r="F70" s="41">
        <f t="shared" si="7"/>
        <v>-1</v>
      </c>
      <c r="G70" s="41">
        <f t="shared" si="1"/>
        <v>36.5</v>
      </c>
      <c r="H70" s="41">
        <f t="shared" si="2"/>
        <v>71.437999999999988</v>
      </c>
      <c r="I70" s="251">
        <f t="shared" si="3"/>
        <v>-138458.6466586421</v>
      </c>
      <c r="J70" s="252">
        <f t="shared" si="5"/>
        <v>-359356.44429476606</v>
      </c>
      <c r="K70" s="252">
        <f t="shared" si="6"/>
        <v>7483.1802195154414</v>
      </c>
      <c r="L70" s="252">
        <f t="shared" si="4"/>
        <v>-366839.62451428152</v>
      </c>
      <c r="M70" s="2"/>
    </row>
    <row r="71" spans="1:14">
      <c r="A71" s="26">
        <v>36550</v>
      </c>
      <c r="B71" s="41">
        <v>347</v>
      </c>
      <c r="C71" s="41">
        <v>316.25</v>
      </c>
      <c r="D71" s="41">
        <v>345.56200000000001</v>
      </c>
      <c r="E71" s="77">
        <v>86501</v>
      </c>
      <c r="F71" s="41">
        <f t="shared" si="7"/>
        <v>-1</v>
      </c>
      <c r="G71" s="41">
        <f t="shared" si="1"/>
        <v>30.75</v>
      </c>
      <c r="H71" s="41">
        <f t="shared" si="2"/>
        <v>102.18799999999999</v>
      </c>
      <c r="I71" s="251">
        <f t="shared" si="3"/>
        <v>-3444193.7292049937</v>
      </c>
      <c r="J71" s="252">
        <f t="shared" si="5"/>
        <v>-535632.86057535047</v>
      </c>
      <c r="K71" s="252">
        <f t="shared" si="6"/>
        <v>-115790.99511707417</v>
      </c>
      <c r="L71" s="252">
        <f t="shared" si="4"/>
        <v>-419841.8654582763</v>
      </c>
      <c r="M71" s="2"/>
    </row>
    <row r="72" spans="1:14">
      <c r="A72" s="27">
        <v>36551</v>
      </c>
      <c r="B72" s="45">
        <v>343.48399999999998</v>
      </c>
      <c r="C72" s="45">
        <v>327.75</v>
      </c>
      <c r="D72" s="45">
        <v>328.56200000000001</v>
      </c>
      <c r="E72" s="79">
        <v>48510</v>
      </c>
      <c r="F72" s="45">
        <f t="shared" si="7"/>
        <v>-1</v>
      </c>
      <c r="G72" s="45">
        <f t="shared" si="1"/>
        <v>15.73399999999998</v>
      </c>
      <c r="H72" s="45">
        <f t="shared" si="2"/>
        <v>117.92199999999997</v>
      </c>
      <c r="I72" s="253">
        <f t="shared" si="3"/>
        <v>-3556489.4930547327</v>
      </c>
      <c r="J72" s="254">
        <f t="shared" si="5"/>
        <v>-708253.2395741723</v>
      </c>
      <c r="K72" s="254">
        <f t="shared" si="6"/>
        <v>-238673.08432913339</v>
      </c>
      <c r="L72" s="254">
        <f t="shared" si="4"/>
        <v>-469580.15524503891</v>
      </c>
      <c r="M72" s="2"/>
    </row>
    <row r="73" spans="1:14">
      <c r="A73" s="27">
        <v>36552</v>
      </c>
      <c r="B73" s="45">
        <v>339.56200000000001</v>
      </c>
      <c r="C73" s="45">
        <v>325.125</v>
      </c>
      <c r="D73" s="45">
        <v>337.375</v>
      </c>
      <c r="E73" s="79">
        <v>48048</v>
      </c>
      <c r="F73" s="45">
        <f t="shared" si="7"/>
        <v>1</v>
      </c>
      <c r="G73" s="45">
        <f t="shared" si="1"/>
        <v>14.437000000000012</v>
      </c>
      <c r="H73" s="45">
        <f t="shared" si="2"/>
        <v>30.170999999999992</v>
      </c>
      <c r="I73" s="253">
        <f t="shared" si="3"/>
        <v>206550.18395147176</v>
      </c>
      <c r="J73" s="254">
        <f t="shared" si="5"/>
        <v>-655978.75822984974</v>
      </c>
      <c r="K73" s="254">
        <f t="shared" si="6"/>
        <v>-222772.25331911177</v>
      </c>
      <c r="L73" s="254">
        <f t="shared" si="4"/>
        <v>-433206.50491073797</v>
      </c>
      <c r="M73" s="2"/>
    </row>
    <row r="74" spans="1:14">
      <c r="A74" s="26">
        <v>36553</v>
      </c>
      <c r="B74" s="41">
        <v>343</v>
      </c>
      <c r="C74" s="41">
        <v>309.625</v>
      </c>
      <c r="D74" s="41">
        <v>313.5</v>
      </c>
      <c r="E74" s="77">
        <v>91650</v>
      </c>
      <c r="F74" s="41">
        <f t="shared" si="7"/>
        <v>-1</v>
      </c>
      <c r="G74" s="41">
        <f t="shared" si="1"/>
        <v>33.375</v>
      </c>
      <c r="H74" s="41">
        <f t="shared" si="2"/>
        <v>47.812000000000012</v>
      </c>
      <c r="I74" s="251">
        <f t="shared" si="3"/>
        <v>-3630192.6294654026</v>
      </c>
      <c r="J74" s="252">
        <f t="shared" si="5"/>
        <v>-825933.83658616699</v>
      </c>
      <c r="K74" s="252">
        <f t="shared" si="6"/>
        <v>-344465.83818147931</v>
      </c>
      <c r="L74" s="252">
        <f t="shared" si="4"/>
        <v>-481467.99840468768</v>
      </c>
      <c r="M74" s="2"/>
    </row>
    <row r="75" spans="1:14">
      <c r="A75" s="26">
        <v>36556</v>
      </c>
      <c r="B75" s="41">
        <v>322.06200000000001</v>
      </c>
      <c r="C75" s="41">
        <v>303</v>
      </c>
      <c r="D75" s="41">
        <v>322.06200000000001</v>
      </c>
      <c r="E75" s="77">
        <v>89563</v>
      </c>
      <c r="F75" s="41">
        <f t="shared" si="7"/>
        <v>-1</v>
      </c>
      <c r="G75" s="41">
        <f t="shared" si="1"/>
        <v>19.062000000000012</v>
      </c>
      <c r="H75" s="41">
        <f t="shared" si="2"/>
        <v>66.874000000000024</v>
      </c>
      <c r="I75" s="251">
        <f t="shared" si="3"/>
        <v>-3850429.539133294</v>
      </c>
      <c r="J75" s="252">
        <f t="shared" si="5"/>
        <v>-998762.16244600271</v>
      </c>
      <c r="K75" s="252">
        <f t="shared" si="6"/>
        <v>-469678.82750118698</v>
      </c>
      <c r="L75" s="252">
        <f t="shared" si="4"/>
        <v>-529083.33494481572</v>
      </c>
      <c r="M75" s="2"/>
    </row>
    <row r="76" spans="1:14">
      <c r="A76" s="27">
        <v>36557</v>
      </c>
      <c r="B76" s="45">
        <v>329.75</v>
      </c>
      <c r="C76" s="45">
        <v>310.81200000000001</v>
      </c>
      <c r="D76" s="45">
        <v>317.375</v>
      </c>
      <c r="E76" s="79">
        <v>61727</v>
      </c>
      <c r="F76" s="45">
        <f t="shared" si="7"/>
        <v>1</v>
      </c>
      <c r="G76" s="45">
        <f t="shared" si="1"/>
        <v>18.937999999999988</v>
      </c>
      <c r="H76" s="45">
        <f t="shared" si="2"/>
        <v>38</v>
      </c>
      <c r="I76" s="253">
        <f t="shared" si="3"/>
        <v>20142.494736845623</v>
      </c>
      <c r="J76" s="254">
        <f t="shared" si="5"/>
        <v>-940539.03917841136</v>
      </c>
      <c r="K76" s="254">
        <f t="shared" si="6"/>
        <v>-452185.20884982869</v>
      </c>
      <c r="L76" s="254">
        <f t="shared" si="4"/>
        <v>-488353.83032858267</v>
      </c>
      <c r="M76" s="2"/>
    </row>
    <row r="77" spans="1:14">
      <c r="A77" s="27">
        <v>36558</v>
      </c>
      <c r="B77" s="45">
        <v>337</v>
      </c>
      <c r="C77" s="45">
        <v>317</v>
      </c>
      <c r="D77" s="45">
        <v>328</v>
      </c>
      <c r="E77" s="79">
        <v>67033</v>
      </c>
      <c r="F77" s="45">
        <f t="shared" si="7"/>
        <v>1</v>
      </c>
      <c r="G77" s="45">
        <f t="shared" si="1"/>
        <v>20</v>
      </c>
      <c r="H77" s="45">
        <f t="shared" si="2"/>
        <v>58</v>
      </c>
      <c r="I77" s="253">
        <f t="shared" si="3"/>
        <v>2080334.4827586203</v>
      </c>
      <c r="J77" s="254">
        <f t="shared" si="5"/>
        <v>-767917.69506772375</v>
      </c>
      <c r="K77" s="254">
        <f t="shared" si="6"/>
        <v>-361738.07700666983</v>
      </c>
      <c r="L77" s="254">
        <f t="shared" si="4"/>
        <v>-406179.61806105392</v>
      </c>
      <c r="M77" s="2"/>
      <c r="N77" s="202"/>
    </row>
    <row r="78" spans="1:14">
      <c r="A78" s="26">
        <v>36559</v>
      </c>
      <c r="B78" s="41">
        <v>361</v>
      </c>
      <c r="C78" s="41">
        <v>334</v>
      </c>
      <c r="D78" s="41">
        <v>360.25</v>
      </c>
      <c r="E78" s="77">
        <v>97644</v>
      </c>
      <c r="F78" s="41">
        <f t="shared" si="7"/>
        <v>1</v>
      </c>
      <c r="G78" s="41">
        <f t="shared" si="1"/>
        <v>27</v>
      </c>
      <c r="H78" s="41">
        <f t="shared" si="2"/>
        <v>85</v>
      </c>
      <c r="I78" s="251">
        <f t="shared" si="3"/>
        <v>3561134.1176470588</v>
      </c>
      <c r="J78" s="252">
        <f t="shared" si="5"/>
        <v>-520543.30576973612</v>
      </c>
      <c r="K78" s="252">
        <f t="shared" si="6"/>
        <v>-221635.49862617953</v>
      </c>
      <c r="L78" s="252">
        <f t="shared" si="4"/>
        <v>-298907.80714355659</v>
      </c>
      <c r="M78" s="2"/>
    </row>
    <row r="79" spans="1:14">
      <c r="A79" s="26">
        <v>36560</v>
      </c>
      <c r="B79" s="41">
        <v>372.5</v>
      </c>
      <c r="C79" s="41">
        <v>347</v>
      </c>
      <c r="D79" s="41">
        <v>353.5</v>
      </c>
      <c r="E79" s="77">
        <v>84540</v>
      </c>
      <c r="F79" s="41">
        <f t="shared" ref="F79:F84" si="8">IF(B79+C79+D79&gt;B78+C78+D78,1,-1)</f>
        <v>1</v>
      </c>
      <c r="G79" s="41">
        <f t="shared" si="1"/>
        <v>25.5</v>
      </c>
      <c r="H79" s="41">
        <f t="shared" si="2"/>
        <v>110.5</v>
      </c>
      <c r="I79" s="251">
        <f t="shared" si="3"/>
        <v>4552153.846153846</v>
      </c>
      <c r="J79" s="252">
        <f t="shared" si="5"/>
        <v>-230674.89708838859</v>
      </c>
      <c r="K79" s="252">
        <f t="shared" si="6"/>
        <v>-51143.022026892926</v>
      </c>
      <c r="L79" s="252">
        <f t="shared" si="4"/>
        <v>-179531.87506149567</v>
      </c>
      <c r="M79" s="2"/>
    </row>
    <row r="80" spans="1:14">
      <c r="A80" s="27">
        <v>36563</v>
      </c>
      <c r="B80" s="45">
        <v>363</v>
      </c>
      <c r="C80" s="45">
        <v>347</v>
      </c>
      <c r="D80" s="45">
        <v>354</v>
      </c>
      <c r="E80" s="79">
        <v>52161</v>
      </c>
      <c r="F80" s="45">
        <f t="shared" si="8"/>
        <v>-1</v>
      </c>
      <c r="G80" s="45">
        <f>B80-C80</f>
        <v>16</v>
      </c>
      <c r="H80" s="45">
        <f>(IF(AND(F80=1,F79=1),H79+G80,(IF(AND(F80=-1,F79=-1),H79+G80,G79+G80))))</f>
        <v>41.5</v>
      </c>
      <c r="I80" s="253">
        <f>E80*(ABS(2*(G80/H80)-1))*F80*100</f>
        <v>-1194046.987951807</v>
      </c>
      <c r="J80" s="254">
        <f t="shared" si="5"/>
        <v>-285724.73085201252</v>
      </c>
      <c r="K80" s="254">
        <f t="shared" si="6"/>
        <v>-91961.020809925569</v>
      </c>
      <c r="L80" s="254">
        <f>J80-K80</f>
        <v>-193763.71004208695</v>
      </c>
      <c r="M80" s="2"/>
    </row>
    <row r="81" spans="1:13">
      <c r="A81" s="27">
        <v>36564</v>
      </c>
      <c r="B81" s="45">
        <v>379.81200000000001</v>
      </c>
      <c r="C81" s="45">
        <v>358.5</v>
      </c>
      <c r="D81" s="45">
        <v>373.125</v>
      </c>
      <c r="E81" s="79">
        <v>74581</v>
      </c>
      <c r="F81" s="45">
        <f t="shared" si="8"/>
        <v>1</v>
      </c>
      <c r="G81" s="45">
        <f>B81-C81</f>
        <v>21.312000000000012</v>
      </c>
      <c r="H81" s="45">
        <f>(IF(AND(F81=1,F80=1),H80+G81,(IF(AND(F81=-1,F80=-1),H80+G81,G80+G81))))</f>
        <v>37.312000000000012</v>
      </c>
      <c r="I81" s="253">
        <f>E81*(ABS(2*(G81/H81)-1))*F81*100</f>
        <v>1061787.8216123527</v>
      </c>
      <c r="J81" s="254">
        <f>(I81*2/(34+1))+(J80*(1-(2/(34+1))))</f>
        <v>-208724.01356833451</v>
      </c>
      <c r="K81" s="254">
        <f>(I81*2/(55+1))+(K80*(1-(2/(55+1))))</f>
        <v>-50755.70500912991</v>
      </c>
      <c r="L81" s="254">
        <f>J81-K81</f>
        <v>-157968.3085592046</v>
      </c>
      <c r="M81" s="2"/>
    </row>
    <row r="82" spans="1:13">
      <c r="A82" s="26">
        <v>36565</v>
      </c>
      <c r="B82" s="41">
        <v>377.25</v>
      </c>
      <c r="C82" s="41">
        <v>360.125</v>
      </c>
      <c r="D82" s="41">
        <v>362.31200000000001</v>
      </c>
      <c r="E82" s="77">
        <v>59797</v>
      </c>
      <c r="F82" s="41">
        <f t="shared" si="8"/>
        <v>-1</v>
      </c>
      <c r="G82" s="41">
        <f>B82-C82</f>
        <v>17.125</v>
      </c>
      <c r="H82" s="41">
        <f>(IF(AND(F82=1,F81=1),H81+G82,(IF(AND(F82=-1,F81=-1),H81+G82,G81+G82))))</f>
        <v>38.437000000000012</v>
      </c>
      <c r="I82" s="251">
        <f>E82*(ABS(2*(G82/H82)-1))*F82*100</f>
        <v>-651377.68036007148</v>
      </c>
      <c r="J82" s="252">
        <f>(I82*2/(34+1))+(J81*(1-(2/(34+1))))</f>
        <v>-234018.50881357663</v>
      </c>
      <c r="K82" s="252">
        <f>(I82*2/(55+1))+(K81*(1-(2/(55+1))))</f>
        <v>-72206.489843092117</v>
      </c>
      <c r="L82" s="252">
        <f>J82-K82</f>
        <v>-161812.0189704845</v>
      </c>
      <c r="M82" s="2"/>
    </row>
    <row r="83" spans="1:13">
      <c r="A83" s="26">
        <v>36566</v>
      </c>
      <c r="B83" s="41">
        <v>366</v>
      </c>
      <c r="C83" s="41">
        <v>353.93799999999999</v>
      </c>
      <c r="D83" s="41">
        <v>365</v>
      </c>
      <c r="E83" s="77">
        <v>44951</v>
      </c>
      <c r="F83" s="41">
        <f t="shared" si="8"/>
        <v>-1</v>
      </c>
      <c r="G83" s="41">
        <f>B83-C83</f>
        <v>12.062000000000012</v>
      </c>
      <c r="H83" s="41">
        <f>(IF(AND(F83=1,F82=1),H82+G83,(IF(AND(F83=-1,F82=-1),H82+G83,G82+G83))))</f>
        <v>50.499000000000024</v>
      </c>
      <c r="I83" s="251">
        <f>E83*(ABS(2*(G83/H83)-1))*F83*100</f>
        <v>-2347734.8561357637</v>
      </c>
      <c r="J83" s="252">
        <f>(I83*2/(34+1))+(J82*(1-(2/(34+1))))</f>
        <v>-354802.30008913018</v>
      </c>
      <c r="K83" s="252">
        <f>(I83*2/(55+1))+(K82*(1-(2/(55+1))))</f>
        <v>-153475.36006783039</v>
      </c>
      <c r="L83" s="252">
        <f>J83-K83</f>
        <v>-201326.94002129979</v>
      </c>
      <c r="M83" s="2"/>
    </row>
    <row r="84" spans="1:13">
      <c r="A84" s="27">
        <v>36567</v>
      </c>
      <c r="B84" s="45">
        <v>365</v>
      </c>
      <c r="C84" s="45">
        <v>341.75</v>
      </c>
      <c r="D84" s="45">
        <v>342.68799999999999</v>
      </c>
      <c r="E84" s="79">
        <v>47874</v>
      </c>
      <c r="F84" s="45">
        <f t="shared" si="8"/>
        <v>-1</v>
      </c>
      <c r="G84" s="45">
        <f>B84-C84</f>
        <v>23.25</v>
      </c>
      <c r="H84" s="45">
        <f>(IF(AND(F84=1,F83=1),H83+G84,(IF(AND(F84=-1,F83=-1),H83+G84,G83+G84))))</f>
        <v>73.749000000000024</v>
      </c>
      <c r="I84" s="253">
        <f>E84*(ABS(2*(G84/H84)-1))*F84*100</f>
        <v>-1768862.7994955874</v>
      </c>
      <c r="J84" s="254">
        <f>(I84*2/(34+1))+(J83*(1-(2/(34+1))))</f>
        <v>-435605.75719807053</v>
      </c>
      <c r="K84" s="254">
        <f>(I84*2/(55+1))+(K83*(1-(2/(55+1))))</f>
        <v>-211167.76861882169</v>
      </c>
      <c r="L84" s="254">
        <f>J84-K84</f>
        <v>-224437.98857924883</v>
      </c>
      <c r="M84" s="2"/>
    </row>
    <row r="86" spans="1:13" ht="36.75" customHeight="1">
      <c r="A86" s="447" t="s">
        <v>328</v>
      </c>
      <c r="B86" s="447"/>
      <c r="C86" s="447"/>
      <c r="D86" s="447"/>
      <c r="E86" s="447"/>
      <c r="F86" s="447"/>
      <c r="G86" s="447"/>
      <c r="H86" s="447"/>
      <c r="I86" s="447"/>
      <c r="J86" s="447"/>
      <c r="K86" s="447"/>
    </row>
    <row r="87" spans="1:13" ht="15">
      <c r="A87" s="241" t="s">
        <v>329</v>
      </c>
    </row>
    <row r="88" spans="1:13" ht="33" customHeight="1">
      <c r="A88" s="447" t="s">
        <v>330</v>
      </c>
      <c r="B88" s="447"/>
      <c r="C88" s="447"/>
      <c r="D88" s="447"/>
      <c r="E88" s="447"/>
      <c r="F88" s="447"/>
      <c r="G88" s="447"/>
      <c r="H88" s="447"/>
      <c r="I88" s="447"/>
      <c r="J88" s="447"/>
      <c r="K88" s="447"/>
    </row>
    <row r="89" spans="1:13" ht="15">
      <c r="A89" s="241" t="s">
        <v>331</v>
      </c>
    </row>
    <row r="90" spans="1:13" ht="15">
      <c r="A90" s="241" t="s">
        <v>332</v>
      </c>
    </row>
    <row r="91" spans="1:13" ht="15">
      <c r="A91" s="241" t="s">
        <v>333</v>
      </c>
    </row>
    <row r="92" spans="1:13" ht="15">
      <c r="A92" s="241" t="s">
        <v>334</v>
      </c>
    </row>
  </sheetData>
  <mergeCells count="3">
    <mergeCell ref="B6:L6"/>
    <mergeCell ref="A86:K86"/>
    <mergeCell ref="A88:K88"/>
  </mergeCells>
  <phoneticPr fontId="0" type="noConversion"/>
  <pageMargins left="0.75" right="0.75" top="1" bottom="1" header="0.5" footer="0.5"/>
  <pageSetup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8372" r:id="rId3" name="Button 4">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58373"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58374"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58375"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enableFormatConditionsCalculation="0"/>
  <dimension ref="A1:N22"/>
  <sheetViews>
    <sheetView workbookViewId="0"/>
  </sheetViews>
  <sheetFormatPr baseColWidth="10" defaultColWidth="8.83203125" defaultRowHeight="12" x14ac:dyDescent="0"/>
  <cols>
    <col min="2" max="2" width="9.33203125" bestFit="1" customWidth="1"/>
    <col min="3" max="3" width="10.6640625" customWidth="1"/>
    <col min="4" max="4" width="11.16406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378</v>
      </c>
      <c r="C3" s="21"/>
      <c r="D3" s="21"/>
      <c r="E3" s="21"/>
      <c r="F3" s="21"/>
      <c r="G3" s="21"/>
      <c r="H3" s="21"/>
      <c r="I3" s="21"/>
      <c r="J3" s="21"/>
    </row>
    <row r="4" spans="1:14" ht="30.75" customHeight="1">
      <c r="A4" s="118" t="s">
        <v>779</v>
      </c>
      <c r="B4" s="446" t="s">
        <v>1303</v>
      </c>
      <c r="C4" s="446"/>
      <c r="D4" s="446"/>
      <c r="E4" s="446"/>
      <c r="F4" s="446"/>
      <c r="G4" s="446"/>
      <c r="H4" s="446"/>
      <c r="I4" s="446"/>
      <c r="J4" s="446"/>
    </row>
    <row r="5" spans="1:14" ht="33.75" customHeight="1">
      <c r="A5" s="21"/>
      <c r="B5" s="21"/>
      <c r="C5" s="21"/>
      <c r="D5" s="21"/>
      <c r="E5" s="21"/>
      <c r="F5" s="21"/>
      <c r="G5" s="21"/>
      <c r="H5" s="21"/>
      <c r="I5" s="21"/>
      <c r="J5" s="21"/>
    </row>
    <row r="6" spans="1:14" ht="39" customHeight="1">
      <c r="A6" s="22" t="s">
        <v>1090</v>
      </c>
      <c r="B6" s="22" t="s">
        <v>377</v>
      </c>
      <c r="C6" s="31" t="s">
        <v>338</v>
      </c>
      <c r="D6" s="22" t="s">
        <v>378</v>
      </c>
      <c r="E6" s="22"/>
      <c r="F6" s="22"/>
      <c r="G6" s="22"/>
      <c r="H6" s="22"/>
      <c r="I6" s="22"/>
      <c r="J6" s="22"/>
    </row>
    <row r="7" spans="1:14">
      <c r="A7" s="26">
        <v>34108</v>
      </c>
      <c r="B7" s="77">
        <v>7705</v>
      </c>
      <c r="C7" s="77">
        <v>340</v>
      </c>
      <c r="D7" s="43">
        <f>B7/C7</f>
        <v>22.661764705882351</v>
      </c>
      <c r="E7" s="28"/>
      <c r="F7" s="28"/>
      <c r="G7" s="28"/>
      <c r="H7" s="28"/>
      <c r="I7" s="28"/>
      <c r="J7" s="54"/>
    </row>
    <row r="8" spans="1:14">
      <c r="A8" s="26">
        <v>34109</v>
      </c>
      <c r="B8" s="77">
        <v>6278</v>
      </c>
      <c r="C8" s="77">
        <v>280</v>
      </c>
      <c r="D8" s="43">
        <f t="shared" ref="D8:D20" si="0">B8/C8</f>
        <v>22.421428571428571</v>
      </c>
      <c r="E8" s="28"/>
      <c r="F8" s="28"/>
      <c r="G8" s="28"/>
      <c r="H8" s="28"/>
      <c r="I8" s="28"/>
      <c r="J8" s="54"/>
    </row>
    <row r="9" spans="1:14">
      <c r="A9" s="27">
        <v>34110</v>
      </c>
      <c r="B9" s="79">
        <v>5642</v>
      </c>
      <c r="C9" s="79">
        <v>273</v>
      </c>
      <c r="D9" s="47">
        <f t="shared" si="0"/>
        <v>20.666666666666668</v>
      </c>
      <c r="E9" s="29"/>
      <c r="F9" s="29"/>
      <c r="G9" s="29"/>
      <c r="H9" s="29"/>
      <c r="I9" s="29"/>
      <c r="J9" s="57"/>
    </row>
    <row r="10" spans="1:14">
      <c r="A10" s="27">
        <v>34113</v>
      </c>
      <c r="B10" s="79">
        <v>4199</v>
      </c>
      <c r="C10" s="79">
        <v>197</v>
      </c>
      <c r="D10" s="47">
        <f t="shared" si="0"/>
        <v>21.314720812182742</v>
      </c>
      <c r="E10" s="29"/>
      <c r="F10" s="29"/>
      <c r="G10" s="29"/>
      <c r="H10" s="29"/>
      <c r="I10" s="29"/>
      <c r="J10" s="57"/>
    </row>
    <row r="11" spans="1:14">
      <c r="A11" s="26">
        <v>34114</v>
      </c>
      <c r="B11" s="77">
        <v>5128</v>
      </c>
      <c r="C11" s="77">
        <v>222</v>
      </c>
      <c r="D11" s="43">
        <f t="shared" si="0"/>
        <v>23.099099099099099</v>
      </c>
      <c r="E11" s="28"/>
      <c r="F11" s="28"/>
      <c r="G11" s="28"/>
      <c r="H11" s="28"/>
      <c r="I11" s="28"/>
      <c r="J11" s="54"/>
    </row>
    <row r="12" spans="1:14">
      <c r="A12" s="26">
        <v>34115</v>
      </c>
      <c r="B12" s="77">
        <v>6044</v>
      </c>
      <c r="C12" s="77">
        <v>274</v>
      </c>
      <c r="D12" s="43">
        <f t="shared" si="0"/>
        <v>22.058394160583941</v>
      </c>
      <c r="E12" s="28"/>
      <c r="F12" s="28"/>
      <c r="G12" s="28"/>
      <c r="H12" s="28"/>
      <c r="I12" s="28"/>
      <c r="J12" s="54"/>
    </row>
    <row r="13" spans="1:14">
      <c r="A13" s="27">
        <v>34116</v>
      </c>
      <c r="B13" s="79">
        <v>6499</v>
      </c>
      <c r="C13" s="79">
        <v>291</v>
      </c>
      <c r="D13" s="47">
        <f t="shared" si="0"/>
        <v>22.333333333333332</v>
      </c>
      <c r="E13" s="29"/>
      <c r="F13" s="29"/>
      <c r="G13" s="29"/>
      <c r="H13" s="29"/>
      <c r="I13" s="29"/>
      <c r="J13" s="57"/>
    </row>
    <row r="14" spans="1:14">
      <c r="A14" s="27">
        <v>34117</v>
      </c>
      <c r="B14" s="79">
        <v>4359</v>
      </c>
      <c r="C14" s="79">
        <v>208</v>
      </c>
      <c r="D14" s="47">
        <f t="shared" si="0"/>
        <v>20.95673076923077</v>
      </c>
      <c r="E14" s="29"/>
      <c r="F14" s="29"/>
      <c r="G14" s="29"/>
      <c r="H14" s="29"/>
      <c r="I14" s="29"/>
      <c r="J14" s="57"/>
    </row>
    <row r="15" spans="1:14">
      <c r="A15" s="26">
        <v>34121</v>
      </c>
      <c r="B15" s="77">
        <v>5286</v>
      </c>
      <c r="C15" s="77">
        <v>230</v>
      </c>
      <c r="D15" s="43">
        <f t="shared" si="0"/>
        <v>22.982608695652175</v>
      </c>
      <c r="E15" s="28"/>
      <c r="F15" s="28"/>
      <c r="G15" s="28"/>
      <c r="H15" s="28"/>
      <c r="I15" s="28"/>
      <c r="J15" s="54"/>
    </row>
    <row r="16" spans="1:14">
      <c r="A16" s="26">
        <v>34122</v>
      </c>
      <c r="B16" s="77">
        <v>5889</v>
      </c>
      <c r="C16" s="77">
        <v>287</v>
      </c>
      <c r="D16" s="43">
        <f t="shared" si="0"/>
        <v>20.519163763066203</v>
      </c>
      <c r="E16" s="28"/>
      <c r="F16" s="28"/>
      <c r="G16" s="28"/>
      <c r="H16" s="28"/>
      <c r="I16" s="28"/>
      <c r="J16" s="54"/>
    </row>
    <row r="17" spans="1:10">
      <c r="A17" s="27">
        <v>34123</v>
      </c>
      <c r="B17" s="79">
        <v>6076</v>
      </c>
      <c r="C17" s="79">
        <v>280</v>
      </c>
      <c r="D17" s="47">
        <f t="shared" si="0"/>
        <v>21.7</v>
      </c>
      <c r="E17" s="29"/>
      <c r="F17" s="29"/>
      <c r="G17" s="29"/>
      <c r="H17" s="29"/>
      <c r="I17" s="29"/>
      <c r="J17" s="57"/>
    </row>
    <row r="18" spans="1:10">
      <c r="A18" s="27">
        <v>34124</v>
      </c>
      <c r="B18" s="79">
        <v>5059</v>
      </c>
      <c r="C18" s="79">
        <v>224</v>
      </c>
      <c r="D18" s="47">
        <f t="shared" si="0"/>
        <v>22.584821428571427</v>
      </c>
      <c r="E18" s="29"/>
      <c r="F18" s="29"/>
      <c r="G18" s="29"/>
      <c r="H18" s="29"/>
      <c r="I18" s="29"/>
      <c r="J18" s="57"/>
    </row>
    <row r="19" spans="1:10">
      <c r="A19" s="26">
        <v>34127</v>
      </c>
      <c r="B19" s="77">
        <v>5203</v>
      </c>
      <c r="C19" s="77">
        <v>206</v>
      </c>
      <c r="D19" s="43">
        <f t="shared" si="0"/>
        <v>25.257281553398059</v>
      </c>
      <c r="E19" s="28"/>
      <c r="F19" s="28"/>
      <c r="G19" s="28"/>
      <c r="H19" s="28"/>
      <c r="I19" s="28"/>
      <c r="J19" s="54"/>
    </row>
    <row r="20" spans="1:10">
      <c r="A20" s="26">
        <v>34128</v>
      </c>
      <c r="B20" s="77">
        <v>5263</v>
      </c>
      <c r="C20" s="77">
        <v>238</v>
      </c>
      <c r="D20" s="43">
        <f t="shared" si="0"/>
        <v>22.113445378151262</v>
      </c>
      <c r="E20" s="28"/>
      <c r="F20" s="28"/>
      <c r="G20" s="28"/>
      <c r="H20" s="28"/>
      <c r="I20" s="28"/>
      <c r="J20" s="54"/>
    </row>
    <row r="22" spans="1:10" ht="15">
      <c r="A22" s="241" t="s">
        <v>339</v>
      </c>
    </row>
  </sheetData>
  <mergeCells count="1">
    <mergeCell ref="B4:J4"/>
  </mergeCells>
  <phoneticPr fontId="0" type="noConversion"/>
  <pageMargins left="0.75" right="0.75" top="1" bottom="1" header="0.5" footer="0.5"/>
  <pageSetup orientation="portrait" horizontalDpi="0" verticalDpi="0" copies="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0" r:id="rId3" name="Button 4">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221"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222"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223"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enableFormatConditionsCalculation="0"/>
  <dimension ref="A1:N66"/>
  <sheetViews>
    <sheetView workbookViewId="0"/>
  </sheetViews>
  <sheetFormatPr baseColWidth="10" defaultColWidth="8.83203125" defaultRowHeight="12" x14ac:dyDescent="0"/>
  <cols>
    <col min="1" max="1" width="11" customWidth="1"/>
    <col min="2" max="2" width="12.6640625" customWidth="1"/>
    <col min="4" max="4" width="11.33203125" customWidth="1"/>
    <col min="5" max="5" width="10.83203125" customWidth="1"/>
  </cols>
  <sheetData>
    <row r="1" spans="1:14">
      <c r="A1" s="21"/>
      <c r="B1" s="21"/>
      <c r="C1" s="21" t="s">
        <v>846</v>
      </c>
      <c r="D1" s="21"/>
      <c r="E1" s="21"/>
      <c r="F1" s="21"/>
      <c r="G1" s="21"/>
      <c r="H1" s="30"/>
    </row>
    <row r="2" spans="1:14" ht="21" customHeight="1">
      <c r="A2" s="21"/>
      <c r="B2" s="21"/>
      <c r="C2" s="21"/>
      <c r="D2" s="374"/>
      <c r="E2" s="374"/>
      <c r="F2" s="374"/>
      <c r="G2" s="374"/>
      <c r="H2" s="372"/>
      <c r="I2" s="372"/>
      <c r="J2" s="372"/>
      <c r="K2" s="372"/>
      <c r="L2" s="372"/>
      <c r="M2" s="372"/>
      <c r="N2" s="372"/>
    </row>
    <row r="3" spans="1:14">
      <c r="A3" s="19" t="s">
        <v>1045</v>
      </c>
      <c r="B3" s="20" t="s">
        <v>380</v>
      </c>
      <c r="C3" s="21"/>
      <c r="D3" s="21"/>
      <c r="E3" s="21"/>
      <c r="F3" s="21"/>
      <c r="G3" s="21"/>
    </row>
    <row r="4" spans="1:14">
      <c r="A4" s="19" t="s">
        <v>774</v>
      </c>
      <c r="B4" s="20" t="s">
        <v>801</v>
      </c>
      <c r="C4" s="21"/>
      <c r="D4" s="21"/>
      <c r="E4" s="21"/>
      <c r="F4" s="21"/>
      <c r="G4" s="21"/>
    </row>
    <row r="5" spans="1:14" ht="45.75" customHeight="1">
      <c r="A5" s="118" t="s">
        <v>779</v>
      </c>
      <c r="B5" s="446" t="s">
        <v>1304</v>
      </c>
      <c r="C5" s="446"/>
      <c r="D5" s="446"/>
      <c r="E5" s="446"/>
      <c r="F5" s="446"/>
      <c r="G5" s="446"/>
    </row>
    <row r="6" spans="1:14">
      <c r="A6" s="21"/>
      <c r="B6" s="352" t="s">
        <v>1325</v>
      </c>
      <c r="C6" s="21"/>
      <c r="D6" s="21"/>
      <c r="E6" s="21"/>
      <c r="F6" s="21"/>
      <c r="G6" s="21"/>
    </row>
    <row r="7" spans="1:14">
      <c r="A7" s="19" t="s">
        <v>635</v>
      </c>
      <c r="B7" s="21" t="s">
        <v>640</v>
      </c>
      <c r="C7" s="21"/>
      <c r="D7" s="21"/>
      <c r="E7" s="21"/>
      <c r="F7" s="21"/>
      <c r="G7" s="21"/>
    </row>
    <row r="8" spans="1:14" s="7" customFormat="1" ht="46.5" customHeight="1">
      <c r="A8" s="22"/>
      <c r="B8" s="22" t="s">
        <v>1090</v>
      </c>
      <c r="C8" s="22" t="s">
        <v>1098</v>
      </c>
      <c r="D8" s="22" t="s">
        <v>380</v>
      </c>
      <c r="E8" s="22"/>
      <c r="F8" s="22"/>
      <c r="G8" s="22"/>
    </row>
    <row r="9" spans="1:14">
      <c r="A9" s="103">
        <v>1</v>
      </c>
      <c r="B9" s="109">
        <v>35370</v>
      </c>
      <c r="C9" s="41">
        <v>47</v>
      </c>
      <c r="D9" s="28"/>
      <c r="E9" s="28"/>
      <c r="F9" s="28"/>
      <c r="G9" s="54"/>
      <c r="H9" s="2"/>
    </row>
    <row r="10" spans="1:14">
      <c r="A10" s="103">
        <v>2</v>
      </c>
      <c r="B10" s="109">
        <v>35373</v>
      </c>
      <c r="C10" s="41">
        <v>47.5</v>
      </c>
      <c r="D10" s="28"/>
      <c r="E10" s="28"/>
      <c r="F10" s="28"/>
      <c r="G10" s="54"/>
      <c r="H10" s="2"/>
    </row>
    <row r="11" spans="1:14">
      <c r="A11" s="104">
        <v>3</v>
      </c>
      <c r="B11" s="110">
        <v>35374</v>
      </c>
      <c r="C11" s="45">
        <v>48.375</v>
      </c>
      <c r="D11" s="29"/>
      <c r="E11" s="29"/>
      <c r="F11" s="29"/>
      <c r="G11" s="57"/>
      <c r="H11" s="2"/>
    </row>
    <row r="12" spans="1:14">
      <c r="A12" s="104">
        <v>4</v>
      </c>
      <c r="B12" s="110">
        <v>35375</v>
      </c>
      <c r="C12" s="45">
        <v>48.5</v>
      </c>
      <c r="D12" s="29"/>
      <c r="E12" s="29"/>
      <c r="F12" s="29"/>
      <c r="G12" s="57"/>
      <c r="H12" s="2"/>
    </row>
    <row r="13" spans="1:14">
      <c r="A13" s="103">
        <v>5</v>
      </c>
      <c r="B13" s="109">
        <v>35376</v>
      </c>
      <c r="C13" s="41">
        <v>48.375</v>
      </c>
      <c r="D13" s="52"/>
      <c r="E13" s="28"/>
      <c r="F13" s="28"/>
      <c r="G13" s="54"/>
      <c r="H13" s="2"/>
    </row>
    <row r="14" spans="1:14">
      <c r="A14" s="103">
        <v>6</v>
      </c>
      <c r="B14" s="109">
        <v>35377</v>
      </c>
      <c r="C14" s="41">
        <v>49</v>
      </c>
      <c r="D14" s="52"/>
      <c r="E14" s="28"/>
      <c r="F14" s="28"/>
      <c r="G14" s="54"/>
      <c r="H14" s="2"/>
    </row>
    <row r="15" spans="1:14">
      <c r="A15" s="104">
        <v>7</v>
      </c>
      <c r="B15" s="110">
        <v>35380</v>
      </c>
      <c r="C15" s="45">
        <v>50</v>
      </c>
      <c r="D15" s="55"/>
      <c r="E15" s="29"/>
      <c r="F15" s="29"/>
      <c r="G15" s="57"/>
      <c r="H15" s="2"/>
    </row>
    <row r="16" spans="1:14">
      <c r="A16" s="104">
        <v>8</v>
      </c>
      <c r="B16" s="110">
        <v>35381</v>
      </c>
      <c r="C16" s="45">
        <v>50.375</v>
      </c>
      <c r="D16" s="55"/>
      <c r="E16" s="29"/>
      <c r="F16" s="29"/>
      <c r="G16" s="57"/>
      <c r="H16" s="2"/>
    </row>
    <row r="17" spans="1:8">
      <c r="A17" s="103">
        <v>9</v>
      </c>
      <c r="B17" s="109">
        <v>35382</v>
      </c>
      <c r="C17" s="41">
        <v>50.25</v>
      </c>
      <c r="D17" s="52"/>
      <c r="E17" s="28"/>
      <c r="F17" s="28"/>
      <c r="G17" s="54"/>
      <c r="H17" s="2"/>
    </row>
    <row r="18" spans="1:8">
      <c r="A18" s="103">
        <v>10</v>
      </c>
      <c r="B18" s="109">
        <v>35383</v>
      </c>
      <c r="C18" s="41">
        <v>50.75</v>
      </c>
      <c r="D18" s="52"/>
      <c r="E18" s="28"/>
      <c r="F18" s="28"/>
      <c r="G18" s="54"/>
      <c r="H18" s="2"/>
    </row>
    <row r="19" spans="1:8">
      <c r="A19" s="104">
        <v>11</v>
      </c>
      <c r="B19" s="110">
        <v>35384</v>
      </c>
      <c r="C19" s="45">
        <v>50.875</v>
      </c>
      <c r="D19" s="55"/>
      <c r="E19" s="29"/>
      <c r="F19" s="29"/>
      <c r="G19" s="57"/>
      <c r="H19" s="2"/>
    </row>
    <row r="20" spans="1:8">
      <c r="A20" s="104">
        <v>12</v>
      </c>
      <c r="B20" s="110">
        <v>35387</v>
      </c>
      <c r="C20" s="45">
        <v>50.875</v>
      </c>
      <c r="D20" s="55"/>
      <c r="E20" s="29"/>
      <c r="F20" s="29"/>
      <c r="G20" s="57"/>
      <c r="H20" s="2"/>
    </row>
    <row r="21" spans="1:8">
      <c r="A21" s="103">
        <v>13</v>
      </c>
      <c r="B21" s="109">
        <v>35388</v>
      </c>
      <c r="C21" s="41">
        <v>50.75</v>
      </c>
      <c r="D21" s="52"/>
      <c r="E21" s="28"/>
      <c r="F21" s="28"/>
      <c r="G21" s="54"/>
      <c r="H21" s="2"/>
    </row>
    <row r="22" spans="1:8">
      <c r="A22" s="103">
        <v>14</v>
      </c>
      <c r="B22" s="109">
        <v>35389</v>
      </c>
      <c r="C22" s="41">
        <v>50.75</v>
      </c>
      <c r="D22" s="52">
        <f>FORECAST(A22,C9:C22,A9:A22)</f>
        <v>51.521428571428572</v>
      </c>
      <c r="E22" s="28"/>
      <c r="F22" s="28"/>
      <c r="G22" s="54"/>
      <c r="H22" s="2"/>
    </row>
    <row r="23" spans="1:8">
      <c r="A23" s="104">
        <v>15</v>
      </c>
      <c r="B23" s="110">
        <v>35390</v>
      </c>
      <c r="C23" s="45">
        <v>50.5</v>
      </c>
      <c r="D23" s="55">
        <f t="shared" ref="D23:D63" si="0">FORECAST(A23,C10:C23,A10:A23)</f>
        <v>51.410714285714285</v>
      </c>
      <c r="E23" s="29"/>
      <c r="F23" s="29"/>
      <c r="G23" s="57"/>
      <c r="H23" s="2"/>
    </row>
    <row r="24" spans="1:8">
      <c r="A24" s="104">
        <v>16</v>
      </c>
      <c r="B24" s="110">
        <v>35391</v>
      </c>
      <c r="C24" s="45">
        <v>51.875</v>
      </c>
      <c r="D24" s="55">
        <f t="shared" si="0"/>
        <v>51.625</v>
      </c>
      <c r="E24" s="29"/>
      <c r="F24" s="29"/>
      <c r="G24" s="57"/>
      <c r="H24" s="2"/>
    </row>
    <row r="25" spans="1:8">
      <c r="A25" s="103">
        <v>17</v>
      </c>
      <c r="B25" s="109">
        <v>35394</v>
      </c>
      <c r="C25" s="41">
        <v>52.5</v>
      </c>
      <c r="D25" s="52">
        <f t="shared" si="0"/>
        <v>52</v>
      </c>
      <c r="E25" s="28"/>
      <c r="F25" s="28"/>
      <c r="G25" s="54"/>
      <c r="H25" s="2"/>
    </row>
    <row r="26" spans="1:8">
      <c r="A26" s="103">
        <v>18</v>
      </c>
      <c r="B26" s="109">
        <v>35395</v>
      </c>
      <c r="C26" s="41">
        <v>53</v>
      </c>
      <c r="D26" s="52">
        <f t="shared" si="0"/>
        <v>52.403571428571432</v>
      </c>
      <c r="E26" s="28"/>
      <c r="F26" s="28"/>
      <c r="G26" s="54"/>
      <c r="H26" s="2"/>
    </row>
    <row r="27" spans="1:8">
      <c r="A27" s="104">
        <v>19</v>
      </c>
      <c r="B27" s="110">
        <v>35396</v>
      </c>
      <c r="C27" s="45">
        <v>52.5</v>
      </c>
      <c r="D27" s="55">
        <f t="shared" si="0"/>
        <v>52.532142857142858</v>
      </c>
      <c r="E27" s="29"/>
      <c r="F27" s="29"/>
      <c r="G27" s="57"/>
      <c r="H27" s="2"/>
    </row>
    <row r="28" spans="1:8">
      <c r="A28" s="104">
        <v>20</v>
      </c>
      <c r="B28" s="110">
        <v>35398</v>
      </c>
      <c r="C28" s="45">
        <v>52.25</v>
      </c>
      <c r="D28" s="55">
        <f t="shared" si="0"/>
        <v>52.567857142857143</v>
      </c>
      <c r="E28" s="29"/>
      <c r="F28" s="29"/>
      <c r="G28" s="57"/>
      <c r="H28" s="2"/>
    </row>
    <row r="29" spans="1:8">
      <c r="A29" s="103">
        <v>21</v>
      </c>
      <c r="B29" s="109">
        <v>35401</v>
      </c>
      <c r="C29" s="41">
        <v>51.875</v>
      </c>
      <c r="D29" s="52">
        <f t="shared" si="0"/>
        <v>52.557142857142857</v>
      </c>
      <c r="E29" s="28"/>
      <c r="F29" s="28"/>
      <c r="G29" s="54"/>
      <c r="H29" s="2"/>
    </row>
    <row r="30" spans="1:8">
      <c r="A30" s="103">
        <v>22</v>
      </c>
      <c r="B30" s="109">
        <v>35402</v>
      </c>
      <c r="C30" s="41">
        <v>50.75</v>
      </c>
      <c r="D30" s="52">
        <f t="shared" si="0"/>
        <v>52.25714285714286</v>
      </c>
      <c r="E30" s="28"/>
      <c r="F30" s="28"/>
      <c r="G30" s="54"/>
      <c r="H30" s="2"/>
    </row>
    <row r="31" spans="1:8">
      <c r="A31" s="104">
        <v>23</v>
      </c>
      <c r="B31" s="110">
        <v>35403</v>
      </c>
      <c r="C31" s="45">
        <v>51.625</v>
      </c>
      <c r="D31" s="55">
        <f t="shared" si="0"/>
        <v>52.153571428571432</v>
      </c>
      <c r="E31" s="29"/>
      <c r="F31" s="29"/>
      <c r="G31" s="57"/>
      <c r="H31" s="2"/>
    </row>
    <row r="32" spans="1:8">
      <c r="A32" s="104">
        <v>24</v>
      </c>
      <c r="B32" s="110">
        <v>35404</v>
      </c>
      <c r="C32" s="45">
        <v>51.625</v>
      </c>
      <c r="D32" s="55">
        <f t="shared" si="0"/>
        <v>52.082142857142863</v>
      </c>
      <c r="E32" s="29"/>
      <c r="F32" s="29"/>
      <c r="G32" s="57"/>
      <c r="H32" s="2"/>
    </row>
    <row r="33" spans="1:8">
      <c r="A33" s="103">
        <v>25</v>
      </c>
      <c r="B33" s="109">
        <v>35405</v>
      </c>
      <c r="C33" s="41">
        <v>51.5</v>
      </c>
      <c r="D33" s="52">
        <f t="shared" si="0"/>
        <v>51.971428571428575</v>
      </c>
      <c r="E33" s="28"/>
      <c r="F33" s="28"/>
      <c r="G33" s="54"/>
      <c r="H33" s="2"/>
    </row>
    <row r="34" spans="1:8">
      <c r="A34" s="103">
        <v>26</v>
      </c>
      <c r="B34" s="109">
        <v>35408</v>
      </c>
      <c r="C34" s="41">
        <v>52</v>
      </c>
      <c r="D34" s="52">
        <f t="shared" si="0"/>
        <v>51.971428571428575</v>
      </c>
      <c r="E34" s="28"/>
      <c r="F34" s="28"/>
      <c r="G34" s="54"/>
      <c r="H34" s="2"/>
    </row>
    <row r="35" spans="1:8">
      <c r="A35" s="104">
        <v>27</v>
      </c>
      <c r="B35" s="110">
        <v>35409</v>
      </c>
      <c r="C35" s="45">
        <v>54.875</v>
      </c>
      <c r="D35" s="55">
        <f t="shared" si="0"/>
        <v>52.660714285714285</v>
      </c>
      <c r="E35" s="29"/>
      <c r="F35" s="29"/>
      <c r="G35" s="57"/>
      <c r="H35" s="2"/>
    </row>
    <row r="36" spans="1:8">
      <c r="A36" s="104">
        <v>28</v>
      </c>
      <c r="B36" s="110">
        <v>35410</v>
      </c>
      <c r="C36" s="45">
        <v>53.5</v>
      </c>
      <c r="D36" s="55">
        <f t="shared" si="0"/>
        <v>52.878571428571426</v>
      </c>
      <c r="E36" s="29"/>
      <c r="F36" s="29"/>
      <c r="G36" s="57"/>
      <c r="H36" s="2"/>
    </row>
    <row r="37" spans="1:8">
      <c r="A37" s="103">
        <v>29</v>
      </c>
      <c r="B37" s="109">
        <v>35411</v>
      </c>
      <c r="C37" s="41">
        <v>53.875</v>
      </c>
      <c r="D37" s="52">
        <f t="shared" si="0"/>
        <v>53.078571428571422</v>
      </c>
      <c r="E37" s="28"/>
      <c r="F37" s="28"/>
      <c r="G37" s="54"/>
      <c r="H37" s="2"/>
    </row>
    <row r="38" spans="1:8">
      <c r="A38" s="103">
        <v>30</v>
      </c>
      <c r="B38" s="109">
        <v>35412</v>
      </c>
      <c r="C38" s="41">
        <v>53.5</v>
      </c>
      <c r="D38" s="52">
        <f t="shared" si="0"/>
        <v>53.282142857142858</v>
      </c>
      <c r="E38" s="28"/>
      <c r="F38" s="28"/>
      <c r="G38" s="54"/>
      <c r="H38" s="2"/>
    </row>
    <row r="39" spans="1:8">
      <c r="A39" s="104">
        <v>31</v>
      </c>
      <c r="B39" s="110">
        <v>35415</v>
      </c>
      <c r="C39" s="45">
        <v>53.375</v>
      </c>
      <c r="D39" s="55">
        <f t="shared" si="0"/>
        <v>53.496428571428567</v>
      </c>
      <c r="E39" s="29"/>
      <c r="F39" s="29"/>
      <c r="G39" s="57"/>
      <c r="H39" s="2"/>
    </row>
    <row r="40" spans="1:8">
      <c r="A40" s="104">
        <v>32</v>
      </c>
      <c r="B40" s="110">
        <v>35416</v>
      </c>
      <c r="C40" s="45">
        <v>53</v>
      </c>
      <c r="D40" s="55">
        <f t="shared" si="0"/>
        <v>53.660714285714292</v>
      </c>
      <c r="E40" s="29"/>
      <c r="F40" s="29"/>
      <c r="G40" s="57"/>
      <c r="H40" s="2"/>
    </row>
    <row r="41" spans="1:8">
      <c r="A41" s="103">
        <v>33</v>
      </c>
      <c r="B41" s="109">
        <v>35417</v>
      </c>
      <c r="C41" s="41">
        <v>53.625</v>
      </c>
      <c r="D41" s="52">
        <f t="shared" si="0"/>
        <v>53.914285714285711</v>
      </c>
      <c r="E41" s="28"/>
      <c r="F41" s="28"/>
      <c r="G41" s="54"/>
      <c r="H41" s="2"/>
    </row>
    <row r="42" spans="1:8">
      <c r="A42" s="103">
        <v>34</v>
      </c>
      <c r="B42" s="109">
        <v>35418</v>
      </c>
      <c r="C42" s="41">
        <v>54.625</v>
      </c>
      <c r="D42" s="52">
        <f t="shared" si="0"/>
        <v>54.357142857142854</v>
      </c>
      <c r="E42" s="28"/>
      <c r="F42" s="28"/>
      <c r="G42" s="54"/>
      <c r="H42" s="2"/>
    </row>
    <row r="43" spans="1:8">
      <c r="A43" s="104">
        <v>35</v>
      </c>
      <c r="B43" s="110">
        <v>35419</v>
      </c>
      <c r="C43" s="45">
        <v>56.125</v>
      </c>
      <c r="D43" s="55">
        <f t="shared" si="0"/>
        <v>55.064285714285717</v>
      </c>
      <c r="E43" s="29"/>
      <c r="F43" s="29"/>
      <c r="G43" s="57"/>
      <c r="H43" s="2"/>
    </row>
    <row r="44" spans="1:8">
      <c r="A44" s="104">
        <v>36</v>
      </c>
      <c r="B44" s="110">
        <v>35422</v>
      </c>
      <c r="C44" s="45">
        <v>56.875</v>
      </c>
      <c r="D44" s="55">
        <f t="shared" si="0"/>
        <v>55.682142857142857</v>
      </c>
      <c r="E44" s="29"/>
      <c r="F44" s="29"/>
      <c r="G44" s="57"/>
      <c r="H44" s="2"/>
    </row>
    <row r="45" spans="1:8">
      <c r="A45" s="103">
        <v>37</v>
      </c>
      <c r="B45" s="109">
        <v>35423</v>
      </c>
      <c r="C45" s="41">
        <v>59.625</v>
      </c>
      <c r="D45" s="52">
        <f t="shared" si="0"/>
        <v>56.957142857142856</v>
      </c>
      <c r="E45" s="28"/>
      <c r="F45" s="28"/>
      <c r="G45" s="54"/>
      <c r="H45" s="2"/>
    </row>
    <row r="46" spans="1:8">
      <c r="A46" s="103">
        <v>38</v>
      </c>
      <c r="B46" s="109">
        <v>35425</v>
      </c>
      <c r="C46" s="41">
        <v>56.875</v>
      </c>
      <c r="D46" s="52">
        <f t="shared" si="0"/>
        <v>57.296428571428564</v>
      </c>
      <c r="E46" s="28"/>
      <c r="F46" s="28"/>
      <c r="G46" s="54"/>
      <c r="H46" s="2"/>
    </row>
    <row r="47" spans="1:8">
      <c r="A47" s="104">
        <v>39</v>
      </c>
      <c r="B47" s="110">
        <v>35426</v>
      </c>
      <c r="C47" s="45">
        <v>58.375</v>
      </c>
      <c r="D47" s="55">
        <f t="shared" si="0"/>
        <v>57.853571428571428</v>
      </c>
      <c r="E47" s="29"/>
      <c r="F47" s="29"/>
      <c r="G47" s="57"/>
      <c r="H47" s="2"/>
    </row>
    <row r="48" spans="1:8">
      <c r="A48" s="104">
        <v>40</v>
      </c>
      <c r="B48" s="110">
        <v>35429</v>
      </c>
      <c r="C48" s="45">
        <v>57.375</v>
      </c>
      <c r="D48" s="55">
        <f t="shared" si="0"/>
        <v>58.028571428571425</v>
      </c>
      <c r="E48" s="29"/>
      <c r="F48" s="29"/>
      <c r="G48" s="57"/>
      <c r="H48" s="2"/>
    </row>
    <row r="49" spans="1:8">
      <c r="A49" s="103">
        <v>41</v>
      </c>
      <c r="B49" s="109">
        <v>35430</v>
      </c>
      <c r="C49" s="41">
        <v>56.5</v>
      </c>
      <c r="D49" s="52">
        <f t="shared" si="0"/>
        <v>58.235714285714295</v>
      </c>
      <c r="E49" s="28"/>
      <c r="F49" s="28"/>
      <c r="G49" s="54"/>
      <c r="H49" s="2"/>
    </row>
    <row r="50" spans="1:8">
      <c r="A50" s="103">
        <v>42</v>
      </c>
      <c r="B50" s="109">
        <v>35432</v>
      </c>
      <c r="C50" s="41">
        <v>54.625</v>
      </c>
      <c r="D50" s="52">
        <f t="shared" si="0"/>
        <v>57.717857142857142</v>
      </c>
      <c r="E50" s="28"/>
      <c r="F50" s="28"/>
      <c r="G50" s="54"/>
      <c r="H50" s="2"/>
    </row>
    <row r="51" spans="1:8">
      <c r="A51" s="104">
        <v>43</v>
      </c>
      <c r="B51" s="110">
        <v>35433</v>
      </c>
      <c r="C51" s="45">
        <v>54.5</v>
      </c>
      <c r="D51" s="55">
        <f t="shared" si="0"/>
        <v>57.189285714285717</v>
      </c>
      <c r="E51" s="29"/>
      <c r="F51" s="29"/>
      <c r="G51" s="57"/>
      <c r="H51" s="2"/>
    </row>
    <row r="52" spans="1:8">
      <c r="A52" s="104">
        <v>44</v>
      </c>
      <c r="B52" s="110">
        <v>35436</v>
      </c>
      <c r="C52" s="45">
        <v>55.125</v>
      </c>
      <c r="D52" s="55">
        <f t="shared" si="0"/>
        <v>56.75</v>
      </c>
      <c r="E52" s="29"/>
      <c r="F52" s="29"/>
      <c r="G52" s="57"/>
      <c r="H52" s="2"/>
    </row>
    <row r="53" spans="1:8">
      <c r="A53" s="103">
        <v>45</v>
      </c>
      <c r="B53" s="109">
        <v>35437</v>
      </c>
      <c r="C53" s="41">
        <v>57.625</v>
      </c>
      <c r="D53" s="52">
        <f t="shared" si="0"/>
        <v>56.88928571428572</v>
      </c>
      <c r="E53" s="28"/>
      <c r="F53" s="28"/>
      <c r="G53" s="54"/>
      <c r="H53" s="2"/>
    </row>
    <row r="54" spans="1:8">
      <c r="A54" s="103">
        <v>46</v>
      </c>
      <c r="B54" s="109">
        <v>35438</v>
      </c>
      <c r="C54" s="41">
        <v>57.125</v>
      </c>
      <c r="D54" s="52">
        <f t="shared" si="0"/>
        <v>56.725000000000001</v>
      </c>
      <c r="E54" s="28"/>
      <c r="F54" s="28"/>
      <c r="G54" s="54"/>
      <c r="H54" s="2"/>
    </row>
    <row r="55" spans="1:8">
      <c r="A55" s="104">
        <v>47</v>
      </c>
      <c r="B55" s="110">
        <v>35439</v>
      </c>
      <c r="C55" s="45">
        <v>57.25</v>
      </c>
      <c r="D55" s="55">
        <f t="shared" si="0"/>
        <v>56.564285714285717</v>
      </c>
      <c r="E55" s="29"/>
      <c r="F55" s="29"/>
      <c r="G55" s="57"/>
      <c r="H55" s="2"/>
    </row>
    <row r="56" spans="1:8">
      <c r="A56" s="104">
        <v>48</v>
      </c>
      <c r="B56" s="110">
        <v>35440</v>
      </c>
      <c r="C56" s="45">
        <v>57.375</v>
      </c>
      <c r="D56" s="55">
        <f t="shared" si="0"/>
        <v>56.475000000000001</v>
      </c>
      <c r="E56" s="29"/>
      <c r="F56" s="29"/>
      <c r="G56" s="57"/>
      <c r="H56" s="2"/>
    </row>
    <row r="57" spans="1:8">
      <c r="A57" s="103">
        <v>49</v>
      </c>
      <c r="B57" s="109">
        <v>35443</v>
      </c>
      <c r="C57" s="41">
        <v>57</v>
      </c>
      <c r="D57" s="52">
        <f t="shared" si="0"/>
        <v>56.424999999999997</v>
      </c>
      <c r="E57" s="28"/>
      <c r="F57" s="28"/>
      <c r="G57" s="54"/>
      <c r="H57" s="2"/>
    </row>
    <row r="58" spans="1:8">
      <c r="A58" s="103">
        <v>50</v>
      </c>
      <c r="B58" s="109">
        <v>35444</v>
      </c>
      <c r="C58" s="41">
        <v>58.125</v>
      </c>
      <c r="D58" s="52">
        <f t="shared" si="0"/>
        <v>56.746428571428574</v>
      </c>
      <c r="E58" s="28"/>
      <c r="F58" s="28"/>
      <c r="G58" s="54"/>
      <c r="H58" s="2"/>
    </row>
    <row r="59" spans="1:8">
      <c r="A59" s="104">
        <v>51</v>
      </c>
      <c r="B59" s="110">
        <v>35445</v>
      </c>
      <c r="C59" s="45">
        <v>59</v>
      </c>
      <c r="D59" s="55">
        <f t="shared" si="0"/>
        <v>57.65</v>
      </c>
      <c r="E59" s="29"/>
      <c r="F59" s="29"/>
      <c r="G59" s="57"/>
      <c r="H59" s="2"/>
    </row>
    <row r="60" spans="1:8">
      <c r="A60" s="104">
        <v>52</v>
      </c>
      <c r="B60" s="110">
        <v>35446</v>
      </c>
      <c r="C60" s="45">
        <v>58.5</v>
      </c>
      <c r="D60" s="55">
        <f t="shared" si="0"/>
        <v>58.05</v>
      </c>
      <c r="E60" s="29"/>
      <c r="F60" s="29"/>
      <c r="G60" s="57"/>
      <c r="H60" s="2"/>
    </row>
    <row r="61" spans="1:8">
      <c r="A61" s="103">
        <v>53</v>
      </c>
      <c r="B61" s="109">
        <v>35447</v>
      </c>
      <c r="C61" s="41">
        <v>59.625</v>
      </c>
      <c r="D61" s="52">
        <f t="shared" si="0"/>
        <v>58.907142857142858</v>
      </c>
      <c r="E61" s="28"/>
      <c r="F61" s="28"/>
      <c r="G61" s="54"/>
      <c r="H61" s="2"/>
    </row>
    <row r="62" spans="1:8">
      <c r="A62" s="103">
        <v>54</v>
      </c>
      <c r="B62" s="109">
        <v>35450</v>
      </c>
      <c r="C62" s="41">
        <v>59.625</v>
      </c>
      <c r="D62" s="52">
        <f t="shared" si="0"/>
        <v>59.585714285714275</v>
      </c>
      <c r="E62" s="28"/>
      <c r="F62" s="28"/>
      <c r="G62" s="54"/>
      <c r="H62" s="2"/>
    </row>
    <row r="63" spans="1:8">
      <c r="A63" s="104">
        <v>55</v>
      </c>
      <c r="B63" s="110">
        <v>35451</v>
      </c>
      <c r="C63" s="45">
        <v>59.75</v>
      </c>
      <c r="D63" s="55">
        <f t="shared" si="0"/>
        <v>60.107142857142861</v>
      </c>
      <c r="E63" s="29"/>
      <c r="F63" s="29"/>
      <c r="G63" s="57"/>
      <c r="H63" s="2"/>
    </row>
    <row r="64" spans="1:8">
      <c r="A64" s="71"/>
      <c r="B64" s="29"/>
      <c r="C64" s="29"/>
      <c r="D64" s="29"/>
      <c r="E64" s="29"/>
      <c r="F64" s="29"/>
      <c r="G64" s="57"/>
    </row>
    <row r="65" spans="1:1">
      <c r="A65" t="s">
        <v>1326</v>
      </c>
    </row>
    <row r="66" spans="1:1">
      <c r="A66" t="s">
        <v>1327</v>
      </c>
    </row>
  </sheetData>
  <mergeCells count="1">
    <mergeCell ref="B5:G5"/>
  </mergeCells>
  <phoneticPr fontId="0" type="noConversion"/>
  <hyperlinks>
    <hyperlink ref="B6" location="'Linear Regression Trendline'!A1" display="See Linear Regression Trendline"/>
  </hyperlinks>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80897"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80898"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80899"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80900"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enableFormatConditionsCalculation="0"/>
  <dimension ref="A1:N71"/>
  <sheetViews>
    <sheetView workbookViewId="0">
      <selection activeCell="E8" sqref="E8"/>
    </sheetView>
  </sheetViews>
  <sheetFormatPr baseColWidth="10" defaultColWidth="8.83203125" defaultRowHeight="12" x14ac:dyDescent="0"/>
  <cols>
    <col min="1" max="1" width="9.33203125" customWidth="1"/>
    <col min="2" max="2" width="15.5" customWidth="1"/>
    <col min="3" max="3" width="10.5" customWidth="1"/>
    <col min="4" max="4" width="10.5" bestFit="1" customWidth="1"/>
    <col min="5" max="5" width="13.83203125" customWidth="1"/>
    <col min="6" max="6" width="10.6640625" customWidth="1"/>
    <col min="7" max="7" width="12.5" customWidth="1"/>
  </cols>
  <sheetData>
    <row r="1" spans="1:14">
      <c r="A1" s="21"/>
      <c r="B1" s="21"/>
      <c r="C1" s="21" t="s">
        <v>846</v>
      </c>
      <c r="D1" s="21"/>
      <c r="E1" s="21"/>
      <c r="F1" s="21"/>
      <c r="G1" s="21"/>
      <c r="H1" s="30"/>
    </row>
    <row r="2" spans="1:14" ht="21" customHeight="1">
      <c r="A2" s="21"/>
      <c r="B2" s="21"/>
      <c r="C2" s="21"/>
      <c r="D2" s="374"/>
      <c r="E2" s="374"/>
      <c r="F2" s="374"/>
      <c r="G2" s="374"/>
      <c r="H2" s="372"/>
      <c r="I2" s="372"/>
      <c r="J2" s="372"/>
      <c r="K2" s="372"/>
      <c r="L2" s="372"/>
      <c r="M2" s="372"/>
      <c r="N2" s="372"/>
    </row>
    <row r="3" spans="1:14">
      <c r="A3" s="19" t="s">
        <v>1045</v>
      </c>
      <c r="B3" s="20" t="s">
        <v>753</v>
      </c>
      <c r="C3" s="21"/>
      <c r="D3" s="21"/>
      <c r="E3" s="21"/>
      <c r="F3" s="21"/>
      <c r="G3" s="21"/>
    </row>
    <row r="4" spans="1:14">
      <c r="A4" s="19" t="s">
        <v>774</v>
      </c>
      <c r="B4" s="20" t="s">
        <v>1066</v>
      </c>
      <c r="C4" s="21"/>
      <c r="D4" s="21"/>
      <c r="E4" s="21"/>
      <c r="F4" s="21"/>
      <c r="G4" s="21"/>
    </row>
    <row r="5" spans="1:14" ht="15">
      <c r="A5" s="19" t="s">
        <v>779</v>
      </c>
      <c r="B5" s="457" t="s">
        <v>754</v>
      </c>
      <c r="C5" s="453"/>
      <c r="D5" s="453"/>
      <c r="E5" s="453"/>
      <c r="F5" s="207"/>
      <c r="G5" s="207"/>
    </row>
    <row r="6" spans="1:14" ht="15">
      <c r="A6" s="19"/>
      <c r="B6" s="149" t="s">
        <v>133</v>
      </c>
      <c r="C6" s="125"/>
      <c r="D6" s="125"/>
      <c r="E6" s="125"/>
      <c r="F6" s="125"/>
      <c r="G6" s="125"/>
    </row>
    <row r="7" spans="1:14" ht="15">
      <c r="A7" s="19"/>
      <c r="B7" s="135" t="s">
        <v>1205</v>
      </c>
      <c r="C7" s="125"/>
      <c r="D7" s="125"/>
      <c r="E7" s="125"/>
      <c r="F7" s="125"/>
      <c r="G7" s="125"/>
    </row>
    <row r="8" spans="1:14" ht="28.5" customHeight="1">
      <c r="A8" s="19"/>
      <c r="B8" s="136" t="s">
        <v>799</v>
      </c>
      <c r="C8" s="125"/>
      <c r="D8" s="125"/>
      <c r="E8" s="125"/>
      <c r="F8" s="125"/>
      <c r="G8" s="125"/>
    </row>
    <row r="9" spans="1:14" ht="37.5" customHeight="1">
      <c r="A9" s="19"/>
      <c r="B9" s="220" t="s">
        <v>239</v>
      </c>
      <c r="C9" s="125"/>
      <c r="D9" s="125"/>
      <c r="E9" s="125"/>
      <c r="F9" s="125"/>
      <c r="G9" s="125"/>
    </row>
    <row r="10" spans="1:14" ht="15" customHeight="1">
      <c r="A10" s="19"/>
      <c r="B10" s="458" t="s">
        <v>842</v>
      </c>
      <c r="C10" s="459"/>
      <c r="D10" s="459"/>
      <c r="E10" s="459"/>
      <c r="F10" s="98"/>
      <c r="G10" s="98"/>
    </row>
    <row r="11" spans="1:14" ht="15" customHeight="1">
      <c r="A11" s="19"/>
      <c r="B11" s="458" t="s">
        <v>1328</v>
      </c>
      <c r="C11" s="460"/>
      <c r="D11" s="460"/>
      <c r="E11" s="460"/>
      <c r="F11" s="460"/>
      <c r="G11" s="460"/>
    </row>
    <row r="12" spans="1:14" ht="15" customHeight="1">
      <c r="A12" s="19"/>
      <c r="B12" s="189" t="s">
        <v>800</v>
      </c>
      <c r="C12" s="125"/>
      <c r="D12" s="125"/>
      <c r="E12" s="125"/>
      <c r="F12" s="125"/>
      <c r="G12" s="125"/>
    </row>
    <row r="13" spans="1:14" ht="48">
      <c r="A13" s="31" t="s">
        <v>488</v>
      </c>
      <c r="B13" s="31" t="s">
        <v>487</v>
      </c>
      <c r="C13" s="31" t="s">
        <v>1330</v>
      </c>
      <c r="D13" s="31" t="s">
        <v>1331</v>
      </c>
      <c r="E13" s="31" t="s">
        <v>1332</v>
      </c>
      <c r="F13" s="31" t="s">
        <v>755</v>
      </c>
      <c r="G13" s="31" t="s">
        <v>1329</v>
      </c>
    </row>
    <row r="14" spans="1:14">
      <c r="A14" s="104">
        <v>1</v>
      </c>
      <c r="B14" s="45">
        <v>137.875</v>
      </c>
      <c r="C14" s="47">
        <f>B14*B14</f>
        <v>19009.515625</v>
      </c>
      <c r="D14" s="230">
        <f t="shared" ref="D14:D29" si="0">A14*A14</f>
        <v>1</v>
      </c>
      <c r="E14" s="230">
        <f t="shared" ref="E14:E29" si="1">A14*B14</f>
        <v>137.875</v>
      </c>
      <c r="F14" s="231">
        <f t="shared" ref="F14:F29" si="2">$F$42+($F$41*A14)</f>
        <v>140.68308823529401</v>
      </c>
      <c r="G14" s="47">
        <f t="shared" ref="G14:G29" si="3">TREND($B$14:$B$29,$A$14:$A$29,A14)</f>
        <v>140.68308823529409</v>
      </c>
    </row>
    <row r="15" spans="1:14">
      <c r="A15" s="103">
        <v>2</v>
      </c>
      <c r="B15" s="41">
        <v>126.938</v>
      </c>
      <c r="C15" s="43">
        <f t="shared" ref="C15:C29" si="4">B15*B15</f>
        <v>16113.255844000001</v>
      </c>
      <c r="D15" s="193">
        <f t="shared" si="0"/>
        <v>4</v>
      </c>
      <c r="E15" s="193">
        <f t="shared" si="1"/>
        <v>253.876</v>
      </c>
      <c r="F15" s="232">
        <f t="shared" si="2"/>
        <v>140.39722647058812</v>
      </c>
      <c r="G15" s="43">
        <f t="shared" si="3"/>
        <v>140.39722647058821</v>
      </c>
    </row>
    <row r="16" spans="1:14">
      <c r="A16" s="103">
        <v>3</v>
      </c>
      <c r="B16" s="41">
        <v>140.875</v>
      </c>
      <c r="C16" s="43">
        <f t="shared" si="4"/>
        <v>19845.765625</v>
      </c>
      <c r="D16" s="193">
        <f t="shared" si="0"/>
        <v>9</v>
      </c>
      <c r="E16" s="193">
        <f t="shared" si="1"/>
        <v>422.625</v>
      </c>
      <c r="F16" s="232">
        <f t="shared" si="2"/>
        <v>140.11136470588227</v>
      </c>
      <c r="G16" s="43">
        <f t="shared" si="3"/>
        <v>140.11136470588232</v>
      </c>
    </row>
    <row r="17" spans="1:7">
      <c r="A17" s="104">
        <v>4</v>
      </c>
      <c r="B17" s="45">
        <v>133.375</v>
      </c>
      <c r="C17" s="47">
        <f t="shared" si="4"/>
        <v>17788.890625</v>
      </c>
      <c r="D17" s="230">
        <f t="shared" si="0"/>
        <v>16</v>
      </c>
      <c r="E17" s="230">
        <f t="shared" si="1"/>
        <v>533.5</v>
      </c>
      <c r="F17" s="231">
        <f t="shared" si="2"/>
        <v>139.82550294117638</v>
      </c>
      <c r="G17" s="47">
        <f t="shared" si="3"/>
        <v>139.82550294117644</v>
      </c>
    </row>
    <row r="18" spans="1:7">
      <c r="A18" s="104">
        <v>5</v>
      </c>
      <c r="B18" s="45">
        <v>148</v>
      </c>
      <c r="C18" s="47">
        <f t="shared" si="4"/>
        <v>21904</v>
      </c>
      <c r="D18" s="230">
        <f t="shared" si="0"/>
        <v>25</v>
      </c>
      <c r="E18" s="230">
        <f t="shared" si="1"/>
        <v>740</v>
      </c>
      <c r="F18" s="231">
        <f t="shared" si="2"/>
        <v>139.53964117647052</v>
      </c>
      <c r="G18" s="47">
        <f t="shared" si="3"/>
        <v>139.53964117647058</v>
      </c>
    </row>
    <row r="19" spans="1:7">
      <c r="A19" s="103">
        <v>6</v>
      </c>
      <c r="B19" s="41">
        <v>138.18799999999999</v>
      </c>
      <c r="C19" s="43">
        <f t="shared" si="4"/>
        <v>19095.923343999995</v>
      </c>
      <c r="D19" s="193">
        <f t="shared" si="0"/>
        <v>36</v>
      </c>
      <c r="E19" s="193">
        <f t="shared" si="1"/>
        <v>829.12799999999993</v>
      </c>
      <c r="F19" s="232">
        <f t="shared" si="2"/>
        <v>139.25377941176464</v>
      </c>
      <c r="G19" s="43">
        <f t="shared" si="3"/>
        <v>139.2537794117647</v>
      </c>
    </row>
    <row r="20" spans="1:7">
      <c r="A20" s="103">
        <v>7</v>
      </c>
      <c r="B20" s="41">
        <v>142.5</v>
      </c>
      <c r="C20" s="43">
        <f t="shared" si="4"/>
        <v>20306.25</v>
      </c>
      <c r="D20" s="193">
        <f t="shared" si="0"/>
        <v>49</v>
      </c>
      <c r="E20" s="193">
        <f t="shared" si="1"/>
        <v>997.5</v>
      </c>
      <c r="F20" s="232">
        <f t="shared" si="2"/>
        <v>138.96791764705878</v>
      </c>
      <c r="G20" s="43">
        <f t="shared" si="3"/>
        <v>138.96791764705881</v>
      </c>
    </row>
    <row r="21" spans="1:7">
      <c r="A21" s="104">
        <v>8</v>
      </c>
      <c r="B21" s="45">
        <v>135.375</v>
      </c>
      <c r="C21" s="47">
        <f t="shared" si="4"/>
        <v>18326.390625</v>
      </c>
      <c r="D21" s="230">
        <f t="shared" si="0"/>
        <v>64</v>
      </c>
      <c r="E21" s="230">
        <f t="shared" si="1"/>
        <v>1083</v>
      </c>
      <c r="F21" s="231">
        <f t="shared" si="2"/>
        <v>138.6820558823529</v>
      </c>
      <c r="G21" s="47">
        <f t="shared" si="3"/>
        <v>138.68205588235293</v>
      </c>
    </row>
    <row r="22" spans="1:7">
      <c r="A22" s="104">
        <v>9</v>
      </c>
      <c r="B22" s="45">
        <v>147.43799999999999</v>
      </c>
      <c r="C22" s="47">
        <f t="shared" si="4"/>
        <v>21737.963843999998</v>
      </c>
      <c r="D22" s="230">
        <f t="shared" si="0"/>
        <v>81</v>
      </c>
      <c r="E22" s="230">
        <f t="shared" si="1"/>
        <v>1326.942</v>
      </c>
      <c r="F22" s="231">
        <f t="shared" si="2"/>
        <v>138.39619411764704</v>
      </c>
      <c r="G22" s="47">
        <f t="shared" si="3"/>
        <v>138.39619411764704</v>
      </c>
    </row>
    <row r="23" spans="1:7">
      <c r="A23" s="103">
        <v>10</v>
      </c>
      <c r="B23" s="41">
        <v>151.875</v>
      </c>
      <c r="C23" s="43">
        <f t="shared" si="4"/>
        <v>23066.015625</v>
      </c>
      <c r="D23" s="193">
        <f t="shared" si="0"/>
        <v>100</v>
      </c>
      <c r="E23" s="193">
        <f t="shared" si="1"/>
        <v>1518.75</v>
      </c>
      <c r="F23" s="232">
        <f t="shared" si="2"/>
        <v>138.11033235294116</v>
      </c>
      <c r="G23" s="43">
        <f t="shared" si="3"/>
        <v>138.11033235294116</v>
      </c>
    </row>
    <row r="24" spans="1:7">
      <c r="A24" s="103">
        <v>11</v>
      </c>
      <c r="B24" s="41">
        <v>143.31200000000001</v>
      </c>
      <c r="C24" s="43">
        <f t="shared" si="4"/>
        <v>20538.329344000002</v>
      </c>
      <c r="D24" s="193">
        <f t="shared" si="0"/>
        <v>121</v>
      </c>
      <c r="E24" s="193">
        <f t="shared" si="1"/>
        <v>1576.4320000000002</v>
      </c>
      <c r="F24" s="232">
        <f t="shared" si="2"/>
        <v>137.8244705882353</v>
      </c>
      <c r="G24" s="43">
        <f t="shared" si="3"/>
        <v>137.82447058823527</v>
      </c>
    </row>
    <row r="25" spans="1:7">
      <c r="A25" s="104">
        <v>12</v>
      </c>
      <c r="B25" s="45">
        <v>146.375</v>
      </c>
      <c r="C25" s="47">
        <f t="shared" si="4"/>
        <v>21425.640625</v>
      </c>
      <c r="D25" s="230">
        <f t="shared" si="0"/>
        <v>144</v>
      </c>
      <c r="E25" s="230">
        <f t="shared" si="1"/>
        <v>1756.5</v>
      </c>
      <c r="F25" s="231">
        <f t="shared" si="2"/>
        <v>137.53860882352944</v>
      </c>
      <c r="G25" s="47">
        <f t="shared" si="3"/>
        <v>137.53860882352939</v>
      </c>
    </row>
    <row r="26" spans="1:7">
      <c r="A26" s="104">
        <v>13</v>
      </c>
      <c r="B26" s="45">
        <v>144.75</v>
      </c>
      <c r="C26" s="47">
        <f t="shared" si="4"/>
        <v>20952.5625</v>
      </c>
      <c r="D26" s="230">
        <f t="shared" si="0"/>
        <v>169</v>
      </c>
      <c r="E26" s="230">
        <f t="shared" si="1"/>
        <v>1881.75</v>
      </c>
      <c r="F26" s="231">
        <f t="shared" si="2"/>
        <v>137.25274705882356</v>
      </c>
      <c r="G26" s="47">
        <f t="shared" si="3"/>
        <v>137.2527470588235</v>
      </c>
    </row>
    <row r="27" spans="1:7">
      <c r="A27" s="103">
        <v>14</v>
      </c>
      <c r="B27" s="41">
        <v>135.25</v>
      </c>
      <c r="C27" s="43">
        <f t="shared" si="4"/>
        <v>18292.5625</v>
      </c>
      <c r="D27" s="193">
        <f t="shared" si="0"/>
        <v>196</v>
      </c>
      <c r="E27" s="193">
        <f t="shared" si="1"/>
        <v>1893.5</v>
      </c>
      <c r="F27" s="232">
        <f t="shared" si="2"/>
        <v>136.9668852941177</v>
      </c>
      <c r="G27" s="43">
        <f t="shared" si="3"/>
        <v>136.96688529411762</v>
      </c>
    </row>
    <row r="28" spans="1:7">
      <c r="A28" s="103">
        <v>15</v>
      </c>
      <c r="B28" s="41">
        <v>119.25</v>
      </c>
      <c r="C28" s="43">
        <f t="shared" si="4"/>
        <v>14220.5625</v>
      </c>
      <c r="D28" s="193">
        <f t="shared" si="0"/>
        <v>225</v>
      </c>
      <c r="E28" s="193">
        <f t="shared" si="1"/>
        <v>1788.75</v>
      </c>
      <c r="F28" s="232">
        <f t="shared" si="2"/>
        <v>136.68102352941182</v>
      </c>
      <c r="G28" s="43">
        <f t="shared" si="3"/>
        <v>136.68102352941176</v>
      </c>
    </row>
    <row r="29" spans="1:7">
      <c r="A29" s="104">
        <v>16</v>
      </c>
      <c r="B29" s="45">
        <v>125.25</v>
      </c>
      <c r="C29" s="47">
        <f t="shared" si="4"/>
        <v>15687.5625</v>
      </c>
      <c r="D29" s="230">
        <f t="shared" si="0"/>
        <v>256</v>
      </c>
      <c r="E29" s="230">
        <f t="shared" si="1"/>
        <v>2004</v>
      </c>
      <c r="F29" s="231">
        <f t="shared" si="2"/>
        <v>136.39516176470596</v>
      </c>
      <c r="G29" s="47">
        <f t="shared" si="3"/>
        <v>136.39516176470588</v>
      </c>
    </row>
    <row r="30" spans="1:7" ht="13" thickBot="1">
      <c r="A30" s="223">
        <f>SUM(A14:A29)</f>
        <v>136</v>
      </c>
      <c r="B30" s="233">
        <f>SUM(B14:B29)</f>
        <v>2216.6259999999997</v>
      </c>
      <c r="C30" s="234">
        <f>SUM(C14:C29)</f>
        <v>308311.19112600002</v>
      </c>
      <c r="D30" s="235">
        <f>SUM(D14:D29)</f>
        <v>1496</v>
      </c>
      <c r="E30" s="235">
        <f>SUM(E14:E29)</f>
        <v>18744.128000000001</v>
      </c>
      <c r="F30" s="202" t="s">
        <v>1310</v>
      </c>
      <c r="G30" s="202"/>
    </row>
    <row r="31" spans="1:7" ht="13" thickTop="1"/>
    <row r="33" spans="1:7" ht="13" thickBot="1">
      <c r="A33" s="209">
        <f>A30*A30</f>
        <v>18496</v>
      </c>
      <c r="B33" s="236">
        <f>B30*B30</f>
        <v>4913430.8238759991</v>
      </c>
    </row>
    <row r="34" spans="1:7" ht="13" thickTop="1">
      <c r="C34" t="s">
        <v>1312</v>
      </c>
    </row>
    <row r="37" spans="1:7">
      <c r="A37" t="s">
        <v>1311</v>
      </c>
    </row>
    <row r="38" spans="1:7" ht="13" thickBot="1"/>
    <row r="39" spans="1:7">
      <c r="D39" s="210" t="s">
        <v>489</v>
      </c>
      <c r="E39" s="211"/>
      <c r="F39" s="212">
        <f>(A29*E30)-(A30*B30)</f>
        <v>-1555.0879999999306</v>
      </c>
    </row>
    <row r="40" spans="1:7">
      <c r="D40" s="213" t="s">
        <v>490</v>
      </c>
      <c r="E40" s="214"/>
      <c r="F40" s="215">
        <f>(A29*D30)-A33</f>
        <v>5440</v>
      </c>
    </row>
    <row r="41" spans="1:7">
      <c r="D41" s="213" t="s">
        <v>491</v>
      </c>
      <c r="E41" s="214"/>
      <c r="F41" s="216">
        <f>F39/F40</f>
        <v>-0.2858617647058696</v>
      </c>
    </row>
    <row r="42" spans="1:7" ht="13" thickBot="1">
      <c r="D42" s="217" t="s">
        <v>838</v>
      </c>
      <c r="E42" s="218"/>
      <c r="F42" s="219">
        <f>(B30-(F41*A30))/A29</f>
        <v>140.96894999999986</v>
      </c>
    </row>
    <row r="44" spans="1:7" ht="13" thickBot="1">
      <c r="A44" s="218"/>
      <c r="B44" s="218"/>
      <c r="C44" s="218"/>
      <c r="D44" s="218"/>
      <c r="E44" s="218"/>
      <c r="F44" s="218"/>
      <c r="G44" s="218"/>
    </row>
    <row r="45" spans="1:7">
      <c r="A45" s="205" t="s">
        <v>756</v>
      </c>
      <c r="E45" s="222"/>
    </row>
    <row r="46" spans="1:7">
      <c r="A46" t="s">
        <v>1047</v>
      </c>
    </row>
    <row r="47" spans="1:7">
      <c r="B47" t="s">
        <v>1308</v>
      </c>
    </row>
    <row r="55" spans="1:7">
      <c r="A55" t="s">
        <v>1309</v>
      </c>
    </row>
    <row r="56" spans="1:7" ht="13" thickBot="1"/>
    <row r="57" spans="1:7">
      <c r="C57" s="210" t="s">
        <v>766</v>
      </c>
      <c r="D57" s="211"/>
      <c r="E57" s="212">
        <f>(E30-(A30*B30)/A29) * (E30-(A30*B30)/A29)</f>
        <v>9446.4792489991578</v>
      </c>
    </row>
    <row r="58" spans="1:7">
      <c r="C58" s="213" t="s">
        <v>767</v>
      </c>
      <c r="D58" s="214"/>
      <c r="E58" s="224">
        <f>(D30-(A33/A29))*(C30-(B33/A29))</f>
        <v>415399.97547502629</v>
      </c>
    </row>
    <row r="59" spans="1:7" ht="13" thickBot="1">
      <c r="C59" s="217" t="s">
        <v>614</v>
      </c>
      <c r="D59" s="218"/>
      <c r="E59" s="226">
        <f>E57/E58</f>
        <v>2.2740683213080922E-2</v>
      </c>
    </row>
    <row r="60" spans="1:7" ht="13" thickBot="1">
      <c r="A60" s="218"/>
      <c r="B60" s="218"/>
      <c r="C60" s="218"/>
      <c r="D60" s="218"/>
      <c r="E60" s="218"/>
      <c r="F60" s="218"/>
      <c r="G60" s="218"/>
    </row>
    <row r="61" spans="1:7">
      <c r="A61" s="205" t="s">
        <v>1307</v>
      </c>
    </row>
    <row r="62" spans="1:7">
      <c r="B62" s="221"/>
    </row>
    <row r="63" spans="1:7">
      <c r="B63" t="s">
        <v>1305</v>
      </c>
    </row>
    <row r="64" spans="1:7">
      <c r="B64" s="221"/>
    </row>
    <row r="69" spans="1:4">
      <c r="A69" t="s">
        <v>1306</v>
      </c>
    </row>
    <row r="70" spans="1:4" ht="13" thickBot="1"/>
    <row r="71" spans="1:4" ht="13" thickBot="1">
      <c r="B71" s="227" t="s">
        <v>832</v>
      </c>
      <c r="C71" s="228"/>
      <c r="D71" s="229">
        <f>SQRT((1/(A29*(A29-2)))*((A29*C30)-B33-((F39*F39)/((A29*D30)-A33))))</f>
        <v>9.2349525145852454</v>
      </c>
    </row>
  </sheetData>
  <mergeCells count="3">
    <mergeCell ref="B5:E5"/>
    <mergeCell ref="B10:E10"/>
    <mergeCell ref="B11:G11"/>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6887" r:id="rId3" name="Button 23">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36888" r:id="rId4" name="Button 2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36889" r:id="rId5" name="Button 2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36890" r:id="rId6" name="Button 2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enableFormatConditionsCalculation="0"/>
  <dimension ref="A1:N60"/>
  <sheetViews>
    <sheetView workbookViewId="0"/>
  </sheetViews>
  <sheetFormatPr baseColWidth="10" defaultColWidth="8.83203125" defaultRowHeight="12" x14ac:dyDescent="0"/>
  <cols>
    <col min="1" max="1" width="10.5" customWidth="1"/>
    <col min="4" max="4" width="12.5" customWidth="1"/>
    <col min="5" max="5" width="12"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802</v>
      </c>
      <c r="C3" s="21"/>
      <c r="D3" s="21"/>
      <c r="E3" s="21"/>
      <c r="F3" s="21"/>
      <c r="G3" s="21"/>
      <c r="H3" s="21"/>
      <c r="I3" s="21"/>
      <c r="J3" s="21"/>
    </row>
    <row r="4" spans="1:14">
      <c r="A4" s="19" t="s">
        <v>774</v>
      </c>
      <c r="B4" s="20" t="s">
        <v>803</v>
      </c>
      <c r="C4" s="21"/>
      <c r="D4" s="21"/>
      <c r="E4" s="21"/>
      <c r="F4" s="21"/>
      <c r="G4" s="21"/>
      <c r="H4" s="21"/>
      <c r="I4" s="21"/>
      <c r="J4" s="21"/>
    </row>
    <row r="5" spans="1:14" ht="15">
      <c r="A5" s="118" t="s">
        <v>779</v>
      </c>
      <c r="B5" s="127" t="s">
        <v>1313</v>
      </c>
      <c r="C5" s="21"/>
      <c r="D5" s="21"/>
      <c r="E5" s="21"/>
      <c r="F5" s="21"/>
      <c r="G5" s="21"/>
      <c r="H5" s="21"/>
      <c r="I5" s="21"/>
      <c r="J5" s="21"/>
    </row>
    <row r="6" spans="1:14" ht="39" customHeight="1">
      <c r="A6" s="21"/>
      <c r="B6" s="21"/>
      <c r="C6" s="21"/>
      <c r="D6" s="21"/>
      <c r="E6" s="21"/>
      <c r="F6" s="21"/>
      <c r="G6" s="21"/>
      <c r="H6" s="21"/>
      <c r="I6" s="21"/>
      <c r="J6" s="21"/>
    </row>
    <row r="7" spans="1:14">
      <c r="A7" s="19" t="s">
        <v>635</v>
      </c>
      <c r="B7" s="21" t="s">
        <v>640</v>
      </c>
      <c r="C7" s="21"/>
      <c r="D7" s="21"/>
      <c r="E7" s="21"/>
      <c r="F7" s="21"/>
      <c r="G7" s="21"/>
      <c r="H7" s="21"/>
      <c r="I7" s="21"/>
      <c r="J7" s="21"/>
    </row>
    <row r="8" spans="1:14">
      <c r="A8" s="22" t="s">
        <v>1090</v>
      </c>
      <c r="B8" s="22" t="s">
        <v>1098</v>
      </c>
      <c r="C8" s="22" t="s">
        <v>379</v>
      </c>
      <c r="D8" s="22"/>
      <c r="E8" s="22"/>
      <c r="F8" s="22"/>
      <c r="G8" s="22"/>
      <c r="H8" s="22"/>
      <c r="I8" s="22"/>
      <c r="J8" s="22"/>
    </row>
    <row r="9" spans="1:14">
      <c r="A9" s="26">
        <v>35251</v>
      </c>
      <c r="B9" s="52">
        <v>19.791699999999999</v>
      </c>
      <c r="C9" s="52"/>
      <c r="D9" s="28"/>
      <c r="E9" s="28"/>
      <c r="F9" s="28"/>
      <c r="G9" s="28"/>
      <c r="H9" s="28"/>
      <c r="I9" s="28"/>
      <c r="J9" s="54"/>
    </row>
    <row r="10" spans="1:14">
      <c r="A10" s="26">
        <v>35254</v>
      </c>
      <c r="B10" s="52">
        <v>19.666699999999999</v>
      </c>
      <c r="C10" s="52"/>
      <c r="D10" s="28"/>
      <c r="E10" s="28"/>
      <c r="F10" s="28"/>
      <c r="G10" s="28"/>
      <c r="H10" s="28"/>
      <c r="I10" s="28"/>
      <c r="J10" s="54"/>
    </row>
    <row r="11" spans="1:14">
      <c r="A11" s="27">
        <v>35255</v>
      </c>
      <c r="B11" s="55">
        <v>19.166699999999999</v>
      </c>
      <c r="C11" s="55"/>
      <c r="D11" s="29"/>
      <c r="E11" s="29"/>
      <c r="F11" s="29"/>
      <c r="G11" s="29"/>
      <c r="H11" s="29"/>
      <c r="I11" s="29"/>
      <c r="J11" s="57"/>
    </row>
    <row r="12" spans="1:14">
      <c r="A12" s="27">
        <v>35256</v>
      </c>
      <c r="B12" s="55">
        <v>19.375</v>
      </c>
      <c r="C12" s="55"/>
      <c r="D12" s="29"/>
      <c r="E12" s="29"/>
      <c r="F12" s="29"/>
      <c r="G12" s="29"/>
      <c r="H12" s="29"/>
      <c r="I12" s="29"/>
      <c r="J12" s="57"/>
    </row>
    <row r="13" spans="1:14">
      <c r="A13" s="26">
        <v>35257</v>
      </c>
      <c r="B13" s="52">
        <v>18.708300000000001</v>
      </c>
      <c r="C13" s="52"/>
      <c r="D13" s="28"/>
      <c r="E13" s="28"/>
      <c r="F13" s="28"/>
      <c r="G13" s="28"/>
      <c r="H13" s="28"/>
      <c r="I13" s="28"/>
      <c r="J13" s="54"/>
    </row>
    <row r="14" spans="1:14">
      <c r="A14" s="26">
        <v>35258</v>
      </c>
      <c r="B14" s="52">
        <v>18.958300000000001</v>
      </c>
      <c r="C14" s="52"/>
      <c r="D14" s="28"/>
      <c r="E14" s="28"/>
      <c r="F14" s="28"/>
      <c r="G14" s="28"/>
      <c r="H14" s="28"/>
      <c r="I14" s="28"/>
      <c r="J14" s="54"/>
    </row>
    <row r="15" spans="1:14">
      <c r="A15" s="27">
        <v>35261</v>
      </c>
      <c r="B15" s="55">
        <v>18.291699999999999</v>
      </c>
      <c r="C15" s="55"/>
      <c r="D15" s="29"/>
      <c r="E15" s="29"/>
      <c r="F15" s="29"/>
      <c r="G15" s="29"/>
      <c r="H15" s="29"/>
      <c r="I15" s="29"/>
      <c r="J15" s="57"/>
    </row>
    <row r="16" spans="1:14">
      <c r="A16" s="27">
        <v>35262</v>
      </c>
      <c r="B16" s="55">
        <v>18.666699999999999</v>
      </c>
      <c r="C16" s="55"/>
      <c r="D16" s="29"/>
      <c r="E16" s="29"/>
      <c r="F16" s="29"/>
      <c r="G16" s="29"/>
      <c r="H16" s="29"/>
      <c r="I16" s="29"/>
      <c r="J16" s="57"/>
    </row>
    <row r="17" spans="1:10">
      <c r="A17" s="26">
        <v>35263</v>
      </c>
      <c r="B17" s="52">
        <v>18.666699999999999</v>
      </c>
      <c r="C17" s="52"/>
      <c r="D17" s="28"/>
      <c r="E17" s="28"/>
      <c r="F17" s="28"/>
      <c r="G17" s="28"/>
      <c r="H17" s="28"/>
      <c r="I17" s="28"/>
      <c r="J17" s="54"/>
    </row>
    <row r="18" spans="1:10">
      <c r="A18" s="26">
        <v>35264</v>
      </c>
      <c r="B18" s="52">
        <v>19.083300000000001</v>
      </c>
      <c r="C18" s="52"/>
      <c r="D18" s="28"/>
      <c r="E18" s="28"/>
      <c r="F18" s="28"/>
      <c r="G18" s="28"/>
      <c r="H18" s="28"/>
      <c r="I18" s="28"/>
      <c r="J18" s="54"/>
    </row>
    <row r="19" spans="1:10">
      <c r="A19" s="27">
        <v>35265</v>
      </c>
      <c r="B19" s="55">
        <v>19.125</v>
      </c>
      <c r="C19" s="55"/>
      <c r="D19" s="29"/>
      <c r="E19" s="29"/>
      <c r="F19" s="29"/>
      <c r="G19" s="29"/>
      <c r="H19" s="29"/>
      <c r="I19" s="29"/>
      <c r="J19" s="57"/>
    </row>
    <row r="20" spans="1:10">
      <c r="A20" s="27">
        <v>35268</v>
      </c>
      <c r="B20" s="55">
        <v>18.666699999999999</v>
      </c>
      <c r="C20" s="55"/>
      <c r="D20" s="29"/>
      <c r="E20" s="29"/>
      <c r="F20" s="29"/>
      <c r="G20" s="29"/>
      <c r="H20" s="29"/>
      <c r="I20" s="29"/>
      <c r="J20" s="57"/>
    </row>
    <row r="21" spans="1:10">
      <c r="A21" s="26">
        <v>35269</v>
      </c>
      <c r="B21" s="52">
        <v>18.5</v>
      </c>
      <c r="C21" s="52"/>
      <c r="D21" s="28"/>
      <c r="E21" s="28"/>
      <c r="F21" s="28"/>
      <c r="G21" s="28"/>
      <c r="H21" s="28"/>
      <c r="I21" s="28"/>
      <c r="J21" s="54"/>
    </row>
    <row r="22" spans="1:10">
      <c r="A22" s="26">
        <v>35270</v>
      </c>
      <c r="B22" s="52">
        <v>18.125</v>
      </c>
      <c r="C22" s="52">
        <f>LINEST(B9:B22)</f>
        <v>-8.6539780219780177E-2</v>
      </c>
      <c r="D22" s="28"/>
      <c r="E22" s="28"/>
      <c r="F22" s="28"/>
      <c r="G22" s="28"/>
      <c r="H22" s="28"/>
      <c r="I22" s="28"/>
      <c r="J22" s="54"/>
    </row>
    <row r="23" spans="1:10">
      <c r="A23" s="27">
        <v>35271</v>
      </c>
      <c r="B23" s="55">
        <v>18.125</v>
      </c>
      <c r="C23" s="55">
        <f t="shared" ref="C23:C33" si="0">LINEST(B10:B23)</f>
        <v>-8.0129010989010971E-2</v>
      </c>
      <c r="D23" s="29"/>
      <c r="E23" s="29"/>
      <c r="F23" s="29"/>
      <c r="G23" s="29"/>
      <c r="H23" s="29"/>
      <c r="I23" s="29"/>
      <c r="J23" s="57"/>
    </row>
    <row r="24" spans="1:10">
      <c r="A24" s="27">
        <v>35272</v>
      </c>
      <c r="B24" s="55">
        <v>18.041699999999999</v>
      </c>
      <c r="C24" s="55">
        <f t="shared" si="0"/>
        <v>-7.2892967032967049E-2</v>
      </c>
      <c r="D24" s="29"/>
      <c r="E24" s="29"/>
      <c r="F24" s="29"/>
      <c r="G24" s="29"/>
      <c r="H24" s="29"/>
      <c r="I24" s="29"/>
      <c r="J24" s="57"/>
    </row>
    <row r="25" spans="1:10">
      <c r="A25" s="26">
        <v>35275</v>
      </c>
      <c r="B25" s="52">
        <v>17.791699999999999</v>
      </c>
      <c r="C25" s="52">
        <f t="shared" si="0"/>
        <v>-8.2140439560439663E-2</v>
      </c>
      <c r="D25" s="28"/>
      <c r="E25" s="28"/>
      <c r="F25" s="28"/>
      <c r="G25" s="28"/>
      <c r="H25" s="28"/>
      <c r="I25" s="28"/>
      <c r="J25" s="54"/>
    </row>
    <row r="26" spans="1:10">
      <c r="A26" s="26">
        <v>35276</v>
      </c>
      <c r="B26" s="52">
        <v>18.416699999999999</v>
      </c>
      <c r="C26" s="52">
        <f t="shared" si="0"/>
        <v>-6.0619780219780331E-2</v>
      </c>
      <c r="D26" s="28"/>
      <c r="E26" s="28"/>
      <c r="F26" s="28"/>
      <c r="G26" s="28"/>
      <c r="H26" s="28"/>
      <c r="I26" s="28"/>
      <c r="J26" s="54"/>
    </row>
    <row r="27" spans="1:10">
      <c r="A27" s="27">
        <v>35277</v>
      </c>
      <c r="B27" s="55">
        <v>18.541699999999999</v>
      </c>
      <c r="C27" s="55">
        <f t="shared" si="0"/>
        <v>-5.3294505494505588E-2</v>
      </c>
      <c r="D27" s="29"/>
      <c r="E27" s="29"/>
      <c r="F27" s="29"/>
      <c r="G27" s="29"/>
      <c r="H27" s="29"/>
      <c r="I27" s="29"/>
      <c r="J27" s="57"/>
    </row>
    <row r="28" spans="1:10">
      <c r="A28" s="27">
        <v>35278</v>
      </c>
      <c r="B28" s="55">
        <v>19.125</v>
      </c>
      <c r="C28" s="55">
        <f t="shared" si="0"/>
        <v>-2.0329450549450557E-2</v>
      </c>
      <c r="D28" s="29"/>
      <c r="E28" s="29"/>
      <c r="F28" s="29"/>
      <c r="G28" s="29"/>
      <c r="H28" s="29"/>
      <c r="I28" s="29"/>
      <c r="J28" s="57"/>
    </row>
    <row r="29" spans="1:10">
      <c r="A29" s="26">
        <v>35279</v>
      </c>
      <c r="B29" s="52">
        <v>19.333300000000001</v>
      </c>
      <c r="C29" s="52">
        <f t="shared" si="0"/>
        <v>-4.1215384615384369E-3</v>
      </c>
      <c r="D29" s="28"/>
      <c r="E29" s="28"/>
      <c r="F29" s="28"/>
      <c r="G29" s="28"/>
      <c r="H29" s="28"/>
      <c r="I29" s="28"/>
      <c r="J29" s="54"/>
    </row>
    <row r="30" spans="1:10">
      <c r="A30" s="26">
        <v>35282</v>
      </c>
      <c r="B30" s="52">
        <v>19.458300000000001</v>
      </c>
      <c r="C30" s="52">
        <f t="shared" si="0"/>
        <v>2.3441978021978067E-2</v>
      </c>
      <c r="D30" s="28"/>
      <c r="E30" s="28"/>
      <c r="F30" s="28"/>
      <c r="G30" s="28"/>
      <c r="H30" s="28"/>
      <c r="I30" s="28"/>
      <c r="J30" s="54"/>
    </row>
    <row r="31" spans="1:10">
      <c r="A31" s="27">
        <v>35283</v>
      </c>
      <c r="B31" s="55">
        <v>19.666699999999999</v>
      </c>
      <c r="C31" s="55">
        <f t="shared" si="0"/>
        <v>5.3480219780219773E-2</v>
      </c>
      <c r="D31" s="29"/>
      <c r="E31" s="29"/>
      <c r="F31" s="29"/>
      <c r="G31" s="29"/>
      <c r="H31" s="29"/>
      <c r="I31" s="29"/>
      <c r="J31" s="57"/>
    </row>
    <row r="32" spans="1:10">
      <c r="A32" s="27">
        <v>35284</v>
      </c>
      <c r="B32" s="55">
        <v>19.458300000000001</v>
      </c>
      <c r="C32" s="55">
        <f t="shared" si="0"/>
        <v>8.6902637362637453E-2</v>
      </c>
      <c r="D32" s="29"/>
      <c r="E32" s="29"/>
      <c r="F32" s="29"/>
      <c r="G32" s="29"/>
      <c r="H32" s="29"/>
      <c r="I32" s="29"/>
      <c r="J32" s="57"/>
    </row>
    <row r="33" spans="1:10">
      <c r="A33" s="26">
        <v>35285</v>
      </c>
      <c r="B33" s="52">
        <v>19.166699999999999</v>
      </c>
      <c r="C33" s="52">
        <f t="shared" si="0"/>
        <v>0.11172000000000007</v>
      </c>
      <c r="D33" s="28"/>
      <c r="E33" s="72"/>
      <c r="F33" s="28"/>
      <c r="G33" s="28"/>
      <c r="H33" s="28"/>
      <c r="I33" s="28"/>
      <c r="J33" s="54"/>
    </row>
    <row r="34" spans="1:10">
      <c r="E34" s="2"/>
    </row>
    <row r="35" spans="1:10">
      <c r="A35" s="205" t="s">
        <v>1333</v>
      </c>
      <c r="E35" s="2"/>
    </row>
    <row r="36" spans="1:10">
      <c r="E36" s="2"/>
    </row>
    <row r="37" spans="1:10">
      <c r="A37" t="s">
        <v>7</v>
      </c>
      <c r="E37" s="2"/>
    </row>
    <row r="38" spans="1:10">
      <c r="E38" s="2"/>
    </row>
    <row r="39" spans="1:10">
      <c r="A39" t="s">
        <v>757</v>
      </c>
      <c r="E39" s="2"/>
    </row>
    <row r="40" spans="1:10">
      <c r="A40" t="s">
        <v>237</v>
      </c>
      <c r="E40" s="2"/>
    </row>
    <row r="41" spans="1:10">
      <c r="E41" s="2"/>
    </row>
    <row r="42" spans="1:10">
      <c r="A42" t="s">
        <v>808</v>
      </c>
      <c r="B42" t="s">
        <v>238</v>
      </c>
      <c r="E42" s="2"/>
    </row>
    <row r="43" spans="1:10">
      <c r="E43" s="2"/>
    </row>
    <row r="44" spans="1:10">
      <c r="E44" s="2"/>
    </row>
    <row r="45" spans="1:10">
      <c r="E45" s="2"/>
    </row>
    <row r="46" spans="1:10">
      <c r="E46" s="2"/>
    </row>
    <row r="47" spans="1:10">
      <c r="E47" s="2"/>
    </row>
    <row r="48" spans="1:10">
      <c r="E48" s="2"/>
    </row>
    <row r="49" spans="5:5">
      <c r="E49" s="2"/>
    </row>
    <row r="50" spans="5:5">
      <c r="E50" s="2"/>
    </row>
    <row r="51" spans="5:5">
      <c r="E51" s="2"/>
    </row>
    <row r="52" spans="5:5">
      <c r="E52" s="2"/>
    </row>
    <row r="53" spans="5:5">
      <c r="E53" s="2"/>
    </row>
    <row r="54" spans="5:5">
      <c r="E54" s="2"/>
    </row>
    <row r="55" spans="5:5">
      <c r="E55" s="2"/>
    </row>
    <row r="56" spans="5:5">
      <c r="E56" s="2"/>
    </row>
    <row r="57" spans="5:5">
      <c r="E57" s="2"/>
    </row>
    <row r="58" spans="5:5">
      <c r="E58" s="2"/>
    </row>
    <row r="59" spans="5:5">
      <c r="E59" s="2"/>
    </row>
    <row r="60" spans="5:5">
      <c r="E60" s="2"/>
    </row>
  </sheetData>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7891"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37892"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37893"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37894"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enableFormatConditionsCalculation="0"/>
  <dimension ref="A1:J83"/>
  <sheetViews>
    <sheetView workbookViewId="0"/>
  </sheetViews>
  <sheetFormatPr baseColWidth="10" defaultColWidth="8.83203125" defaultRowHeight="12" x14ac:dyDescent="0"/>
  <cols>
    <col min="1" max="1" width="11.1640625" customWidth="1"/>
    <col min="4" max="4" width="11.33203125" customWidth="1"/>
    <col min="5" max="5" width="17.5" customWidth="1"/>
    <col min="6" max="6" width="13.5" customWidth="1"/>
  </cols>
  <sheetData>
    <row r="1" spans="1:10">
      <c r="A1" s="21"/>
      <c r="B1" s="21"/>
      <c r="C1" s="21" t="s">
        <v>846</v>
      </c>
      <c r="D1" s="21"/>
      <c r="E1" s="21"/>
      <c r="F1" s="21"/>
      <c r="G1" s="21"/>
      <c r="H1" s="21"/>
      <c r="I1" s="21"/>
      <c r="J1" s="21"/>
    </row>
    <row r="2" spans="1:10" ht="21" customHeight="1">
      <c r="A2" s="21"/>
      <c r="B2" s="21"/>
      <c r="C2" s="21"/>
      <c r="D2" s="374"/>
      <c r="E2" s="374"/>
      <c r="F2" s="374"/>
      <c r="G2" s="374"/>
      <c r="H2" s="374"/>
      <c r="I2" s="374"/>
      <c r="J2" s="374"/>
    </row>
    <row r="3" spans="1:10">
      <c r="A3" s="19" t="s">
        <v>1045</v>
      </c>
      <c r="B3" s="20" t="s">
        <v>770</v>
      </c>
      <c r="C3" s="21"/>
      <c r="D3" s="21"/>
      <c r="E3" s="21"/>
      <c r="F3" s="21"/>
      <c r="G3" s="21"/>
      <c r="H3" s="21"/>
      <c r="I3" s="21"/>
      <c r="J3" s="21"/>
    </row>
    <row r="4" spans="1:10">
      <c r="A4" s="19" t="s">
        <v>774</v>
      </c>
      <c r="B4" s="20" t="s">
        <v>804</v>
      </c>
      <c r="C4" s="21"/>
      <c r="D4" s="21"/>
      <c r="E4" s="21"/>
      <c r="F4" s="21"/>
      <c r="G4" s="21"/>
      <c r="H4" s="21"/>
      <c r="I4" s="21"/>
      <c r="J4" s="21"/>
    </row>
    <row r="5" spans="1:10" ht="45.75" customHeight="1">
      <c r="A5" s="118" t="s">
        <v>779</v>
      </c>
      <c r="B5" s="446" t="s">
        <v>1337</v>
      </c>
      <c r="C5" s="446"/>
      <c r="D5" s="446"/>
      <c r="E5" s="446"/>
      <c r="F5" s="446"/>
      <c r="G5" s="446"/>
      <c r="H5" s="446"/>
      <c r="I5" s="446"/>
      <c r="J5" s="446"/>
    </row>
    <row r="6" spans="1:10" ht="51" customHeight="1">
      <c r="A6" s="19"/>
      <c r="B6" s="446" t="s">
        <v>1335</v>
      </c>
      <c r="C6" s="446"/>
      <c r="D6" s="446"/>
      <c r="E6" s="446"/>
      <c r="F6" s="446"/>
      <c r="G6" s="446"/>
      <c r="H6" s="446"/>
      <c r="I6" s="446"/>
      <c r="J6" s="446"/>
    </row>
    <row r="7" spans="1:10" ht="10.5" customHeight="1">
      <c r="A7" s="19"/>
      <c r="B7" s="127"/>
      <c r="C7" s="21"/>
      <c r="D7" s="21"/>
      <c r="E7" s="21"/>
      <c r="F7" s="21"/>
      <c r="G7" s="21"/>
      <c r="H7" s="21"/>
      <c r="I7" s="21"/>
      <c r="J7" s="21"/>
    </row>
    <row r="8" spans="1:10" ht="15">
      <c r="A8" s="19"/>
      <c r="B8" s="21"/>
      <c r="C8" s="21"/>
      <c r="D8" s="21"/>
      <c r="E8" s="149" t="s">
        <v>1334</v>
      </c>
      <c r="F8" s="21"/>
      <c r="G8" s="21"/>
      <c r="H8" s="21"/>
      <c r="I8" s="21"/>
      <c r="J8" s="21"/>
    </row>
    <row r="9" spans="1:10" ht="131.25" customHeight="1">
      <c r="A9" s="19"/>
      <c r="B9" s="446" t="s">
        <v>1336</v>
      </c>
      <c r="C9" s="446"/>
      <c r="D9" s="446"/>
      <c r="E9" s="446"/>
      <c r="F9" s="446"/>
      <c r="G9" s="446"/>
      <c r="H9" s="446"/>
      <c r="I9" s="446"/>
      <c r="J9" s="446"/>
    </row>
    <row r="10" spans="1:10">
      <c r="A10" s="19"/>
      <c r="B10" s="20"/>
      <c r="C10" s="21"/>
      <c r="D10" s="21"/>
      <c r="E10" s="21"/>
      <c r="F10" s="21"/>
      <c r="G10" s="21"/>
      <c r="H10" s="21"/>
      <c r="I10" s="21"/>
      <c r="J10" s="21"/>
    </row>
    <row r="11" spans="1:10" ht="37.5" customHeight="1">
      <c r="A11" s="22" t="s">
        <v>1090</v>
      </c>
      <c r="B11" s="22" t="s">
        <v>1098</v>
      </c>
      <c r="C11" s="31" t="s">
        <v>875</v>
      </c>
      <c r="D11" s="31" t="s">
        <v>876</v>
      </c>
      <c r="E11" s="31" t="s">
        <v>85</v>
      </c>
      <c r="F11" s="31" t="s">
        <v>83</v>
      </c>
      <c r="G11" s="22"/>
      <c r="H11" s="22"/>
      <c r="I11" s="22"/>
      <c r="J11" s="22"/>
    </row>
    <row r="12" spans="1:10">
      <c r="A12" s="26">
        <v>34183</v>
      </c>
      <c r="B12" s="41">
        <v>63.75</v>
      </c>
      <c r="C12" s="350">
        <f>B12</f>
        <v>63.75</v>
      </c>
      <c r="D12" s="350">
        <f>B12</f>
        <v>63.75</v>
      </c>
      <c r="E12" s="86"/>
      <c r="F12" s="72"/>
      <c r="G12" s="28"/>
      <c r="H12" s="28"/>
      <c r="I12" s="28"/>
      <c r="J12" s="54"/>
    </row>
    <row r="13" spans="1:10">
      <c r="A13" s="26">
        <v>34184</v>
      </c>
      <c r="B13" s="41">
        <v>63.625</v>
      </c>
      <c r="C13" s="350">
        <f>B13*(0.15) + C12*(0.85)</f>
        <v>63.731250000000003</v>
      </c>
      <c r="D13" s="350">
        <f>B13*(0.075) + D12*(0.925)</f>
        <v>63.740625000000001</v>
      </c>
      <c r="E13" s="86"/>
      <c r="F13" s="72"/>
      <c r="G13" s="28"/>
      <c r="H13" s="28"/>
      <c r="I13" s="28"/>
      <c r="J13" s="54"/>
    </row>
    <row r="14" spans="1:10">
      <c r="A14" s="27">
        <v>34185</v>
      </c>
      <c r="B14" s="45">
        <v>63</v>
      </c>
      <c r="C14" s="351">
        <f t="shared" ref="C14:C66" si="0">B14*(0.15) + C13*(0.85)</f>
        <v>63.621562499999996</v>
      </c>
      <c r="D14" s="351">
        <f t="shared" ref="D14:D66" si="1">B14*(0.075) + D13*(0.925)</f>
        <v>63.685078125000004</v>
      </c>
      <c r="E14" s="87"/>
      <c r="F14" s="73"/>
      <c r="G14" s="29"/>
      <c r="H14" s="29"/>
      <c r="I14" s="29"/>
      <c r="J14" s="57"/>
    </row>
    <row r="15" spans="1:10">
      <c r="A15" s="27">
        <v>34186</v>
      </c>
      <c r="B15" s="45">
        <v>62.75</v>
      </c>
      <c r="C15" s="351">
        <f t="shared" si="0"/>
        <v>63.490828125</v>
      </c>
      <c r="D15" s="351">
        <f t="shared" si="1"/>
        <v>63.614947265625005</v>
      </c>
      <c r="E15" s="87"/>
      <c r="F15" s="73"/>
      <c r="G15" s="29"/>
      <c r="H15" s="29"/>
      <c r="I15" s="29"/>
      <c r="J15" s="57"/>
    </row>
    <row r="16" spans="1:10">
      <c r="A16" s="26">
        <v>34187</v>
      </c>
      <c r="B16" s="41">
        <v>63.25</v>
      </c>
      <c r="C16" s="350">
        <f t="shared" si="0"/>
        <v>63.454703906249996</v>
      </c>
      <c r="D16" s="350">
        <f t="shared" si="1"/>
        <v>63.587576220703134</v>
      </c>
      <c r="E16" s="86"/>
      <c r="F16" s="72"/>
      <c r="G16" s="28"/>
      <c r="H16" s="28"/>
      <c r="I16" s="28"/>
      <c r="J16" s="54"/>
    </row>
    <row r="17" spans="1:10">
      <c r="A17" s="26">
        <v>34190</v>
      </c>
      <c r="B17" s="41">
        <v>65.375</v>
      </c>
      <c r="C17" s="350">
        <f t="shared" si="0"/>
        <v>63.742748320312494</v>
      </c>
      <c r="D17" s="350">
        <f t="shared" si="1"/>
        <v>63.721633004150405</v>
      </c>
      <c r="E17" s="86"/>
      <c r="F17" s="72"/>
      <c r="G17" s="28"/>
      <c r="H17" s="28"/>
      <c r="I17" s="28"/>
      <c r="J17" s="54"/>
    </row>
    <row r="18" spans="1:10">
      <c r="A18" s="27">
        <v>34191</v>
      </c>
      <c r="B18" s="45">
        <v>66</v>
      </c>
      <c r="C18" s="351">
        <f t="shared" si="0"/>
        <v>64.081336072265614</v>
      </c>
      <c r="D18" s="351">
        <f t="shared" si="1"/>
        <v>63.892510528839132</v>
      </c>
      <c r="E18" s="87"/>
      <c r="F18" s="73"/>
      <c r="G18" s="29"/>
      <c r="H18" s="29"/>
      <c r="I18" s="29"/>
      <c r="J18" s="57"/>
    </row>
    <row r="19" spans="1:10">
      <c r="A19" s="27">
        <v>34192</v>
      </c>
      <c r="B19" s="45">
        <v>65</v>
      </c>
      <c r="C19" s="351">
        <f t="shared" si="0"/>
        <v>64.219135661425767</v>
      </c>
      <c r="D19" s="351">
        <f t="shared" si="1"/>
        <v>63.975572239176202</v>
      </c>
      <c r="E19" s="87"/>
      <c r="F19" s="73"/>
      <c r="G19" s="29"/>
      <c r="H19" s="29"/>
      <c r="I19" s="29"/>
      <c r="J19" s="57"/>
    </row>
    <row r="20" spans="1:10">
      <c r="A20" s="26">
        <v>34193</v>
      </c>
      <c r="B20" s="41">
        <v>64.875</v>
      </c>
      <c r="C20" s="350">
        <f t="shared" si="0"/>
        <v>64.317515312211896</v>
      </c>
      <c r="D20" s="350">
        <f t="shared" si="1"/>
        <v>64.043029321237981</v>
      </c>
      <c r="E20" s="86"/>
      <c r="F20" s="72"/>
      <c r="G20" s="28"/>
      <c r="H20" s="28"/>
      <c r="I20" s="28"/>
      <c r="J20" s="54"/>
    </row>
    <row r="21" spans="1:10">
      <c r="A21" s="26">
        <v>34194</v>
      </c>
      <c r="B21" s="41">
        <v>64.75</v>
      </c>
      <c r="C21" s="350">
        <f t="shared" si="0"/>
        <v>64.382388015380116</v>
      </c>
      <c r="D21" s="350">
        <f t="shared" si="1"/>
        <v>64.096052122145139</v>
      </c>
      <c r="E21" s="86"/>
      <c r="F21" s="72"/>
      <c r="G21" s="28"/>
      <c r="H21" s="28"/>
      <c r="I21" s="28"/>
      <c r="J21" s="54"/>
    </row>
    <row r="22" spans="1:10">
      <c r="A22" s="27">
        <v>34197</v>
      </c>
      <c r="B22" s="45">
        <v>64.375</v>
      </c>
      <c r="C22" s="351">
        <f t="shared" si="0"/>
        <v>64.381279813073093</v>
      </c>
      <c r="D22" s="351">
        <f t="shared" si="1"/>
        <v>64.116973212984249</v>
      </c>
      <c r="E22" s="87"/>
      <c r="F22" s="73"/>
      <c r="G22" s="29"/>
      <c r="H22" s="29"/>
      <c r="I22" s="29"/>
      <c r="J22" s="57"/>
    </row>
    <row r="23" spans="1:10">
      <c r="A23" s="27">
        <v>34198</v>
      </c>
      <c r="B23" s="45">
        <v>64.375</v>
      </c>
      <c r="C23" s="87">
        <f t="shared" si="0"/>
        <v>64.380337841112123</v>
      </c>
      <c r="D23" s="351">
        <f t="shared" si="1"/>
        <v>64.136325222010441</v>
      </c>
      <c r="E23" s="87"/>
      <c r="F23" s="73"/>
      <c r="G23" s="29"/>
      <c r="H23" s="29"/>
      <c r="I23" s="29"/>
      <c r="J23" s="57"/>
    </row>
    <row r="24" spans="1:10">
      <c r="A24" s="26">
        <v>34199</v>
      </c>
      <c r="B24" s="41">
        <v>64.625</v>
      </c>
      <c r="C24" s="86">
        <f t="shared" si="0"/>
        <v>64.417037164945299</v>
      </c>
      <c r="D24" s="350">
        <f t="shared" si="1"/>
        <v>64.172975830359661</v>
      </c>
      <c r="E24" s="86"/>
      <c r="F24" s="72"/>
      <c r="G24" s="28"/>
      <c r="H24" s="28"/>
      <c r="I24" s="28"/>
      <c r="J24" s="54"/>
    </row>
    <row r="25" spans="1:10">
      <c r="A25" s="26">
        <v>34200</v>
      </c>
      <c r="B25" s="41">
        <v>64.375</v>
      </c>
      <c r="C25" s="86">
        <f t="shared" si="0"/>
        <v>64.410731590203511</v>
      </c>
      <c r="D25" s="350">
        <f t="shared" si="1"/>
        <v>64.18812764308268</v>
      </c>
      <c r="E25" s="86"/>
      <c r="F25" s="72"/>
      <c r="G25" s="28"/>
      <c r="H25" s="28"/>
      <c r="I25" s="28"/>
      <c r="J25" s="54"/>
    </row>
    <row r="26" spans="1:10">
      <c r="A26" s="27">
        <v>34201</v>
      </c>
      <c r="B26" s="45">
        <v>64.5</v>
      </c>
      <c r="C26" s="87">
        <f t="shared" si="0"/>
        <v>64.424121851672979</v>
      </c>
      <c r="D26" s="351">
        <f t="shared" si="1"/>
        <v>64.211518069851479</v>
      </c>
      <c r="E26" s="87"/>
      <c r="F26" s="73"/>
      <c r="G26" s="29"/>
      <c r="H26" s="29"/>
      <c r="I26" s="29"/>
      <c r="J26" s="57"/>
    </row>
    <row r="27" spans="1:10">
      <c r="A27" s="27">
        <v>34204</v>
      </c>
      <c r="B27" s="45">
        <v>65.25</v>
      </c>
      <c r="C27" s="87">
        <f t="shared" si="0"/>
        <v>64.548003573922031</v>
      </c>
      <c r="D27" s="351">
        <f t="shared" si="1"/>
        <v>64.289404214612617</v>
      </c>
      <c r="E27" s="87"/>
      <c r="F27" s="73"/>
      <c r="G27" s="29"/>
      <c r="H27" s="29"/>
      <c r="I27" s="29"/>
      <c r="J27" s="57"/>
    </row>
    <row r="28" spans="1:10">
      <c r="A28" s="26">
        <v>34205</v>
      </c>
      <c r="B28" s="41">
        <v>67.875</v>
      </c>
      <c r="C28" s="86">
        <f t="shared" si="0"/>
        <v>65.04705303783372</v>
      </c>
      <c r="D28" s="350">
        <f t="shared" si="1"/>
        <v>64.558323898516676</v>
      </c>
      <c r="E28" s="86"/>
      <c r="F28" s="72"/>
      <c r="G28" s="28"/>
      <c r="H28" s="28"/>
      <c r="I28" s="28"/>
      <c r="J28" s="54"/>
    </row>
    <row r="29" spans="1:10">
      <c r="A29" s="26">
        <v>34206</v>
      </c>
      <c r="B29" s="41">
        <v>68</v>
      </c>
      <c r="C29" s="86">
        <f t="shared" si="0"/>
        <v>65.489995082158657</v>
      </c>
      <c r="D29" s="350">
        <f t="shared" si="1"/>
        <v>64.816449606127932</v>
      </c>
      <c r="E29" s="86"/>
      <c r="F29" s="72"/>
      <c r="G29" s="28"/>
      <c r="H29" s="28"/>
      <c r="I29" s="28"/>
      <c r="J29" s="54"/>
    </row>
    <row r="30" spans="1:10">
      <c r="A30" s="27">
        <v>34207</v>
      </c>
      <c r="B30" s="45">
        <v>66.875</v>
      </c>
      <c r="C30" s="87">
        <f t="shared" si="0"/>
        <v>65.697745819834864</v>
      </c>
      <c r="D30" s="351">
        <f t="shared" si="1"/>
        <v>64.970840885668338</v>
      </c>
      <c r="E30" s="87"/>
      <c r="F30" s="73"/>
      <c r="G30" s="29"/>
      <c r="H30" s="29"/>
      <c r="I30" s="29"/>
      <c r="J30" s="57"/>
    </row>
    <row r="31" spans="1:10">
      <c r="A31" s="27">
        <v>34208</v>
      </c>
      <c r="B31" s="45">
        <v>66.25</v>
      </c>
      <c r="C31" s="87">
        <f t="shared" si="0"/>
        <v>65.780583946859636</v>
      </c>
      <c r="D31" s="351">
        <f t="shared" si="1"/>
        <v>65.066777819243214</v>
      </c>
      <c r="E31" s="87"/>
      <c r="F31" s="73"/>
      <c r="G31" s="29"/>
      <c r="H31" s="29"/>
      <c r="I31" s="29"/>
      <c r="J31" s="57"/>
    </row>
    <row r="32" spans="1:10">
      <c r="A32" s="26">
        <v>34211</v>
      </c>
      <c r="B32" s="41">
        <v>65.875</v>
      </c>
      <c r="C32" s="86">
        <f t="shared" si="0"/>
        <v>65.794746354830693</v>
      </c>
      <c r="D32" s="350">
        <f t="shared" si="1"/>
        <v>65.127394482799971</v>
      </c>
      <c r="E32" s="86"/>
      <c r="F32" s="72"/>
      <c r="G32" s="28"/>
      <c r="H32" s="28"/>
      <c r="I32" s="28"/>
      <c r="J32" s="54"/>
    </row>
    <row r="33" spans="1:10">
      <c r="A33" s="26">
        <v>34212</v>
      </c>
      <c r="B33" s="41">
        <v>66</v>
      </c>
      <c r="C33" s="86">
        <f t="shared" si="0"/>
        <v>65.825534401606092</v>
      </c>
      <c r="D33" s="350">
        <f t="shared" si="1"/>
        <v>65.192839896589973</v>
      </c>
      <c r="E33" s="86"/>
      <c r="F33" s="72"/>
      <c r="G33" s="28"/>
      <c r="H33" s="28"/>
      <c r="I33" s="28"/>
      <c r="J33" s="54"/>
    </row>
    <row r="34" spans="1:10">
      <c r="A34" s="27">
        <v>34213</v>
      </c>
      <c r="B34" s="45">
        <v>65.875</v>
      </c>
      <c r="C34" s="87">
        <f t="shared" si="0"/>
        <v>65.832954241365172</v>
      </c>
      <c r="D34" s="351">
        <f t="shared" si="1"/>
        <v>65.244001904345723</v>
      </c>
      <c r="E34" s="87"/>
      <c r="F34" s="73"/>
      <c r="G34" s="29"/>
      <c r="H34" s="29"/>
      <c r="I34" s="29"/>
      <c r="J34" s="57"/>
    </row>
    <row r="35" spans="1:10">
      <c r="A35" s="27">
        <v>34214</v>
      </c>
      <c r="B35" s="45">
        <v>64.75</v>
      </c>
      <c r="C35" s="87">
        <f t="shared" si="0"/>
        <v>65.670511105160401</v>
      </c>
      <c r="D35" s="351">
        <f t="shared" si="1"/>
        <v>65.20695176151979</v>
      </c>
      <c r="E35" s="87"/>
      <c r="F35" s="73"/>
      <c r="G35" s="29"/>
      <c r="H35" s="29"/>
      <c r="I35" s="29"/>
      <c r="J35" s="57"/>
    </row>
    <row r="36" spans="1:10">
      <c r="A36" s="26">
        <v>34215</v>
      </c>
      <c r="B36" s="41">
        <v>63</v>
      </c>
      <c r="C36" s="86">
        <f t="shared" si="0"/>
        <v>65.269934439386333</v>
      </c>
      <c r="D36" s="350">
        <f t="shared" si="1"/>
        <v>65.04143037940581</v>
      </c>
      <c r="E36" s="86"/>
      <c r="F36" s="86"/>
      <c r="G36" s="28"/>
      <c r="H36" s="28"/>
      <c r="I36" s="28"/>
      <c r="J36" s="54"/>
    </row>
    <row r="37" spans="1:10">
      <c r="A37" s="26">
        <v>34219</v>
      </c>
      <c r="B37" s="41">
        <v>63.375</v>
      </c>
      <c r="C37" s="86">
        <f t="shared" si="0"/>
        <v>64.985694273478373</v>
      </c>
      <c r="D37" s="86">
        <f t="shared" si="1"/>
        <v>64.916448100950376</v>
      </c>
      <c r="E37" s="143">
        <f>C37-D37</f>
        <v>6.9246172527996919E-2</v>
      </c>
      <c r="F37" s="160">
        <f>E37</f>
        <v>6.9246172527996919E-2</v>
      </c>
      <c r="G37" s="28"/>
      <c r="H37" s="28"/>
      <c r="I37" s="28"/>
      <c r="J37" s="54"/>
    </row>
    <row r="38" spans="1:10">
      <c r="A38" s="27">
        <v>34220</v>
      </c>
      <c r="B38" s="45">
        <v>63.375</v>
      </c>
      <c r="C38" s="87">
        <f t="shared" si="0"/>
        <v>64.74409013245662</v>
      </c>
      <c r="D38" s="87">
        <f t="shared" si="1"/>
        <v>64.800839493379101</v>
      </c>
      <c r="E38" s="144">
        <f t="shared" ref="E38:E66" si="2">C38-D38</f>
        <v>-5.6749360922481173E-2</v>
      </c>
      <c r="F38" s="339">
        <f>E38*(2/(9+1)) + F37*(1-(2/(9+1)))</f>
        <v>4.40470658379013E-2</v>
      </c>
      <c r="G38" s="29"/>
      <c r="H38" s="29"/>
      <c r="I38" s="29"/>
      <c r="J38" s="57"/>
    </row>
    <row r="39" spans="1:10">
      <c r="A39" s="27">
        <v>34221</v>
      </c>
      <c r="B39" s="45">
        <v>63.375</v>
      </c>
      <c r="C39" s="87">
        <f t="shared" si="0"/>
        <v>64.538726612588121</v>
      </c>
      <c r="D39" s="87">
        <f t="shared" si="1"/>
        <v>64.693901531375673</v>
      </c>
      <c r="E39" s="144">
        <f t="shared" si="2"/>
        <v>-0.15517491878755152</v>
      </c>
      <c r="F39" s="339">
        <f t="shared" ref="F39:F66" si="3">E39*(2/(9+1)) + F38*(1-(2/(9+1)))</f>
        <v>4.2026689128107364E-3</v>
      </c>
      <c r="G39" s="29"/>
      <c r="H39" s="29"/>
      <c r="I39" s="29"/>
      <c r="J39" s="57"/>
    </row>
    <row r="40" spans="1:10">
      <c r="A40" s="26">
        <v>34222</v>
      </c>
      <c r="B40" s="41">
        <v>63.875</v>
      </c>
      <c r="C40" s="86">
        <f t="shared" si="0"/>
        <v>64.439167620699905</v>
      </c>
      <c r="D40" s="86">
        <f t="shared" si="1"/>
        <v>64.632483916522503</v>
      </c>
      <c r="E40" s="143">
        <f t="shared" si="2"/>
        <v>-0.19331629582259779</v>
      </c>
      <c r="F40" s="160">
        <f t="shared" si="3"/>
        <v>-3.5301124034270971E-2</v>
      </c>
      <c r="G40" s="28"/>
      <c r="H40" s="28"/>
      <c r="I40" s="28"/>
      <c r="J40" s="54"/>
    </row>
    <row r="41" spans="1:10">
      <c r="A41" s="26">
        <v>34225</v>
      </c>
      <c r="B41" s="41">
        <v>65.5</v>
      </c>
      <c r="C41" s="86">
        <f t="shared" si="0"/>
        <v>64.59829247759491</v>
      </c>
      <c r="D41" s="86">
        <f t="shared" si="1"/>
        <v>64.697547622783318</v>
      </c>
      <c r="E41" s="143">
        <f t="shared" si="2"/>
        <v>-9.9255145188408278E-2</v>
      </c>
      <c r="F41" s="160">
        <f t="shared" si="3"/>
        <v>-4.8091928265098435E-2</v>
      </c>
      <c r="G41" s="28"/>
      <c r="H41" s="28"/>
      <c r="I41" s="28"/>
      <c r="J41" s="54"/>
    </row>
    <row r="42" spans="1:10">
      <c r="A42" s="27">
        <v>34226</v>
      </c>
      <c r="B42" s="45">
        <v>63.25</v>
      </c>
      <c r="C42" s="87">
        <f t="shared" si="0"/>
        <v>64.39604860595567</v>
      </c>
      <c r="D42" s="87">
        <f t="shared" si="1"/>
        <v>64.588981551074568</v>
      </c>
      <c r="E42" s="144">
        <f t="shared" si="2"/>
        <v>-0.19293294511889769</v>
      </c>
      <c r="F42" s="339">
        <f t="shared" si="3"/>
        <v>-7.7060131635858287E-2</v>
      </c>
      <c r="G42" s="29"/>
      <c r="H42" s="29"/>
      <c r="I42" s="29"/>
      <c r="J42" s="57"/>
    </row>
    <row r="43" spans="1:10">
      <c r="A43" s="27">
        <v>34227</v>
      </c>
      <c r="B43" s="45">
        <v>60.75</v>
      </c>
      <c r="C43" s="87">
        <f t="shared" si="0"/>
        <v>63.849141315062312</v>
      </c>
      <c r="D43" s="87">
        <f t="shared" si="1"/>
        <v>64.30105793474398</v>
      </c>
      <c r="E43" s="144">
        <f t="shared" si="2"/>
        <v>-0.45191661968166841</v>
      </c>
      <c r="F43" s="339">
        <f t="shared" si="3"/>
        <v>-0.15203142924502033</v>
      </c>
      <c r="G43" s="29"/>
      <c r="H43" s="29"/>
      <c r="I43" s="29"/>
      <c r="J43" s="57"/>
    </row>
    <row r="44" spans="1:10">
      <c r="A44" s="26">
        <v>34228</v>
      </c>
      <c r="B44" s="41">
        <v>57.25</v>
      </c>
      <c r="C44" s="86">
        <f t="shared" si="0"/>
        <v>62.859270117802964</v>
      </c>
      <c r="D44" s="86">
        <f t="shared" si="1"/>
        <v>63.772228589638189</v>
      </c>
      <c r="E44" s="143">
        <f t="shared" si="2"/>
        <v>-0.91295847183522483</v>
      </c>
      <c r="F44" s="160">
        <f t="shared" si="3"/>
        <v>-0.30421683776306124</v>
      </c>
      <c r="G44" s="28"/>
      <c r="H44" s="28"/>
      <c r="I44" s="28"/>
      <c r="J44" s="54"/>
    </row>
    <row r="45" spans="1:10">
      <c r="A45" s="26">
        <v>34229</v>
      </c>
      <c r="B45" s="41">
        <v>59.125</v>
      </c>
      <c r="C45" s="86">
        <f t="shared" si="0"/>
        <v>62.299129600132517</v>
      </c>
      <c r="D45" s="86">
        <f t="shared" si="1"/>
        <v>63.423686445415328</v>
      </c>
      <c r="E45" s="143">
        <f t="shared" si="2"/>
        <v>-1.124556845282811</v>
      </c>
      <c r="F45" s="143">
        <f t="shared" si="3"/>
        <v>-0.4682848392670112</v>
      </c>
      <c r="G45" s="28"/>
      <c r="H45" s="28"/>
      <c r="I45" s="28"/>
      <c r="J45" s="54"/>
    </row>
    <row r="46" spans="1:10">
      <c r="A46" s="27">
        <v>34232</v>
      </c>
      <c r="B46" s="45">
        <v>59.25</v>
      </c>
      <c r="C46" s="87">
        <f t="shared" si="0"/>
        <v>61.841760160112642</v>
      </c>
      <c r="D46" s="87">
        <f t="shared" si="1"/>
        <v>63.11065996200918</v>
      </c>
      <c r="E46" s="144">
        <f t="shared" si="2"/>
        <v>-1.2688998018965378</v>
      </c>
      <c r="F46" s="144">
        <f t="shared" si="3"/>
        <v>-0.62840783179291648</v>
      </c>
      <c r="G46" s="29"/>
      <c r="H46" s="29"/>
      <c r="I46" s="29"/>
      <c r="J46" s="57"/>
    </row>
    <row r="47" spans="1:10">
      <c r="A47" s="27">
        <v>34233</v>
      </c>
      <c r="B47" s="45">
        <v>58.5</v>
      </c>
      <c r="C47" s="87">
        <f t="shared" si="0"/>
        <v>61.340496136095744</v>
      </c>
      <c r="D47" s="87">
        <f t="shared" si="1"/>
        <v>62.764860464858494</v>
      </c>
      <c r="E47" s="144">
        <f t="shared" si="2"/>
        <v>-1.4243643287627492</v>
      </c>
      <c r="F47" s="144">
        <f t="shared" si="3"/>
        <v>-0.78759913118688307</v>
      </c>
      <c r="G47" s="29"/>
      <c r="H47" s="29"/>
      <c r="I47" s="29"/>
      <c r="J47" s="57"/>
    </row>
    <row r="48" spans="1:10">
      <c r="A48" s="26">
        <v>34234</v>
      </c>
      <c r="B48" s="41">
        <v>59.125</v>
      </c>
      <c r="C48" s="86">
        <f t="shared" si="0"/>
        <v>61.008171715681378</v>
      </c>
      <c r="D48" s="86">
        <f t="shared" si="1"/>
        <v>62.491870929994114</v>
      </c>
      <c r="E48" s="143">
        <f t="shared" si="2"/>
        <v>-1.4836992143127361</v>
      </c>
      <c r="F48" s="143">
        <f t="shared" si="3"/>
        <v>-0.92681914781205377</v>
      </c>
      <c r="G48" s="28"/>
      <c r="H48" s="28"/>
      <c r="I48" s="28"/>
      <c r="J48" s="54"/>
    </row>
    <row r="49" spans="1:10">
      <c r="A49" s="26">
        <v>34235</v>
      </c>
      <c r="B49" s="41">
        <v>59.75</v>
      </c>
      <c r="C49" s="86">
        <f t="shared" si="0"/>
        <v>60.819445958329169</v>
      </c>
      <c r="D49" s="86">
        <f t="shared" si="1"/>
        <v>62.286230610244559</v>
      </c>
      <c r="E49" s="143">
        <f t="shared" si="2"/>
        <v>-1.4667846519153898</v>
      </c>
      <c r="F49" s="143">
        <f t="shared" si="3"/>
        <v>-1.0348122486327211</v>
      </c>
      <c r="G49" s="28"/>
      <c r="H49" s="28"/>
      <c r="I49" s="28"/>
      <c r="J49" s="54"/>
    </row>
    <row r="50" spans="1:10">
      <c r="A50" s="27">
        <v>34236</v>
      </c>
      <c r="B50" s="45">
        <v>60.625</v>
      </c>
      <c r="C50" s="87">
        <f t="shared" si="0"/>
        <v>60.790279064579792</v>
      </c>
      <c r="D50" s="87">
        <f t="shared" si="1"/>
        <v>62.161638314476221</v>
      </c>
      <c r="E50" s="144">
        <f t="shared" si="2"/>
        <v>-1.3713592498964289</v>
      </c>
      <c r="F50" s="144">
        <f t="shared" si="3"/>
        <v>-1.1021216488854626</v>
      </c>
      <c r="G50" s="29"/>
      <c r="H50" s="29"/>
      <c r="I50" s="29"/>
      <c r="J50" s="57"/>
    </row>
    <row r="51" spans="1:10">
      <c r="A51" s="27">
        <v>34239</v>
      </c>
      <c r="B51" s="45">
        <v>60.5</v>
      </c>
      <c r="C51" s="87">
        <f t="shared" si="0"/>
        <v>60.746737204892824</v>
      </c>
      <c r="D51" s="87">
        <f t="shared" si="1"/>
        <v>62.037015440890507</v>
      </c>
      <c r="E51" s="144">
        <f t="shared" si="2"/>
        <v>-1.2902782359976825</v>
      </c>
      <c r="F51" s="144">
        <f t="shared" si="3"/>
        <v>-1.1397529663079067</v>
      </c>
      <c r="G51" s="29"/>
      <c r="H51" s="29"/>
      <c r="I51" s="29"/>
      <c r="J51" s="57"/>
    </row>
    <row r="52" spans="1:10">
      <c r="A52" s="26">
        <v>34240</v>
      </c>
      <c r="B52" s="41">
        <v>59</v>
      </c>
      <c r="C52" s="86">
        <f t="shared" si="0"/>
        <v>60.484726624158903</v>
      </c>
      <c r="D52" s="86">
        <f t="shared" si="1"/>
        <v>61.809239282823718</v>
      </c>
      <c r="E52" s="143">
        <f t="shared" si="2"/>
        <v>-1.3245126586648155</v>
      </c>
      <c r="F52" s="143">
        <f t="shared" si="3"/>
        <v>-1.1767049047792886</v>
      </c>
      <c r="G52" s="28"/>
      <c r="H52" s="28"/>
      <c r="I52" s="28"/>
      <c r="J52" s="54"/>
    </row>
    <row r="53" spans="1:10">
      <c r="A53" s="26">
        <v>34241</v>
      </c>
      <c r="B53" s="41">
        <v>59.5</v>
      </c>
      <c r="C53" s="86">
        <f t="shared" si="0"/>
        <v>60.337017630535065</v>
      </c>
      <c r="D53" s="86">
        <f t="shared" si="1"/>
        <v>61.63604633661194</v>
      </c>
      <c r="E53" s="143">
        <f t="shared" si="2"/>
        <v>-1.299028706076875</v>
      </c>
      <c r="F53" s="143">
        <f t="shared" si="3"/>
        <v>-1.201169665038806</v>
      </c>
      <c r="G53" s="28"/>
      <c r="H53" s="28"/>
      <c r="I53" s="28"/>
      <c r="J53" s="54"/>
    </row>
    <row r="54" spans="1:10">
      <c r="A54" s="27">
        <v>34242</v>
      </c>
      <c r="B54" s="45">
        <v>58.875</v>
      </c>
      <c r="C54" s="87">
        <f t="shared" si="0"/>
        <v>60.117714985954798</v>
      </c>
      <c r="D54" s="87">
        <f t="shared" si="1"/>
        <v>61.428967861366047</v>
      </c>
      <c r="E54" s="144">
        <f t="shared" si="2"/>
        <v>-1.3112528754112489</v>
      </c>
      <c r="F54" s="144">
        <f t="shared" si="3"/>
        <v>-1.2231863071132945</v>
      </c>
      <c r="G54" s="29"/>
      <c r="H54" s="29"/>
      <c r="I54" s="29"/>
      <c r="J54" s="57"/>
    </row>
    <row r="55" spans="1:10">
      <c r="A55" s="27">
        <v>34243</v>
      </c>
      <c r="B55" s="45">
        <v>59.625</v>
      </c>
      <c r="C55" s="87">
        <f t="shared" si="0"/>
        <v>60.043807738061581</v>
      </c>
      <c r="D55" s="87">
        <f t="shared" si="1"/>
        <v>61.293670271763595</v>
      </c>
      <c r="E55" s="144">
        <f t="shared" si="2"/>
        <v>-1.2498625337020144</v>
      </c>
      <c r="F55" s="144">
        <f t="shared" si="3"/>
        <v>-1.2285215524310384</v>
      </c>
      <c r="G55" s="29"/>
      <c r="H55" s="29"/>
      <c r="I55" s="29"/>
      <c r="J55" s="57"/>
    </row>
    <row r="56" spans="1:10">
      <c r="A56" s="26">
        <v>34246</v>
      </c>
      <c r="B56" s="41">
        <v>59.875</v>
      </c>
      <c r="C56" s="86">
        <f t="shared" si="0"/>
        <v>60.018486577352348</v>
      </c>
      <c r="D56" s="86">
        <f t="shared" si="1"/>
        <v>61.187270001381329</v>
      </c>
      <c r="E56" s="143">
        <f t="shared" si="2"/>
        <v>-1.1687834240289803</v>
      </c>
      <c r="F56" s="143">
        <f t="shared" si="3"/>
        <v>-1.2165739267506268</v>
      </c>
      <c r="G56" s="28"/>
      <c r="H56" s="28"/>
      <c r="I56" s="28"/>
      <c r="J56" s="54"/>
    </row>
    <row r="57" spans="1:10">
      <c r="A57" s="26">
        <v>34247</v>
      </c>
      <c r="B57" s="41">
        <v>59.75</v>
      </c>
      <c r="C57" s="86">
        <f t="shared" si="0"/>
        <v>59.97821359074949</v>
      </c>
      <c r="D57" s="86">
        <f t="shared" si="1"/>
        <v>61.079474751277736</v>
      </c>
      <c r="E57" s="143">
        <f t="shared" si="2"/>
        <v>-1.1012611605282459</v>
      </c>
      <c r="F57" s="143">
        <f t="shared" si="3"/>
        <v>-1.1935113735061507</v>
      </c>
      <c r="G57" s="28"/>
      <c r="H57" s="28"/>
      <c r="I57" s="28"/>
      <c r="J57" s="54"/>
    </row>
    <row r="58" spans="1:10">
      <c r="A58" s="27">
        <v>34248</v>
      </c>
      <c r="B58" s="45">
        <v>59.625</v>
      </c>
      <c r="C58" s="87">
        <f t="shared" si="0"/>
        <v>59.92523155213707</v>
      </c>
      <c r="D58" s="87">
        <f t="shared" si="1"/>
        <v>60.970389144931907</v>
      </c>
      <c r="E58" s="144">
        <f t="shared" si="2"/>
        <v>-1.0451575927948369</v>
      </c>
      <c r="F58" s="144">
        <f t="shared" si="3"/>
        <v>-1.163840617363888</v>
      </c>
      <c r="G58" s="29"/>
      <c r="H58" s="29"/>
      <c r="I58" s="29"/>
      <c r="J58" s="57"/>
    </row>
    <row r="59" spans="1:10">
      <c r="A59" s="27">
        <v>34249</v>
      </c>
      <c r="B59" s="45">
        <v>59.25</v>
      </c>
      <c r="C59" s="87">
        <f t="shared" si="0"/>
        <v>59.823946819316504</v>
      </c>
      <c r="D59" s="87">
        <f t="shared" si="1"/>
        <v>60.841359959062018</v>
      </c>
      <c r="E59" s="144">
        <f t="shared" si="2"/>
        <v>-1.0174131397455142</v>
      </c>
      <c r="F59" s="144">
        <f t="shared" si="3"/>
        <v>-1.1345551218402132</v>
      </c>
      <c r="G59" s="29"/>
      <c r="H59" s="29"/>
      <c r="I59" s="29"/>
      <c r="J59" s="57"/>
    </row>
    <row r="60" spans="1:10">
      <c r="A60" s="26">
        <v>34250</v>
      </c>
      <c r="B60" s="41">
        <v>58.875</v>
      </c>
      <c r="C60" s="86">
        <f t="shared" si="0"/>
        <v>59.681604796419023</v>
      </c>
      <c r="D60" s="86">
        <f t="shared" si="1"/>
        <v>60.693882962132371</v>
      </c>
      <c r="E60" s="143">
        <f t="shared" si="2"/>
        <v>-1.0122781657133473</v>
      </c>
      <c r="F60" s="143">
        <f t="shared" si="3"/>
        <v>-1.1100997306148401</v>
      </c>
      <c r="G60" s="28"/>
      <c r="H60" s="28"/>
      <c r="I60" s="28"/>
      <c r="J60" s="54"/>
    </row>
    <row r="61" spans="1:10">
      <c r="A61" s="26">
        <v>34253</v>
      </c>
      <c r="B61" s="41">
        <v>59.125</v>
      </c>
      <c r="C61" s="86">
        <f t="shared" si="0"/>
        <v>59.598114076956165</v>
      </c>
      <c r="D61" s="86">
        <f t="shared" si="1"/>
        <v>60.576216739972452</v>
      </c>
      <c r="E61" s="143">
        <f t="shared" si="2"/>
        <v>-0.97810266301628701</v>
      </c>
      <c r="F61" s="143">
        <f t="shared" si="3"/>
        <v>-1.0837003170951296</v>
      </c>
      <c r="G61" s="28"/>
      <c r="H61" s="28"/>
      <c r="I61" s="28"/>
      <c r="J61" s="54"/>
    </row>
    <row r="62" spans="1:10">
      <c r="A62" s="27">
        <v>34254</v>
      </c>
      <c r="B62" s="45">
        <v>60.875</v>
      </c>
      <c r="C62" s="87">
        <f t="shared" si="0"/>
        <v>59.789646965412743</v>
      </c>
      <c r="D62" s="87">
        <f t="shared" si="1"/>
        <v>60.598625484474518</v>
      </c>
      <c r="E62" s="144">
        <f t="shared" si="2"/>
        <v>-0.80897851906177465</v>
      </c>
      <c r="F62" s="144">
        <f t="shared" si="3"/>
        <v>-1.0287559574884586</v>
      </c>
      <c r="G62" s="29"/>
      <c r="H62" s="29"/>
      <c r="I62" s="29"/>
      <c r="J62" s="57"/>
    </row>
    <row r="63" spans="1:10">
      <c r="A63" s="27">
        <v>34255</v>
      </c>
      <c r="B63" s="45">
        <v>60.75</v>
      </c>
      <c r="C63" s="87">
        <f t="shared" si="0"/>
        <v>59.93369992060083</v>
      </c>
      <c r="D63" s="87">
        <f t="shared" si="1"/>
        <v>60.609978573138932</v>
      </c>
      <c r="E63" s="144">
        <f t="shared" si="2"/>
        <v>-0.67627865253810171</v>
      </c>
      <c r="F63" s="144">
        <f t="shared" si="3"/>
        <v>-0.95826049649838718</v>
      </c>
      <c r="G63" s="29"/>
      <c r="H63" s="29"/>
      <c r="I63" s="29"/>
      <c r="J63" s="57"/>
    </row>
    <row r="64" spans="1:10">
      <c r="A64" s="26">
        <v>34256</v>
      </c>
      <c r="B64" s="41">
        <v>61.125</v>
      </c>
      <c r="C64" s="86">
        <f t="shared" si="0"/>
        <v>60.112394932510711</v>
      </c>
      <c r="D64" s="86">
        <f t="shared" si="1"/>
        <v>60.648605180153517</v>
      </c>
      <c r="E64" s="143">
        <f t="shared" si="2"/>
        <v>-0.53621024764280634</v>
      </c>
      <c r="F64" s="143">
        <f t="shared" si="3"/>
        <v>-0.87385044672727108</v>
      </c>
      <c r="G64" s="28"/>
      <c r="H64" s="28"/>
      <c r="I64" s="28"/>
      <c r="J64" s="54"/>
    </row>
    <row r="65" spans="1:10">
      <c r="A65" s="26">
        <v>34257</v>
      </c>
      <c r="B65" s="41">
        <v>62.5</v>
      </c>
      <c r="C65" s="86">
        <f t="shared" si="0"/>
        <v>60.470535692634101</v>
      </c>
      <c r="D65" s="86">
        <f t="shared" si="1"/>
        <v>60.787459791642007</v>
      </c>
      <c r="E65" s="143">
        <f t="shared" si="2"/>
        <v>-0.31692409900790608</v>
      </c>
      <c r="F65" s="143">
        <f t="shared" si="3"/>
        <v>-0.76246517718339812</v>
      </c>
      <c r="G65" s="28"/>
      <c r="H65" s="28"/>
      <c r="I65" s="28"/>
      <c r="J65" s="54"/>
    </row>
    <row r="66" spans="1:10">
      <c r="A66" s="27">
        <v>34260</v>
      </c>
      <c r="B66" s="45">
        <v>63.25</v>
      </c>
      <c r="C66" s="87">
        <f t="shared" si="0"/>
        <v>60.887455338738981</v>
      </c>
      <c r="D66" s="87">
        <f t="shared" si="1"/>
        <v>60.972150307268855</v>
      </c>
      <c r="E66" s="144">
        <f t="shared" si="2"/>
        <v>-8.4694968529873904E-2</v>
      </c>
      <c r="F66" s="144">
        <f t="shared" si="3"/>
        <v>-0.62691113545269328</v>
      </c>
      <c r="G66" s="29"/>
      <c r="H66" s="29"/>
      <c r="I66" s="29"/>
      <c r="J66" s="57"/>
    </row>
    <row r="67" spans="1:10">
      <c r="A67" s="71"/>
      <c r="B67" s="29"/>
      <c r="C67" s="29"/>
      <c r="D67" s="29"/>
      <c r="E67" s="29"/>
      <c r="F67" s="73"/>
      <c r="G67" s="29"/>
      <c r="H67" s="29"/>
      <c r="I67" s="29"/>
      <c r="J67" s="57"/>
    </row>
    <row r="68" spans="1:10">
      <c r="F68" s="2"/>
    </row>
    <row r="69" spans="1:10" ht="85.5" customHeight="1">
      <c r="A69" s="447" t="s">
        <v>1357</v>
      </c>
      <c r="B69" s="447"/>
      <c r="C69" s="447"/>
      <c r="D69" s="447"/>
      <c r="E69" s="447"/>
      <c r="F69" s="447"/>
      <c r="G69" s="447"/>
      <c r="H69" s="447"/>
      <c r="I69" s="447"/>
      <c r="J69" s="447"/>
    </row>
    <row r="70" spans="1:10" ht="77.25" customHeight="1">
      <c r="A70" s="447" t="s">
        <v>873</v>
      </c>
      <c r="B70" s="447"/>
      <c r="C70" s="447"/>
      <c r="D70" s="447"/>
      <c r="E70" s="447"/>
      <c r="F70" s="447"/>
      <c r="G70" s="447"/>
      <c r="H70" s="447"/>
      <c r="I70" s="447"/>
      <c r="J70" s="447"/>
    </row>
    <row r="71" spans="1:10" ht="35.25" customHeight="1">
      <c r="A71" s="447" t="s">
        <v>1338</v>
      </c>
      <c r="B71" s="447"/>
      <c r="C71" s="447"/>
      <c r="D71" s="447"/>
      <c r="E71" s="447"/>
      <c r="F71" s="447"/>
      <c r="G71" s="447"/>
      <c r="H71" s="447"/>
      <c r="I71" s="447"/>
      <c r="J71" s="447"/>
    </row>
    <row r="72" spans="1:10" ht="15">
      <c r="A72" s="241" t="s">
        <v>84</v>
      </c>
      <c r="F72" s="2"/>
    </row>
    <row r="73" spans="1:10">
      <c r="F73" s="2"/>
    </row>
    <row r="74" spans="1:10">
      <c r="F74" s="2"/>
    </row>
    <row r="75" spans="1:10">
      <c r="F75" s="2"/>
    </row>
    <row r="76" spans="1:10">
      <c r="F76" s="2"/>
    </row>
    <row r="77" spans="1:10">
      <c r="F77" s="2"/>
    </row>
    <row r="78" spans="1:10">
      <c r="F78" s="2"/>
    </row>
    <row r="79" spans="1:10">
      <c r="F79" s="2"/>
    </row>
    <row r="80" spans="1:10">
      <c r="F80" s="2"/>
    </row>
    <row r="81" spans="6:6">
      <c r="F81" s="2"/>
    </row>
    <row r="82" spans="6:6">
      <c r="F82" s="2"/>
    </row>
    <row r="83" spans="6:6">
      <c r="F83" s="2"/>
    </row>
  </sheetData>
  <mergeCells count="6">
    <mergeCell ref="A69:J69"/>
    <mergeCell ref="A70:J70"/>
    <mergeCell ref="A71:J71"/>
    <mergeCell ref="B5:J5"/>
    <mergeCell ref="B6:J6"/>
    <mergeCell ref="B9:J9"/>
  </mergeCells>
  <phoneticPr fontId="0" type="noConversion"/>
  <pageMargins left="0.75" right="0.75" top="1" bottom="1" header="0.5" footer="0.5"/>
  <pageSetup orientation="portrait"/>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81921"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81922"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81923"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81924"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N66"/>
  <sheetViews>
    <sheetView workbookViewId="0"/>
  </sheetViews>
  <sheetFormatPr baseColWidth="10" defaultColWidth="8.83203125" defaultRowHeight="12" x14ac:dyDescent="0"/>
  <cols>
    <col min="1" max="1" width="13.5" customWidth="1"/>
    <col min="4" max="4" width="11.33203125" bestFit="1" customWidth="1"/>
    <col min="5" max="5" width="10.6640625" customWidth="1"/>
    <col min="6" max="6" width="13.33203125" customWidth="1"/>
    <col min="7" max="10" width="10.16406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805</v>
      </c>
      <c r="C3" s="21"/>
      <c r="D3" s="21"/>
      <c r="E3" s="21"/>
      <c r="F3" s="21"/>
      <c r="G3" s="21"/>
      <c r="H3" s="21"/>
      <c r="I3" s="21"/>
      <c r="J3" s="21"/>
    </row>
    <row r="4" spans="1:14">
      <c r="A4" s="19" t="s">
        <v>774</v>
      </c>
      <c r="B4" s="20" t="s">
        <v>806</v>
      </c>
      <c r="C4" s="21"/>
      <c r="D4" s="21"/>
      <c r="E4" s="21"/>
      <c r="F4" s="21"/>
      <c r="G4" s="21"/>
      <c r="H4" s="21"/>
      <c r="I4" s="21"/>
      <c r="J4" s="21"/>
    </row>
    <row r="5" spans="1:14" ht="15">
      <c r="A5" s="118" t="s">
        <v>779</v>
      </c>
      <c r="B5" s="127" t="s">
        <v>1314</v>
      </c>
      <c r="C5" s="21"/>
      <c r="D5" s="21"/>
      <c r="E5" s="21"/>
      <c r="F5" s="21"/>
      <c r="G5" s="21"/>
      <c r="H5" s="21"/>
      <c r="I5" s="21"/>
      <c r="J5" s="21"/>
    </row>
    <row r="6" spans="1:14" ht="33" customHeight="1">
      <c r="A6" s="21"/>
      <c r="B6" s="21"/>
      <c r="C6" s="21"/>
      <c r="D6" s="21"/>
      <c r="E6" s="21"/>
      <c r="F6" s="21"/>
      <c r="G6" s="21"/>
      <c r="H6" s="21"/>
      <c r="I6" s="21"/>
      <c r="J6" s="21"/>
    </row>
    <row r="7" spans="1:14" ht="40.5" customHeight="1">
      <c r="A7" s="22" t="s">
        <v>1090</v>
      </c>
      <c r="B7" s="22" t="s">
        <v>1096</v>
      </c>
      <c r="C7" s="22" t="s">
        <v>1097</v>
      </c>
      <c r="D7" s="22" t="s">
        <v>1099</v>
      </c>
      <c r="E7" s="31" t="s">
        <v>522</v>
      </c>
      <c r="F7" s="31" t="s">
        <v>877</v>
      </c>
      <c r="G7" s="22"/>
      <c r="H7" s="22"/>
      <c r="I7" s="22"/>
      <c r="J7" s="22"/>
    </row>
    <row r="8" spans="1:14">
      <c r="A8" s="26">
        <v>36243</v>
      </c>
      <c r="B8" s="52">
        <v>45.375</v>
      </c>
      <c r="C8" s="52">
        <v>44.5</v>
      </c>
      <c r="D8" s="77">
        <v>10365</v>
      </c>
      <c r="E8" s="112">
        <f>B8-C8</f>
        <v>0.875</v>
      </c>
      <c r="F8" s="137">
        <f>E8/D8</f>
        <v>8.4418716835504099E-5</v>
      </c>
      <c r="G8" s="28"/>
      <c r="H8" s="28"/>
      <c r="I8" s="28"/>
      <c r="J8" s="54"/>
    </row>
    <row r="9" spans="1:14">
      <c r="A9" s="26">
        <v>36244</v>
      </c>
      <c r="B9" s="52">
        <v>45.8125</v>
      </c>
      <c r="C9" s="52">
        <v>44.8125</v>
      </c>
      <c r="D9" s="77">
        <v>12649</v>
      </c>
      <c r="E9" s="112">
        <f t="shared" ref="E9:E56" si="0">B9-C9</f>
        <v>1</v>
      </c>
      <c r="F9" s="137">
        <f t="shared" ref="F9:F56" si="1">E9/D9</f>
        <v>7.9057633014467543E-5</v>
      </c>
      <c r="G9" s="28"/>
      <c r="H9" s="28"/>
      <c r="I9" s="28"/>
      <c r="J9" s="54"/>
    </row>
    <row r="10" spans="1:14">
      <c r="A10" s="27">
        <v>36245</v>
      </c>
      <c r="B10" s="55">
        <v>45.1875</v>
      </c>
      <c r="C10" s="55">
        <v>44.125</v>
      </c>
      <c r="D10" s="79">
        <v>10666</v>
      </c>
      <c r="E10" s="111">
        <f t="shared" si="0"/>
        <v>1.0625</v>
      </c>
      <c r="F10" s="142">
        <f t="shared" si="1"/>
        <v>9.9615600975060936E-5</v>
      </c>
      <c r="G10" s="29"/>
      <c r="H10" s="29"/>
      <c r="I10" s="29"/>
      <c r="J10" s="57"/>
    </row>
    <row r="11" spans="1:14">
      <c r="A11" s="27">
        <v>36248</v>
      </c>
      <c r="B11" s="55">
        <v>45.5</v>
      </c>
      <c r="C11" s="55">
        <v>44.1875</v>
      </c>
      <c r="D11" s="79">
        <v>15080</v>
      </c>
      <c r="E11" s="111">
        <f t="shared" si="0"/>
        <v>1.3125</v>
      </c>
      <c r="F11" s="142">
        <f t="shared" si="1"/>
        <v>8.7035809018567642E-5</v>
      </c>
      <c r="G11" s="29"/>
      <c r="H11" s="29"/>
      <c r="I11" s="29"/>
      <c r="J11" s="57"/>
    </row>
    <row r="12" spans="1:14">
      <c r="A12" s="26">
        <v>36249</v>
      </c>
      <c r="B12" s="52">
        <v>44</v>
      </c>
      <c r="C12" s="52">
        <v>42.25</v>
      </c>
      <c r="D12" s="77">
        <v>23699</v>
      </c>
      <c r="E12" s="112">
        <f t="shared" si="0"/>
        <v>1.75</v>
      </c>
      <c r="F12" s="137">
        <f t="shared" si="1"/>
        <v>7.384277817629436E-5</v>
      </c>
      <c r="G12" s="28"/>
      <c r="H12" s="28"/>
      <c r="I12" s="28"/>
      <c r="J12" s="54"/>
    </row>
    <row r="13" spans="1:14">
      <c r="A13" s="26">
        <v>36250</v>
      </c>
      <c r="B13" s="52">
        <v>43.4375</v>
      </c>
      <c r="C13" s="52">
        <v>41.875</v>
      </c>
      <c r="D13" s="77">
        <v>23082</v>
      </c>
      <c r="E13" s="112">
        <f t="shared" si="0"/>
        <v>1.5625</v>
      </c>
      <c r="F13" s="137">
        <f t="shared" si="1"/>
        <v>6.769344077636253E-5</v>
      </c>
      <c r="G13" s="28"/>
      <c r="H13" s="28"/>
      <c r="I13" s="28"/>
      <c r="J13" s="54"/>
    </row>
    <row r="14" spans="1:14">
      <c r="A14" s="27">
        <v>36251</v>
      </c>
      <c r="B14" s="55">
        <v>43.8125</v>
      </c>
      <c r="C14" s="55">
        <v>42.6875</v>
      </c>
      <c r="D14" s="79">
        <v>19517</v>
      </c>
      <c r="E14" s="111">
        <f t="shared" si="0"/>
        <v>1.125</v>
      </c>
      <c r="F14" s="142">
        <f t="shared" si="1"/>
        <v>5.7642055643797717E-5</v>
      </c>
      <c r="G14" s="29"/>
      <c r="H14" s="29"/>
      <c r="I14" s="29"/>
      <c r="J14" s="57"/>
    </row>
    <row r="15" spans="1:14">
      <c r="A15" s="27">
        <v>36255</v>
      </c>
      <c r="B15" s="55">
        <v>44.5</v>
      </c>
      <c r="C15" s="55">
        <v>43.375</v>
      </c>
      <c r="D15" s="79">
        <v>17535</v>
      </c>
      <c r="E15" s="111">
        <f t="shared" si="0"/>
        <v>1.125</v>
      </c>
      <c r="F15" s="142">
        <f t="shared" si="1"/>
        <v>6.4157399486740809E-5</v>
      </c>
      <c r="G15" s="29"/>
      <c r="H15" s="29"/>
      <c r="I15" s="29"/>
      <c r="J15" s="57"/>
    </row>
    <row r="16" spans="1:14">
      <c r="A16" s="26">
        <v>36256</v>
      </c>
      <c r="B16" s="52">
        <v>44</v>
      </c>
      <c r="C16" s="52">
        <v>43.1875</v>
      </c>
      <c r="D16" s="77">
        <v>14794</v>
      </c>
      <c r="E16" s="112">
        <f t="shared" si="0"/>
        <v>0.8125</v>
      </c>
      <c r="F16" s="137">
        <f t="shared" si="1"/>
        <v>5.4920913884007027E-5</v>
      </c>
      <c r="G16" s="28"/>
      <c r="H16" s="28"/>
      <c r="I16" s="28"/>
      <c r="J16" s="54"/>
    </row>
    <row r="17" spans="1:10">
      <c r="A17" s="26">
        <v>36257</v>
      </c>
      <c r="B17" s="52">
        <v>44.1875</v>
      </c>
      <c r="C17" s="52">
        <v>43.375</v>
      </c>
      <c r="D17" s="77">
        <v>17985</v>
      </c>
      <c r="E17" s="112">
        <f t="shared" si="0"/>
        <v>0.8125</v>
      </c>
      <c r="F17" s="137">
        <f t="shared" si="1"/>
        <v>4.5176536002224073E-5</v>
      </c>
      <c r="G17" s="28"/>
      <c r="H17" s="28"/>
      <c r="I17" s="28"/>
      <c r="J17" s="54"/>
    </row>
    <row r="18" spans="1:10">
      <c r="A18" s="27">
        <v>36258</v>
      </c>
      <c r="B18" s="55">
        <v>44.281199999999998</v>
      </c>
      <c r="C18" s="55">
        <v>43.0625</v>
      </c>
      <c r="D18" s="79">
        <v>15746</v>
      </c>
      <c r="E18" s="111">
        <f t="shared" si="0"/>
        <v>1.2186999999999983</v>
      </c>
      <c r="F18" s="142">
        <f t="shared" si="1"/>
        <v>7.7397434269020596E-5</v>
      </c>
      <c r="G18" s="29"/>
      <c r="H18" s="29"/>
      <c r="I18" s="29"/>
      <c r="J18" s="57"/>
    </row>
    <row r="19" spans="1:10">
      <c r="A19" s="27">
        <v>36259</v>
      </c>
      <c r="B19" s="55">
        <v>44.5625</v>
      </c>
      <c r="C19" s="55">
        <v>43.3125</v>
      </c>
      <c r="D19" s="79">
        <v>24780</v>
      </c>
      <c r="E19" s="111">
        <f t="shared" si="0"/>
        <v>1.25</v>
      </c>
      <c r="F19" s="142">
        <f t="shared" si="1"/>
        <v>5.0443906376109764E-5</v>
      </c>
      <c r="G19" s="29"/>
      <c r="H19" s="29"/>
      <c r="I19" s="29"/>
      <c r="J19" s="57"/>
    </row>
    <row r="20" spans="1:10">
      <c r="A20" s="26">
        <v>36262</v>
      </c>
      <c r="B20" s="52">
        <v>46.75</v>
      </c>
      <c r="C20" s="52">
        <v>44.25</v>
      </c>
      <c r="D20" s="77">
        <v>40875</v>
      </c>
      <c r="E20" s="112">
        <f t="shared" si="0"/>
        <v>2.5</v>
      </c>
      <c r="F20" s="137">
        <f t="shared" si="1"/>
        <v>6.1162079510703368E-5</v>
      </c>
      <c r="G20" s="28"/>
      <c r="H20" s="28"/>
      <c r="I20" s="28"/>
      <c r="J20" s="54"/>
    </row>
    <row r="21" spans="1:10">
      <c r="A21" s="26">
        <v>36263</v>
      </c>
      <c r="B21" s="52">
        <v>49.5</v>
      </c>
      <c r="C21" s="52">
        <v>47.1875</v>
      </c>
      <c r="D21" s="77">
        <v>60853</v>
      </c>
      <c r="E21" s="112">
        <f t="shared" si="0"/>
        <v>2.3125</v>
      </c>
      <c r="F21" s="137">
        <f t="shared" si="1"/>
        <v>3.8001413241746504E-5</v>
      </c>
      <c r="G21" s="28"/>
      <c r="H21" s="28"/>
      <c r="I21" s="28"/>
      <c r="J21" s="54"/>
    </row>
    <row r="22" spans="1:10">
      <c r="A22" s="27">
        <v>36264</v>
      </c>
      <c r="B22" s="55">
        <v>53.75</v>
      </c>
      <c r="C22" s="55">
        <v>48.9375</v>
      </c>
      <c r="D22" s="79">
        <v>78826</v>
      </c>
      <c r="E22" s="111">
        <f t="shared" si="0"/>
        <v>4.8125</v>
      </c>
      <c r="F22" s="142">
        <f t="shared" si="1"/>
        <v>6.1052190901479206E-5</v>
      </c>
      <c r="G22" s="29"/>
      <c r="H22" s="29"/>
      <c r="I22" s="29"/>
      <c r="J22" s="57"/>
    </row>
    <row r="23" spans="1:10">
      <c r="A23" s="27">
        <v>36265</v>
      </c>
      <c r="B23" s="55">
        <v>56</v>
      </c>
      <c r="C23" s="55">
        <v>52.6875</v>
      </c>
      <c r="D23" s="79">
        <v>107946</v>
      </c>
      <c r="E23" s="111">
        <f t="shared" si="0"/>
        <v>3.3125</v>
      </c>
      <c r="F23" s="142">
        <f t="shared" si="1"/>
        <v>3.0686639616104348E-5</v>
      </c>
      <c r="G23" s="29"/>
      <c r="H23" s="29"/>
      <c r="I23" s="29"/>
      <c r="J23" s="57"/>
    </row>
    <row r="24" spans="1:10">
      <c r="A24" s="26">
        <v>36266</v>
      </c>
      <c r="B24" s="52">
        <v>55.875</v>
      </c>
      <c r="C24" s="52">
        <v>54.75</v>
      </c>
      <c r="D24" s="77">
        <v>51151</v>
      </c>
      <c r="E24" s="112">
        <f t="shared" si="0"/>
        <v>1.125</v>
      </c>
      <c r="F24" s="137">
        <f t="shared" si="1"/>
        <v>2.1993704912904928E-5</v>
      </c>
      <c r="G24" s="28"/>
      <c r="H24" s="28"/>
      <c r="I24" s="28"/>
      <c r="J24" s="54"/>
    </row>
    <row r="25" spans="1:10">
      <c r="A25" s="26">
        <v>36269</v>
      </c>
      <c r="B25" s="52">
        <v>59.5</v>
      </c>
      <c r="C25" s="52">
        <v>55</v>
      </c>
      <c r="D25" s="77">
        <v>67915</v>
      </c>
      <c r="E25" s="112">
        <f t="shared" si="0"/>
        <v>4.5</v>
      </c>
      <c r="F25" s="137">
        <f t="shared" si="1"/>
        <v>6.6259294706618569E-5</v>
      </c>
      <c r="G25" s="28"/>
      <c r="H25" s="28"/>
      <c r="I25" s="28"/>
      <c r="J25" s="54"/>
    </row>
    <row r="26" spans="1:10">
      <c r="A26" s="27">
        <v>36270</v>
      </c>
      <c r="B26" s="55">
        <v>55.3125</v>
      </c>
      <c r="C26" s="55">
        <v>53.5</v>
      </c>
      <c r="D26" s="79">
        <v>36618</v>
      </c>
      <c r="E26" s="111">
        <f t="shared" si="0"/>
        <v>1.8125</v>
      </c>
      <c r="F26" s="142">
        <f t="shared" si="1"/>
        <v>4.9497514883390681E-5</v>
      </c>
      <c r="G26" s="29"/>
      <c r="H26" s="29"/>
      <c r="I26" s="29"/>
      <c r="J26" s="57"/>
    </row>
    <row r="27" spans="1:10">
      <c r="A27" s="27">
        <v>36271</v>
      </c>
      <c r="B27" s="55">
        <v>54.25</v>
      </c>
      <c r="C27" s="55">
        <v>53.0625</v>
      </c>
      <c r="D27" s="79">
        <v>26904</v>
      </c>
      <c r="E27" s="111">
        <f t="shared" si="0"/>
        <v>1.1875</v>
      </c>
      <c r="F27" s="142">
        <f t="shared" si="1"/>
        <v>4.4138418079096045E-5</v>
      </c>
      <c r="G27" s="29"/>
      <c r="H27" s="29"/>
      <c r="I27" s="29"/>
      <c r="J27" s="57"/>
    </row>
    <row r="28" spans="1:10">
      <c r="A28" s="26">
        <v>36272</v>
      </c>
      <c r="B28" s="52">
        <v>53.9375</v>
      </c>
      <c r="C28" s="52">
        <v>52.25</v>
      </c>
      <c r="D28" s="77">
        <v>38143</v>
      </c>
      <c r="E28" s="112">
        <f t="shared" si="0"/>
        <v>1.6875</v>
      </c>
      <c r="F28" s="137">
        <f t="shared" si="1"/>
        <v>4.4241407335553049E-5</v>
      </c>
      <c r="G28" s="28"/>
      <c r="H28" s="28"/>
      <c r="I28" s="28"/>
      <c r="J28" s="54"/>
    </row>
    <row r="29" spans="1:10">
      <c r="A29" s="26">
        <v>36273</v>
      </c>
      <c r="B29" s="52">
        <v>55.125</v>
      </c>
      <c r="C29" s="52">
        <v>53.3125</v>
      </c>
      <c r="D29" s="77">
        <v>38008</v>
      </c>
      <c r="E29" s="112">
        <f t="shared" si="0"/>
        <v>1.8125</v>
      </c>
      <c r="F29" s="137">
        <f t="shared" si="1"/>
        <v>4.7687328983371923E-5</v>
      </c>
      <c r="G29" s="28"/>
      <c r="H29" s="28"/>
      <c r="I29" s="28"/>
      <c r="J29" s="54"/>
    </row>
    <row r="30" spans="1:10">
      <c r="A30" s="27">
        <v>36276</v>
      </c>
      <c r="B30" s="55">
        <v>56.375</v>
      </c>
      <c r="C30" s="55">
        <v>54.75</v>
      </c>
      <c r="D30" s="79">
        <v>26573</v>
      </c>
      <c r="E30" s="111">
        <f t="shared" si="0"/>
        <v>1.625</v>
      </c>
      <c r="F30" s="142">
        <f t="shared" si="1"/>
        <v>6.115229744477477E-5</v>
      </c>
      <c r="G30" s="29"/>
      <c r="H30" s="29"/>
      <c r="I30" s="29"/>
      <c r="J30" s="57"/>
    </row>
    <row r="31" spans="1:10">
      <c r="A31" s="27">
        <v>36277</v>
      </c>
      <c r="B31" s="55">
        <v>56.4375</v>
      </c>
      <c r="C31" s="55">
        <v>55.5</v>
      </c>
      <c r="D31" s="79">
        <v>32663</v>
      </c>
      <c r="E31" s="111">
        <f t="shared" si="0"/>
        <v>0.9375</v>
      </c>
      <c r="F31" s="142">
        <f t="shared" si="1"/>
        <v>2.8702201267489207E-5</v>
      </c>
      <c r="G31" s="29"/>
      <c r="H31" s="29"/>
      <c r="I31" s="29"/>
      <c r="J31" s="57"/>
    </row>
    <row r="32" spans="1:10">
      <c r="A32" s="26">
        <v>36278</v>
      </c>
      <c r="B32" s="52">
        <v>57.625</v>
      </c>
      <c r="C32" s="52">
        <v>55.4375</v>
      </c>
      <c r="D32" s="77">
        <v>30877</v>
      </c>
      <c r="E32" s="112">
        <f t="shared" si="0"/>
        <v>2.1875</v>
      </c>
      <c r="F32" s="137">
        <f t="shared" si="1"/>
        <v>7.0845613239628203E-5</v>
      </c>
      <c r="G32" s="28"/>
      <c r="H32" s="28"/>
      <c r="I32" s="28"/>
      <c r="J32" s="54"/>
    </row>
    <row r="33" spans="1:10">
      <c r="A33" s="26">
        <v>36279</v>
      </c>
      <c r="B33" s="28">
        <v>57.4375</v>
      </c>
      <c r="C33" s="28">
        <v>53.3125</v>
      </c>
      <c r="D33" s="77">
        <v>28936</v>
      </c>
      <c r="E33" s="112">
        <f t="shared" si="0"/>
        <v>4.125</v>
      </c>
      <c r="F33" s="137">
        <f t="shared" si="1"/>
        <v>1.4255598562344483E-4</v>
      </c>
      <c r="G33" s="28"/>
      <c r="H33" s="28"/>
      <c r="I33" s="28"/>
      <c r="J33" s="54"/>
    </row>
    <row r="34" spans="1:10">
      <c r="A34" s="27">
        <v>36280</v>
      </c>
      <c r="B34" s="55">
        <v>56.375</v>
      </c>
      <c r="C34" s="55">
        <v>52.375</v>
      </c>
      <c r="D34" s="79">
        <v>36251</v>
      </c>
      <c r="E34" s="111">
        <f t="shared" si="0"/>
        <v>4</v>
      </c>
      <c r="F34" s="142">
        <f t="shared" si="1"/>
        <v>1.103417836749331E-4</v>
      </c>
      <c r="G34" s="29"/>
      <c r="H34" s="29"/>
      <c r="I34" s="29"/>
      <c r="J34" s="57"/>
    </row>
    <row r="35" spans="1:10">
      <c r="A35" s="27">
        <v>36283</v>
      </c>
      <c r="B35" s="55">
        <v>56.4375</v>
      </c>
      <c r="C35" s="55">
        <v>52.9375</v>
      </c>
      <c r="D35" s="79">
        <v>29185</v>
      </c>
      <c r="E35" s="111">
        <f t="shared" si="0"/>
        <v>3.5</v>
      </c>
      <c r="F35" s="142">
        <f t="shared" si="1"/>
        <v>1.1992461881103307E-4</v>
      </c>
      <c r="G35" s="29"/>
      <c r="H35" s="29"/>
      <c r="I35" s="29"/>
      <c r="J35" s="57"/>
    </row>
    <row r="36" spans="1:10">
      <c r="A36" s="26">
        <v>36284</v>
      </c>
      <c r="B36" s="52">
        <v>57.625</v>
      </c>
      <c r="C36" s="52">
        <v>54.8125</v>
      </c>
      <c r="D36" s="77">
        <v>35473</v>
      </c>
      <c r="E36" s="112">
        <f t="shared" si="0"/>
        <v>2.8125</v>
      </c>
      <c r="F36" s="137">
        <f t="shared" si="1"/>
        <v>7.9285653877597044E-5</v>
      </c>
      <c r="G36" s="28"/>
      <c r="H36" s="28"/>
      <c r="I36" s="28"/>
      <c r="J36" s="54"/>
    </row>
    <row r="37" spans="1:10">
      <c r="A37" s="26">
        <v>36285</v>
      </c>
      <c r="B37" s="52">
        <v>56.9375</v>
      </c>
      <c r="C37" s="52">
        <v>55.3125</v>
      </c>
      <c r="D37" s="77">
        <v>22432</v>
      </c>
      <c r="E37" s="112">
        <f t="shared" si="0"/>
        <v>1.625</v>
      </c>
      <c r="F37" s="137">
        <f t="shared" si="1"/>
        <v>7.2441155492154071E-5</v>
      </c>
      <c r="G37" s="28"/>
      <c r="H37" s="28"/>
      <c r="I37" s="28"/>
      <c r="J37" s="54"/>
    </row>
    <row r="38" spans="1:10">
      <c r="A38" s="27">
        <v>36286</v>
      </c>
      <c r="B38" s="55">
        <v>58.4375</v>
      </c>
      <c r="C38" s="55">
        <v>55.125</v>
      </c>
      <c r="D38" s="79">
        <v>22109</v>
      </c>
      <c r="E38" s="111">
        <f t="shared" si="0"/>
        <v>3.3125</v>
      </c>
      <c r="F38" s="142">
        <f t="shared" si="1"/>
        <v>1.4982586277081732E-4</v>
      </c>
      <c r="G38" s="29"/>
      <c r="H38" s="29"/>
      <c r="I38" s="29"/>
      <c r="J38" s="57"/>
    </row>
    <row r="39" spans="1:10">
      <c r="A39" s="27">
        <v>36287</v>
      </c>
      <c r="B39" s="55">
        <v>58.1875</v>
      </c>
      <c r="C39" s="55">
        <v>56.375</v>
      </c>
      <c r="D39" s="79">
        <v>28575</v>
      </c>
      <c r="E39" s="111">
        <f t="shared" si="0"/>
        <v>1.8125</v>
      </c>
      <c r="F39" s="142">
        <f t="shared" si="1"/>
        <v>6.3429571303587058E-5</v>
      </c>
      <c r="G39" s="29"/>
      <c r="H39" s="29"/>
      <c r="I39" s="29"/>
      <c r="J39" s="57"/>
    </row>
    <row r="40" spans="1:10">
      <c r="A40" s="26">
        <v>36290</v>
      </c>
      <c r="B40" s="52">
        <v>58.0625</v>
      </c>
      <c r="C40" s="52">
        <v>55.6875</v>
      </c>
      <c r="D40" s="77">
        <v>26157</v>
      </c>
      <c r="E40" s="112">
        <f t="shared" si="0"/>
        <v>2.375</v>
      </c>
      <c r="F40" s="137">
        <f t="shared" si="1"/>
        <v>9.079787437397255E-5</v>
      </c>
      <c r="G40" s="28"/>
      <c r="H40" s="28"/>
      <c r="I40" s="28"/>
      <c r="J40" s="54"/>
    </row>
    <row r="41" spans="1:10">
      <c r="A41" s="26">
        <v>36291</v>
      </c>
      <c r="B41" s="52">
        <v>56.4375</v>
      </c>
      <c r="C41" s="52">
        <v>53.8125</v>
      </c>
      <c r="D41" s="77">
        <v>25251</v>
      </c>
      <c r="E41" s="112">
        <f t="shared" si="0"/>
        <v>2.625</v>
      </c>
      <c r="F41" s="137">
        <f t="shared" si="1"/>
        <v>1.0395627895924914E-4</v>
      </c>
      <c r="G41" s="28"/>
      <c r="H41" s="28"/>
      <c r="I41" s="28"/>
      <c r="J41" s="54"/>
    </row>
    <row r="42" spans="1:10">
      <c r="A42" s="27">
        <v>36292</v>
      </c>
      <c r="B42" s="55">
        <v>54.5</v>
      </c>
      <c r="C42" s="55">
        <v>52</v>
      </c>
      <c r="D42" s="79">
        <v>18676</v>
      </c>
      <c r="E42" s="111">
        <f t="shared" si="0"/>
        <v>2.5</v>
      </c>
      <c r="F42" s="142">
        <f t="shared" si="1"/>
        <v>1.3386164060826729E-4</v>
      </c>
      <c r="G42" s="29"/>
      <c r="H42" s="29"/>
      <c r="I42" s="29"/>
      <c r="J42" s="57"/>
    </row>
    <row r="43" spans="1:10">
      <c r="A43" s="27">
        <v>36293</v>
      </c>
      <c r="B43" s="55">
        <v>54.375</v>
      </c>
      <c r="C43" s="55">
        <v>53</v>
      </c>
      <c r="D43" s="79">
        <v>15264</v>
      </c>
      <c r="E43" s="111">
        <f t="shared" si="0"/>
        <v>1.375</v>
      </c>
      <c r="F43" s="142">
        <f t="shared" si="1"/>
        <v>9.0081236897274631E-5</v>
      </c>
      <c r="G43" s="29"/>
      <c r="H43" s="29"/>
      <c r="I43" s="29"/>
      <c r="J43" s="57"/>
    </row>
    <row r="44" spans="1:10">
      <c r="A44" s="26">
        <v>36294</v>
      </c>
      <c r="B44" s="52">
        <v>54.75</v>
      </c>
      <c r="C44" s="52">
        <v>52.5625</v>
      </c>
      <c r="D44" s="77">
        <v>22255</v>
      </c>
      <c r="E44" s="112">
        <f t="shared" si="0"/>
        <v>2.1875</v>
      </c>
      <c r="F44" s="137">
        <f t="shared" si="1"/>
        <v>9.8292518535160638E-5</v>
      </c>
      <c r="G44" s="28"/>
      <c r="H44" s="28"/>
      <c r="I44" s="28"/>
      <c r="J44" s="54"/>
    </row>
    <row r="45" spans="1:10">
      <c r="A45" s="26">
        <v>36297</v>
      </c>
      <c r="B45" s="52">
        <v>54.5</v>
      </c>
      <c r="C45" s="52">
        <v>53</v>
      </c>
      <c r="D45" s="77">
        <v>18091</v>
      </c>
      <c r="E45" s="112">
        <f t="shared" si="0"/>
        <v>1.5</v>
      </c>
      <c r="F45" s="137">
        <f t="shared" si="1"/>
        <v>8.2914156210270304E-5</v>
      </c>
      <c r="G45" s="28"/>
      <c r="H45" s="28"/>
      <c r="I45" s="28"/>
      <c r="J45" s="54"/>
    </row>
    <row r="46" spans="1:10">
      <c r="A46" s="27">
        <v>36298</v>
      </c>
      <c r="B46" s="55">
        <v>53.25</v>
      </c>
      <c r="C46" s="55">
        <v>51.375</v>
      </c>
      <c r="D46" s="79">
        <v>19757</v>
      </c>
      <c r="E46" s="111">
        <f t="shared" si="0"/>
        <v>1.875</v>
      </c>
      <c r="F46" s="142">
        <f t="shared" si="1"/>
        <v>9.4903072328794859E-5</v>
      </c>
      <c r="G46" s="29"/>
      <c r="H46" s="29"/>
      <c r="I46" s="29"/>
      <c r="J46" s="57"/>
    </row>
    <row r="47" spans="1:10">
      <c r="A47" s="27">
        <v>36299</v>
      </c>
      <c r="B47" s="55">
        <v>54.6875</v>
      </c>
      <c r="C47" s="55">
        <v>52.625</v>
      </c>
      <c r="D47" s="79">
        <v>26367</v>
      </c>
      <c r="E47" s="111">
        <f t="shared" si="0"/>
        <v>2.0625</v>
      </c>
      <c r="F47" s="142">
        <f t="shared" si="1"/>
        <v>7.8222778473091366E-5</v>
      </c>
      <c r="G47" s="29"/>
      <c r="H47" s="29"/>
      <c r="I47" s="29"/>
      <c r="J47" s="57"/>
    </row>
    <row r="48" spans="1:10">
      <c r="A48" s="26">
        <v>36300</v>
      </c>
      <c r="B48" s="52">
        <v>55.4375</v>
      </c>
      <c r="C48" s="52">
        <v>54.0625</v>
      </c>
      <c r="D48" s="77">
        <v>15519</v>
      </c>
      <c r="E48" s="112">
        <f t="shared" si="0"/>
        <v>1.375</v>
      </c>
      <c r="F48" s="137">
        <f t="shared" si="1"/>
        <v>8.8601069656550033E-5</v>
      </c>
      <c r="G48" s="28"/>
      <c r="H48" s="28"/>
      <c r="I48" s="28"/>
      <c r="J48" s="54"/>
    </row>
    <row r="49" spans="1:10">
      <c r="A49" s="26">
        <v>36301</v>
      </c>
      <c r="B49" s="52">
        <v>55.6875</v>
      </c>
      <c r="C49" s="52">
        <v>54.25</v>
      </c>
      <c r="D49" s="77">
        <v>23499</v>
      </c>
      <c r="E49" s="112">
        <f t="shared" si="0"/>
        <v>1.4375</v>
      </c>
      <c r="F49" s="137">
        <f t="shared" si="1"/>
        <v>6.1172815864504878E-5</v>
      </c>
      <c r="G49" s="28"/>
      <c r="H49" s="28"/>
      <c r="I49" s="28"/>
      <c r="J49" s="54"/>
    </row>
    <row r="50" spans="1:10">
      <c r="A50" s="27">
        <v>36304</v>
      </c>
      <c r="B50" s="55">
        <v>56.3125</v>
      </c>
      <c r="C50" s="55">
        <v>55.0625</v>
      </c>
      <c r="D50" s="79">
        <v>21743</v>
      </c>
      <c r="E50" s="111">
        <f t="shared" si="0"/>
        <v>1.25</v>
      </c>
      <c r="F50" s="142">
        <f t="shared" si="1"/>
        <v>5.7489766821505773E-5</v>
      </c>
      <c r="G50" s="29"/>
      <c r="H50" s="29"/>
      <c r="I50" s="29"/>
      <c r="J50" s="57"/>
    </row>
    <row r="51" spans="1:10">
      <c r="A51" s="27">
        <v>36305</v>
      </c>
      <c r="B51" s="55">
        <v>56.75</v>
      </c>
      <c r="C51" s="55">
        <v>54.5</v>
      </c>
      <c r="D51" s="79">
        <v>21311</v>
      </c>
      <c r="E51" s="111">
        <f t="shared" si="0"/>
        <v>2.25</v>
      </c>
      <c r="F51" s="142">
        <f t="shared" si="1"/>
        <v>1.0557927830697762E-4</v>
      </c>
      <c r="G51" s="29"/>
      <c r="H51" s="29"/>
      <c r="I51" s="29"/>
      <c r="J51" s="57"/>
    </row>
    <row r="52" spans="1:10">
      <c r="A52" s="26">
        <v>36306</v>
      </c>
      <c r="B52" s="52">
        <v>55.5</v>
      </c>
      <c r="C52" s="52">
        <v>54</v>
      </c>
      <c r="D52" s="77">
        <v>16480</v>
      </c>
      <c r="E52" s="112">
        <f t="shared" si="0"/>
        <v>1.5</v>
      </c>
      <c r="F52" s="137">
        <f t="shared" si="1"/>
        <v>9.1019417475728158E-5</v>
      </c>
      <c r="G52" s="28"/>
      <c r="H52" s="28"/>
      <c r="I52" s="28"/>
      <c r="J52" s="54"/>
    </row>
    <row r="53" spans="1:10">
      <c r="A53" s="26">
        <v>36307</v>
      </c>
      <c r="B53" s="52">
        <v>54.9375</v>
      </c>
      <c r="C53" s="52">
        <v>52.25</v>
      </c>
      <c r="D53" s="77">
        <v>16698</v>
      </c>
      <c r="E53" s="112">
        <f t="shared" si="0"/>
        <v>2.6875</v>
      </c>
      <c r="F53" s="137">
        <f t="shared" si="1"/>
        <v>1.609474188525572E-4</v>
      </c>
      <c r="G53" s="28"/>
      <c r="H53" s="28"/>
      <c r="I53" s="28"/>
      <c r="J53" s="54"/>
    </row>
    <row r="54" spans="1:10">
      <c r="A54" s="27">
        <v>36308</v>
      </c>
      <c r="B54" s="55">
        <v>52.5625</v>
      </c>
      <c r="C54" s="55">
        <v>49.5</v>
      </c>
      <c r="D54" s="79">
        <v>24338</v>
      </c>
      <c r="E54" s="111">
        <f t="shared" si="0"/>
        <v>3.0625</v>
      </c>
      <c r="F54" s="142">
        <f t="shared" si="1"/>
        <v>1.2583203221300024E-4</v>
      </c>
      <c r="G54" s="29"/>
      <c r="H54" s="29"/>
      <c r="I54" s="29"/>
      <c r="J54" s="57"/>
    </row>
    <row r="55" spans="1:10">
      <c r="A55" s="27">
        <v>36312</v>
      </c>
      <c r="B55" s="55">
        <v>52.75</v>
      </c>
      <c r="C55" s="55">
        <v>50.25</v>
      </c>
      <c r="D55" s="79">
        <v>37149</v>
      </c>
      <c r="E55" s="111">
        <f t="shared" si="0"/>
        <v>2.5</v>
      </c>
      <c r="F55" s="142">
        <f t="shared" si="1"/>
        <v>6.7296562491587936E-5</v>
      </c>
      <c r="G55" s="29"/>
      <c r="H55" s="29"/>
      <c r="I55" s="29"/>
      <c r="J55" s="57"/>
    </row>
    <row r="56" spans="1:10">
      <c r="A56" s="26">
        <v>36313</v>
      </c>
      <c r="B56" s="52">
        <v>54</v>
      </c>
      <c r="C56" s="52">
        <v>52.0625</v>
      </c>
      <c r="D56" s="77">
        <v>20076</v>
      </c>
      <c r="E56" s="112">
        <f t="shared" si="0"/>
        <v>1.9375</v>
      </c>
      <c r="F56" s="137">
        <f t="shared" si="1"/>
        <v>9.6508268579398283E-5</v>
      </c>
      <c r="G56" s="28"/>
      <c r="H56" s="28"/>
      <c r="I56" s="28"/>
      <c r="J56" s="54"/>
    </row>
    <row r="57" spans="1:10">
      <c r="A57" s="141"/>
      <c r="B57" s="139"/>
      <c r="C57" s="139"/>
      <c r="D57" s="139"/>
      <c r="E57" s="139"/>
      <c r="F57" s="139"/>
      <c r="G57" s="139"/>
      <c r="H57" s="139"/>
      <c r="I57" s="139"/>
      <c r="J57" s="140"/>
    </row>
    <row r="58" spans="1:10" ht="15">
      <c r="A58" s="241" t="s">
        <v>878</v>
      </c>
      <c r="B58" s="139"/>
      <c r="C58" s="139"/>
      <c r="D58" s="139"/>
      <c r="E58" s="139"/>
      <c r="F58" s="139"/>
      <c r="G58" s="139"/>
      <c r="H58" s="139"/>
      <c r="I58" s="139"/>
      <c r="J58" s="140"/>
    </row>
    <row r="59" spans="1:10" ht="15">
      <c r="A59" s="241" t="s">
        <v>879</v>
      </c>
      <c r="B59" s="139"/>
      <c r="C59" s="139"/>
      <c r="D59" s="139"/>
      <c r="E59" s="139"/>
      <c r="F59" s="139"/>
      <c r="G59" s="139"/>
      <c r="H59" s="139"/>
      <c r="I59" s="139"/>
      <c r="J59" s="140"/>
    </row>
    <row r="60" spans="1:10">
      <c r="A60" s="141"/>
      <c r="B60" s="139"/>
      <c r="C60" s="139"/>
      <c r="D60" s="139"/>
      <c r="E60" s="139"/>
      <c r="F60" s="139"/>
      <c r="G60" s="139"/>
      <c r="H60" s="139"/>
      <c r="I60" s="139"/>
      <c r="J60" s="140"/>
    </row>
    <row r="61" spans="1:10">
      <c r="A61" s="141"/>
      <c r="B61" s="139"/>
      <c r="C61" s="139"/>
      <c r="D61" s="139"/>
      <c r="E61" s="139"/>
      <c r="F61" s="139"/>
      <c r="G61" s="139"/>
      <c r="H61" s="139"/>
      <c r="I61" s="139"/>
      <c r="J61" s="140"/>
    </row>
    <row r="62" spans="1:10">
      <c r="A62" s="30"/>
      <c r="B62" s="30"/>
      <c r="C62" s="30"/>
      <c r="D62" s="30"/>
      <c r="E62" s="30"/>
      <c r="F62" s="30"/>
      <c r="G62" s="30"/>
      <c r="H62" s="30"/>
      <c r="I62" s="30"/>
      <c r="J62" s="30"/>
    </row>
    <row r="63" spans="1:10">
      <c r="A63" s="30"/>
      <c r="B63" s="30"/>
      <c r="C63" s="30"/>
      <c r="D63" s="30"/>
      <c r="E63" s="30"/>
      <c r="F63" s="30"/>
      <c r="G63" s="30"/>
      <c r="H63" s="30"/>
      <c r="I63" s="30"/>
      <c r="J63" s="30"/>
    </row>
    <row r="64" spans="1:10">
      <c r="A64" s="30"/>
      <c r="B64" s="30"/>
      <c r="C64" s="30"/>
      <c r="D64" s="30"/>
      <c r="E64" s="30"/>
      <c r="F64" s="30"/>
      <c r="G64" s="30"/>
      <c r="H64" s="30"/>
      <c r="I64" s="30"/>
      <c r="J64" s="30"/>
    </row>
    <row r="65" spans="1:10">
      <c r="A65" s="30"/>
      <c r="B65" s="30"/>
      <c r="C65" s="30"/>
      <c r="D65" s="30"/>
      <c r="E65" s="30"/>
      <c r="F65" s="30"/>
      <c r="G65" s="30"/>
      <c r="H65" s="30"/>
      <c r="I65" s="30"/>
      <c r="J65" s="30"/>
    </row>
    <row r="66" spans="1:10">
      <c r="A66" s="30"/>
      <c r="B66" s="30"/>
      <c r="C66" s="30"/>
      <c r="D66" s="30"/>
      <c r="E66" s="30"/>
      <c r="F66" s="30"/>
      <c r="G66" s="30"/>
      <c r="H66" s="30"/>
      <c r="I66" s="30"/>
      <c r="J66" s="30"/>
    </row>
  </sheetData>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8915"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38916"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38917"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38918"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dimension ref="A1:N601"/>
  <sheetViews>
    <sheetView workbookViewId="0"/>
  </sheetViews>
  <sheetFormatPr baseColWidth="10" defaultColWidth="8.83203125" defaultRowHeight="12" x14ac:dyDescent="0"/>
  <cols>
    <col min="1" max="1" width="11.6640625" customWidth="1"/>
    <col min="4" max="4" width="11.83203125" customWidth="1"/>
    <col min="5" max="5" width="10.5" customWidth="1"/>
  </cols>
  <sheetData>
    <row r="1" spans="1:14">
      <c r="A1" s="21"/>
      <c r="B1" s="21"/>
      <c r="C1" s="21" t="s">
        <v>846</v>
      </c>
      <c r="D1" s="21"/>
      <c r="E1" s="21"/>
      <c r="F1" s="21"/>
      <c r="G1" s="21"/>
      <c r="H1" s="21"/>
      <c r="I1" s="21"/>
    </row>
    <row r="2" spans="1:14" ht="21" customHeight="1">
      <c r="A2" s="21"/>
      <c r="B2" s="21"/>
      <c r="C2" s="21"/>
      <c r="D2" s="374"/>
      <c r="E2" s="374"/>
      <c r="F2" s="374"/>
      <c r="G2" s="374"/>
      <c r="H2" s="374"/>
      <c r="I2" s="374"/>
      <c r="J2" s="372"/>
      <c r="K2" s="372"/>
      <c r="L2" s="372"/>
      <c r="M2" s="372"/>
      <c r="N2" s="372"/>
    </row>
    <row r="3" spans="1:14">
      <c r="A3" s="19" t="s">
        <v>1045</v>
      </c>
      <c r="B3" s="20" t="s">
        <v>807</v>
      </c>
      <c r="C3" s="21"/>
      <c r="D3" s="21"/>
      <c r="E3" s="21"/>
      <c r="F3" s="21"/>
      <c r="G3" s="21"/>
      <c r="H3" s="21"/>
      <c r="I3" s="21"/>
    </row>
    <row r="4" spans="1:14">
      <c r="A4" s="19" t="s">
        <v>774</v>
      </c>
      <c r="B4" s="20" t="s">
        <v>383</v>
      </c>
      <c r="C4" s="21"/>
      <c r="D4" s="21"/>
      <c r="E4" s="21"/>
      <c r="F4" s="21"/>
      <c r="G4" s="21"/>
      <c r="H4" s="21"/>
      <c r="I4" s="21"/>
    </row>
    <row r="5" spans="1:14" ht="15">
      <c r="A5" s="118" t="s">
        <v>779</v>
      </c>
      <c r="B5" s="127" t="s">
        <v>1315</v>
      </c>
      <c r="C5" s="21"/>
      <c r="D5" s="21"/>
      <c r="E5" s="21"/>
      <c r="F5" s="21"/>
      <c r="G5" s="21"/>
      <c r="H5" s="21"/>
      <c r="I5" s="21"/>
    </row>
    <row r="6" spans="1:14" ht="42" customHeight="1">
      <c r="A6" s="21"/>
      <c r="B6" s="21"/>
      <c r="C6" s="21"/>
      <c r="D6" s="21"/>
      <c r="E6" s="21"/>
      <c r="F6" s="21"/>
      <c r="G6" s="21"/>
      <c r="H6" s="21"/>
      <c r="I6" s="21"/>
    </row>
    <row r="7" spans="1:14" ht="35.25" customHeight="1">
      <c r="A7" s="118"/>
      <c r="B7" s="446" t="s">
        <v>1316</v>
      </c>
      <c r="C7" s="446"/>
      <c r="D7" s="446"/>
      <c r="E7" s="446"/>
      <c r="F7" s="446"/>
      <c r="G7" s="446"/>
      <c r="H7" s="446"/>
      <c r="I7" s="446"/>
    </row>
    <row r="8" spans="1:14" ht="16.5" customHeight="1">
      <c r="A8" s="147" t="s">
        <v>635</v>
      </c>
      <c r="B8" s="150">
        <v>9</v>
      </c>
      <c r="C8" s="461" t="s">
        <v>349</v>
      </c>
      <c r="D8" s="461"/>
      <c r="E8" s="461"/>
      <c r="F8" s="461"/>
      <c r="G8" s="461"/>
      <c r="H8" s="461"/>
      <c r="I8" s="461"/>
    </row>
    <row r="9" spans="1:14" ht="13.5" customHeight="1">
      <c r="A9" s="147"/>
      <c r="B9" s="150">
        <v>3</v>
      </c>
      <c r="C9" s="461" t="s">
        <v>350</v>
      </c>
      <c r="D9" s="461"/>
      <c r="E9" s="461"/>
      <c r="F9" s="461"/>
      <c r="G9" s="461"/>
      <c r="H9" s="461"/>
      <c r="I9" s="461"/>
    </row>
    <row r="10" spans="1:14" ht="36">
      <c r="A10" s="22" t="s">
        <v>1090</v>
      </c>
      <c r="B10" s="22" t="s">
        <v>1096</v>
      </c>
      <c r="C10" s="22" t="s">
        <v>1097</v>
      </c>
      <c r="D10" s="31" t="s">
        <v>522</v>
      </c>
      <c r="E10" s="31" t="s">
        <v>27</v>
      </c>
      <c r="F10" s="31" t="s">
        <v>28</v>
      </c>
      <c r="G10" s="31" t="s">
        <v>29</v>
      </c>
      <c r="H10" s="31" t="s">
        <v>49</v>
      </c>
      <c r="I10" s="22"/>
    </row>
    <row r="11" spans="1:14">
      <c r="A11" s="26">
        <v>32905</v>
      </c>
      <c r="B11" s="52">
        <v>38.125</v>
      </c>
      <c r="C11" s="52">
        <v>37.75</v>
      </c>
      <c r="D11" s="52">
        <f>B11-C11</f>
        <v>0.375</v>
      </c>
      <c r="E11" s="75">
        <f>D11</f>
        <v>0.375</v>
      </c>
      <c r="F11" s="75"/>
      <c r="G11" s="28"/>
      <c r="H11" s="28"/>
      <c r="I11" s="54"/>
    </row>
    <row r="12" spans="1:14">
      <c r="A12" s="26">
        <v>32906</v>
      </c>
      <c r="B12" s="52">
        <v>38</v>
      </c>
      <c r="C12" s="52">
        <v>37.75</v>
      </c>
      <c r="D12" s="52">
        <f t="shared" ref="D12:D27" si="0">B12-C12</f>
        <v>0.25</v>
      </c>
      <c r="E12" s="75">
        <f t="shared" ref="E12:E43" si="1">D12*(2/(B$8+1)) + E11*(1-(2/(B$8+1)))</f>
        <v>0.35000000000000003</v>
      </c>
      <c r="F12" s="75"/>
      <c r="G12" s="28"/>
      <c r="H12" s="28"/>
      <c r="I12" s="54"/>
    </row>
    <row r="13" spans="1:14">
      <c r="A13" s="27">
        <v>32909</v>
      </c>
      <c r="B13" s="55">
        <v>37.9375</v>
      </c>
      <c r="C13" s="55">
        <v>37.8125</v>
      </c>
      <c r="D13" s="55">
        <f t="shared" si="0"/>
        <v>0.125</v>
      </c>
      <c r="E13" s="76">
        <f t="shared" si="1"/>
        <v>0.30500000000000005</v>
      </c>
      <c r="F13" s="76"/>
      <c r="G13" s="29"/>
      <c r="H13" s="29"/>
      <c r="I13" s="57"/>
    </row>
    <row r="14" spans="1:14">
      <c r="A14" s="27">
        <v>32910</v>
      </c>
      <c r="B14" s="55">
        <v>37.875</v>
      </c>
      <c r="C14" s="55">
        <v>37.625</v>
      </c>
      <c r="D14" s="55">
        <f t="shared" si="0"/>
        <v>0.25</v>
      </c>
      <c r="E14" s="76">
        <f t="shared" si="1"/>
        <v>0.29400000000000004</v>
      </c>
      <c r="F14" s="76"/>
      <c r="G14" s="29"/>
      <c r="H14" s="29"/>
      <c r="I14" s="57"/>
    </row>
    <row r="15" spans="1:14">
      <c r="A15" s="26">
        <v>32911</v>
      </c>
      <c r="B15" s="52">
        <v>38.125</v>
      </c>
      <c r="C15" s="52">
        <v>37.5</v>
      </c>
      <c r="D15" s="52">
        <f t="shared" si="0"/>
        <v>0.625</v>
      </c>
      <c r="E15" s="75">
        <f t="shared" si="1"/>
        <v>0.36020000000000008</v>
      </c>
      <c r="F15" s="75"/>
      <c r="G15" s="28"/>
      <c r="H15" s="28"/>
      <c r="I15" s="54"/>
    </row>
    <row r="16" spans="1:14">
      <c r="A16" s="26">
        <v>32912</v>
      </c>
      <c r="B16" s="52">
        <v>38.125</v>
      </c>
      <c r="C16" s="52">
        <v>37.5</v>
      </c>
      <c r="D16" s="52">
        <f t="shared" si="0"/>
        <v>0.625</v>
      </c>
      <c r="E16" s="75">
        <f t="shared" si="1"/>
        <v>0.41316000000000008</v>
      </c>
      <c r="F16" s="75"/>
      <c r="G16" s="28"/>
      <c r="H16" s="28"/>
      <c r="I16" s="54"/>
    </row>
    <row r="17" spans="1:9">
      <c r="A17" s="27">
        <v>32913</v>
      </c>
      <c r="B17" s="55">
        <v>37.75</v>
      </c>
      <c r="C17" s="55">
        <v>37.5</v>
      </c>
      <c r="D17" s="55">
        <f t="shared" si="0"/>
        <v>0.25</v>
      </c>
      <c r="E17" s="76">
        <f t="shared" si="1"/>
        <v>0.38052800000000009</v>
      </c>
      <c r="F17" s="76"/>
      <c r="G17" s="29"/>
      <c r="H17" s="29"/>
      <c r="I17" s="57"/>
    </row>
    <row r="18" spans="1:9">
      <c r="A18" s="27">
        <v>32916</v>
      </c>
      <c r="B18" s="55">
        <v>37.625</v>
      </c>
      <c r="C18" s="55">
        <v>37.4375</v>
      </c>
      <c r="D18" s="55">
        <f t="shared" si="0"/>
        <v>0.1875</v>
      </c>
      <c r="E18" s="76">
        <f t="shared" si="1"/>
        <v>0.34192240000000007</v>
      </c>
      <c r="F18" s="76"/>
      <c r="G18" s="29"/>
      <c r="H18" s="29"/>
      <c r="I18" s="57"/>
    </row>
    <row r="19" spans="1:9">
      <c r="A19" s="26">
        <v>32917</v>
      </c>
      <c r="B19" s="52">
        <v>37.6875</v>
      </c>
      <c r="C19" s="52">
        <v>37.375</v>
      </c>
      <c r="D19" s="52">
        <f t="shared" si="0"/>
        <v>0.3125</v>
      </c>
      <c r="E19" s="143">
        <f t="shared" si="1"/>
        <v>0.33603792000000005</v>
      </c>
      <c r="F19" s="75">
        <f>E19</f>
        <v>0.33603792000000005</v>
      </c>
      <c r="G19" s="28"/>
      <c r="H19" s="28"/>
      <c r="I19" s="54"/>
    </row>
    <row r="20" spans="1:9">
      <c r="A20" s="26">
        <v>32918</v>
      </c>
      <c r="B20" s="52">
        <v>37.5</v>
      </c>
      <c r="C20" s="52">
        <v>37.375</v>
      </c>
      <c r="D20" s="52">
        <f t="shared" si="0"/>
        <v>0.125</v>
      </c>
      <c r="E20" s="143">
        <f t="shared" si="1"/>
        <v>0.29383033600000008</v>
      </c>
      <c r="F20" s="75">
        <f t="shared" ref="F20:F61" si="2">E20*(2/($B$8+1)) + F19*(1-(2/($B$8+1)))</f>
        <v>0.32759640320000005</v>
      </c>
      <c r="G20" s="28"/>
      <c r="H20" s="28"/>
      <c r="I20" s="54"/>
    </row>
    <row r="21" spans="1:9">
      <c r="A21" s="27">
        <v>32919</v>
      </c>
      <c r="B21" s="55">
        <v>37.5625</v>
      </c>
      <c r="C21" s="55">
        <v>37.375</v>
      </c>
      <c r="D21" s="55">
        <f t="shared" si="0"/>
        <v>0.1875</v>
      </c>
      <c r="E21" s="144">
        <f t="shared" si="1"/>
        <v>0.27256426880000006</v>
      </c>
      <c r="F21" s="76">
        <f t="shared" si="2"/>
        <v>0.31658997632000008</v>
      </c>
      <c r="G21" s="29"/>
      <c r="H21" s="29"/>
      <c r="I21" s="57"/>
    </row>
    <row r="22" spans="1:9">
      <c r="A22" s="27">
        <v>32920</v>
      </c>
      <c r="B22" s="55">
        <v>37.625</v>
      </c>
      <c r="C22" s="55">
        <v>36.8125</v>
      </c>
      <c r="D22" s="55">
        <f t="shared" si="0"/>
        <v>0.8125</v>
      </c>
      <c r="E22" s="144">
        <f t="shared" si="1"/>
        <v>0.38055141504000006</v>
      </c>
      <c r="F22" s="76">
        <f t="shared" si="2"/>
        <v>0.32938226406400006</v>
      </c>
      <c r="G22" s="29"/>
      <c r="H22" s="29"/>
      <c r="I22" s="57"/>
    </row>
    <row r="23" spans="1:9">
      <c r="A23" s="26">
        <v>32924</v>
      </c>
      <c r="B23" s="52">
        <v>36.6875</v>
      </c>
      <c r="C23" s="52">
        <v>36.3125</v>
      </c>
      <c r="D23" s="52">
        <f t="shared" si="0"/>
        <v>0.375</v>
      </c>
      <c r="E23" s="143">
        <f t="shared" si="1"/>
        <v>0.37944113203200008</v>
      </c>
      <c r="F23" s="75">
        <f t="shared" si="2"/>
        <v>0.33939403765760007</v>
      </c>
      <c r="G23" s="28"/>
      <c r="H23" s="28"/>
      <c r="I23" s="54"/>
    </row>
    <row r="24" spans="1:9">
      <c r="A24" s="26">
        <v>32925</v>
      </c>
      <c r="B24" s="52">
        <v>36.875</v>
      </c>
      <c r="C24" s="52">
        <v>36.25</v>
      </c>
      <c r="D24" s="52">
        <f t="shared" si="0"/>
        <v>0.625</v>
      </c>
      <c r="E24" s="143">
        <f t="shared" si="1"/>
        <v>0.42855290562560011</v>
      </c>
      <c r="F24" s="75">
        <f t="shared" si="2"/>
        <v>0.35722581125120012</v>
      </c>
      <c r="G24" s="28"/>
      <c r="H24" s="28"/>
      <c r="I24" s="54"/>
    </row>
    <row r="25" spans="1:9">
      <c r="A25" s="27">
        <v>32926</v>
      </c>
      <c r="B25" s="55">
        <v>36.9375</v>
      </c>
      <c r="C25" s="55">
        <v>36.5</v>
      </c>
      <c r="D25" s="55">
        <f t="shared" si="0"/>
        <v>0.4375</v>
      </c>
      <c r="E25" s="144">
        <f t="shared" si="1"/>
        <v>0.43034232450048016</v>
      </c>
      <c r="F25" s="76">
        <f t="shared" si="2"/>
        <v>0.37184911390105613</v>
      </c>
      <c r="G25" s="29"/>
      <c r="H25" s="29"/>
      <c r="I25" s="57"/>
    </row>
    <row r="26" spans="1:9">
      <c r="A26" s="27">
        <v>32927</v>
      </c>
      <c r="B26" s="55">
        <v>36.5</v>
      </c>
      <c r="C26" s="55">
        <v>36.25</v>
      </c>
      <c r="D26" s="55">
        <f t="shared" si="0"/>
        <v>0.25</v>
      </c>
      <c r="E26" s="144">
        <f t="shared" si="1"/>
        <v>0.39427385960038414</v>
      </c>
      <c r="F26" s="76">
        <f t="shared" si="2"/>
        <v>0.37633406304092176</v>
      </c>
      <c r="G26" s="29"/>
      <c r="H26" s="29"/>
      <c r="I26" s="145"/>
    </row>
    <row r="27" spans="1:9">
      <c r="A27" s="26">
        <v>32930</v>
      </c>
      <c r="B27" s="52">
        <v>36.9375</v>
      </c>
      <c r="C27" s="52">
        <v>36.3125</v>
      </c>
      <c r="D27" s="52">
        <f t="shared" si="0"/>
        <v>0.625</v>
      </c>
      <c r="E27" s="143">
        <f t="shared" si="1"/>
        <v>0.44041908768030735</v>
      </c>
      <c r="F27" s="143">
        <f t="shared" si="2"/>
        <v>0.38915106796879889</v>
      </c>
      <c r="G27" s="52">
        <f>E27/F27</f>
        <v>1.1317432327222059</v>
      </c>
      <c r="H27" s="28"/>
      <c r="I27" s="54"/>
    </row>
    <row r="28" spans="1:9">
      <c r="A28" s="26">
        <v>32931</v>
      </c>
      <c r="B28" s="52">
        <v>37</v>
      </c>
      <c r="C28" s="52">
        <v>36.625</v>
      </c>
      <c r="D28" s="52">
        <f t="shared" ref="D28:D43" si="3">B28-C28</f>
        <v>0.375</v>
      </c>
      <c r="E28" s="143">
        <f t="shared" si="1"/>
        <v>0.42733527014424594</v>
      </c>
      <c r="F28" s="143">
        <f t="shared" si="2"/>
        <v>0.39678790840388833</v>
      </c>
      <c r="G28" s="52">
        <f t="shared" ref="G28:G43" si="4">E28/F28</f>
        <v>1.0769866245754234</v>
      </c>
      <c r="H28" s="28"/>
      <c r="I28" s="54"/>
    </row>
    <row r="29" spans="1:9">
      <c r="A29" s="27">
        <v>32932</v>
      </c>
      <c r="B29" s="55">
        <v>36.875</v>
      </c>
      <c r="C29" s="55">
        <v>36.5625</v>
      </c>
      <c r="D29" s="55">
        <f t="shared" si="3"/>
        <v>0.3125</v>
      </c>
      <c r="E29" s="144">
        <f t="shared" si="1"/>
        <v>0.40436821611539675</v>
      </c>
      <c r="F29" s="144">
        <f t="shared" si="2"/>
        <v>0.39830396994619</v>
      </c>
      <c r="G29" s="55">
        <f t="shared" si="4"/>
        <v>1.0152251712932363</v>
      </c>
      <c r="H29" s="55">
        <f>SUM(G27:G29)</f>
        <v>3.2239550285908658</v>
      </c>
      <c r="I29" s="57"/>
    </row>
    <row r="30" spans="1:9">
      <c r="A30" s="27">
        <v>32933</v>
      </c>
      <c r="B30" s="55">
        <v>36.8125</v>
      </c>
      <c r="C30" s="55">
        <v>36.375</v>
      </c>
      <c r="D30" s="55">
        <f t="shared" si="3"/>
        <v>0.4375</v>
      </c>
      <c r="E30" s="144">
        <f t="shared" si="1"/>
        <v>0.41099457289231744</v>
      </c>
      <c r="F30" s="144">
        <f t="shared" si="2"/>
        <v>0.40084209053541553</v>
      </c>
      <c r="G30" s="55">
        <f t="shared" si="4"/>
        <v>1.0253278849617338</v>
      </c>
      <c r="H30" s="55">
        <f t="shared" ref="H30:H61" si="5">SUM(G28:G30)</f>
        <v>3.1175396808303937</v>
      </c>
      <c r="I30" s="57"/>
    </row>
    <row r="31" spans="1:9">
      <c r="A31" s="26">
        <v>32934</v>
      </c>
      <c r="B31" s="52">
        <v>36.625</v>
      </c>
      <c r="C31" s="52">
        <v>36.375</v>
      </c>
      <c r="D31" s="52">
        <f t="shared" si="3"/>
        <v>0.25</v>
      </c>
      <c r="E31" s="143">
        <f t="shared" si="1"/>
        <v>0.37879565831385398</v>
      </c>
      <c r="F31" s="143">
        <f t="shared" si="2"/>
        <v>0.39643280409110326</v>
      </c>
      <c r="G31" s="52">
        <f t="shared" si="4"/>
        <v>0.95551037755897683</v>
      </c>
      <c r="H31" s="52">
        <f t="shared" si="5"/>
        <v>2.9960634338139469</v>
      </c>
      <c r="I31" s="54"/>
    </row>
    <row r="32" spans="1:9">
      <c r="A32" s="26">
        <v>32937</v>
      </c>
      <c r="B32" s="52">
        <v>36.9375</v>
      </c>
      <c r="C32" s="52">
        <v>36.25</v>
      </c>
      <c r="D32" s="52">
        <f t="shared" si="3"/>
        <v>0.6875</v>
      </c>
      <c r="E32" s="143">
        <f t="shared" si="1"/>
        <v>0.44053652665108323</v>
      </c>
      <c r="F32" s="143">
        <f t="shared" si="2"/>
        <v>0.40525354860309931</v>
      </c>
      <c r="G32" s="52">
        <f t="shared" si="4"/>
        <v>1.0870639582789678</v>
      </c>
      <c r="H32" s="52">
        <f t="shared" si="5"/>
        <v>3.0679022207996782</v>
      </c>
      <c r="I32" s="54"/>
    </row>
    <row r="33" spans="1:9">
      <c r="A33" s="27">
        <v>32938</v>
      </c>
      <c r="B33" s="55">
        <v>36.4375</v>
      </c>
      <c r="C33" s="55">
        <v>36</v>
      </c>
      <c r="D33" s="55">
        <f t="shared" si="3"/>
        <v>0.4375</v>
      </c>
      <c r="E33" s="144">
        <f t="shared" si="1"/>
        <v>0.43992922132086665</v>
      </c>
      <c r="F33" s="144">
        <f t="shared" si="2"/>
        <v>0.4121886831466528</v>
      </c>
      <c r="G33" s="55">
        <f t="shared" si="4"/>
        <v>1.0673005817686267</v>
      </c>
      <c r="H33" s="55">
        <f t="shared" si="5"/>
        <v>3.1098749176065716</v>
      </c>
      <c r="I33" s="57"/>
    </row>
    <row r="34" spans="1:9">
      <c r="A34" s="27">
        <v>32939</v>
      </c>
      <c r="B34" s="55">
        <v>36.5625</v>
      </c>
      <c r="C34" s="55">
        <v>35.9375</v>
      </c>
      <c r="D34" s="55">
        <f t="shared" si="3"/>
        <v>0.625</v>
      </c>
      <c r="E34" s="144">
        <f t="shared" si="1"/>
        <v>0.47694337705669332</v>
      </c>
      <c r="F34" s="144">
        <f t="shared" si="2"/>
        <v>0.42513962192866095</v>
      </c>
      <c r="G34" s="55">
        <f t="shared" si="4"/>
        <v>1.1218511577279549</v>
      </c>
      <c r="H34" s="55">
        <f t="shared" si="5"/>
        <v>3.276215697775549</v>
      </c>
      <c r="I34" s="57"/>
    </row>
    <row r="35" spans="1:9">
      <c r="A35" s="26">
        <v>32940</v>
      </c>
      <c r="B35" s="52">
        <v>36.4375</v>
      </c>
      <c r="C35" s="52">
        <v>35.9375</v>
      </c>
      <c r="D35" s="52">
        <f t="shared" si="3"/>
        <v>0.5</v>
      </c>
      <c r="E35" s="143">
        <f t="shared" si="1"/>
        <v>0.48155470164535463</v>
      </c>
      <c r="F35" s="143">
        <f t="shared" si="2"/>
        <v>0.43642263787199975</v>
      </c>
      <c r="G35" s="52">
        <f t="shared" si="4"/>
        <v>1.1034136634007328</v>
      </c>
      <c r="H35" s="52">
        <f t="shared" si="5"/>
        <v>3.2925654028973144</v>
      </c>
      <c r="I35" s="54"/>
    </row>
    <row r="36" spans="1:9">
      <c r="A36" s="26">
        <v>32941</v>
      </c>
      <c r="B36" s="52">
        <v>36.4375</v>
      </c>
      <c r="C36" s="52">
        <v>36.0625</v>
      </c>
      <c r="D36" s="52">
        <f t="shared" si="3"/>
        <v>0.375</v>
      </c>
      <c r="E36" s="143">
        <f t="shared" si="1"/>
        <v>0.46024376131628375</v>
      </c>
      <c r="F36" s="143">
        <f t="shared" si="2"/>
        <v>0.4411868625608566</v>
      </c>
      <c r="G36" s="52">
        <f t="shared" si="4"/>
        <v>1.0431946197237423</v>
      </c>
      <c r="H36" s="52">
        <f t="shared" si="5"/>
        <v>3.2684594408524301</v>
      </c>
      <c r="I36" s="54"/>
    </row>
    <row r="37" spans="1:9">
      <c r="A37" s="27">
        <v>32944</v>
      </c>
      <c r="B37" s="55">
        <v>36.375</v>
      </c>
      <c r="C37" s="55">
        <v>36.125</v>
      </c>
      <c r="D37" s="55">
        <f t="shared" si="3"/>
        <v>0.25</v>
      </c>
      <c r="E37" s="144">
        <f t="shared" si="1"/>
        <v>0.41819500905302703</v>
      </c>
      <c r="F37" s="144">
        <f t="shared" si="2"/>
        <v>0.43658849185929072</v>
      </c>
      <c r="G37" s="55">
        <f t="shared" si="4"/>
        <v>0.95786997791001838</v>
      </c>
      <c r="H37" s="55">
        <f t="shared" si="5"/>
        <v>3.1044782610344934</v>
      </c>
      <c r="I37" s="57"/>
    </row>
    <row r="38" spans="1:9">
      <c r="A38" s="27">
        <v>32945</v>
      </c>
      <c r="B38" s="55">
        <v>36.5</v>
      </c>
      <c r="C38" s="55">
        <v>36.125</v>
      </c>
      <c r="D38" s="55">
        <f t="shared" si="3"/>
        <v>0.375</v>
      </c>
      <c r="E38" s="144">
        <f t="shared" si="1"/>
        <v>0.40955600724242164</v>
      </c>
      <c r="F38" s="144">
        <f t="shared" si="2"/>
        <v>0.43118199493591697</v>
      </c>
      <c r="G38" s="55">
        <f t="shared" si="4"/>
        <v>0.94984487305248122</v>
      </c>
      <c r="H38" s="55">
        <f t="shared" si="5"/>
        <v>2.9509094706862418</v>
      </c>
      <c r="I38" s="57"/>
    </row>
    <row r="39" spans="1:9">
      <c r="A39" s="26">
        <v>32946</v>
      </c>
      <c r="B39" s="52">
        <v>36.3125</v>
      </c>
      <c r="C39" s="52">
        <v>36.0625</v>
      </c>
      <c r="D39" s="52">
        <f t="shared" si="3"/>
        <v>0.25</v>
      </c>
      <c r="E39" s="143">
        <f t="shared" si="1"/>
        <v>0.37764480579393733</v>
      </c>
      <c r="F39" s="143">
        <f t="shared" si="2"/>
        <v>0.42047455710752107</v>
      </c>
      <c r="G39" s="52">
        <f t="shared" si="4"/>
        <v>0.89813949360405276</v>
      </c>
      <c r="H39" s="52">
        <f t="shared" si="5"/>
        <v>2.8058543445665522</v>
      </c>
      <c r="I39" s="54"/>
    </row>
    <row r="40" spans="1:9">
      <c r="A40" s="26">
        <v>32947</v>
      </c>
      <c r="B40" s="52">
        <v>36.625</v>
      </c>
      <c r="C40" s="52">
        <v>36.1875</v>
      </c>
      <c r="D40" s="52">
        <f t="shared" si="3"/>
        <v>0.4375</v>
      </c>
      <c r="E40" s="143">
        <f t="shared" si="1"/>
        <v>0.38961584463514992</v>
      </c>
      <c r="F40" s="143">
        <f t="shared" si="2"/>
        <v>0.41430281461304685</v>
      </c>
      <c r="G40" s="52">
        <f t="shared" si="4"/>
        <v>0.94041322166504171</v>
      </c>
      <c r="H40" s="52">
        <f t="shared" si="5"/>
        <v>2.7883975883215757</v>
      </c>
      <c r="I40" s="54"/>
    </row>
    <row r="41" spans="1:9">
      <c r="A41" s="27">
        <v>32948</v>
      </c>
      <c r="B41" s="55">
        <v>36.9375</v>
      </c>
      <c r="C41" s="55">
        <v>36.375</v>
      </c>
      <c r="D41" s="55">
        <f t="shared" si="3"/>
        <v>0.5625</v>
      </c>
      <c r="E41" s="144">
        <f t="shared" si="1"/>
        <v>0.42419267570811997</v>
      </c>
      <c r="F41" s="144">
        <f t="shared" si="2"/>
        <v>0.41628078683206149</v>
      </c>
      <c r="G41" s="55">
        <f t="shared" si="4"/>
        <v>1.0190061351047901</v>
      </c>
      <c r="H41" s="55">
        <f t="shared" si="5"/>
        <v>2.8575588503738847</v>
      </c>
      <c r="I41" s="57"/>
    </row>
    <row r="42" spans="1:9">
      <c r="A42" s="27">
        <v>32951</v>
      </c>
      <c r="B42" s="55">
        <v>37.375</v>
      </c>
      <c r="C42" s="55">
        <v>36.8125</v>
      </c>
      <c r="D42" s="55">
        <f t="shared" si="3"/>
        <v>0.5625</v>
      </c>
      <c r="E42" s="144">
        <f t="shared" si="1"/>
        <v>0.45185414056649598</v>
      </c>
      <c r="F42" s="144">
        <f t="shared" si="2"/>
        <v>0.42339545757894842</v>
      </c>
      <c r="G42" s="55">
        <f t="shared" si="4"/>
        <v>1.0672153715353476</v>
      </c>
      <c r="H42" s="55">
        <f t="shared" si="5"/>
        <v>3.0266347283051793</v>
      </c>
      <c r="I42" s="57"/>
    </row>
    <row r="43" spans="1:9">
      <c r="A43" s="26">
        <v>32952</v>
      </c>
      <c r="B43" s="52">
        <v>37.3125</v>
      </c>
      <c r="C43" s="52">
        <v>36.8125</v>
      </c>
      <c r="D43" s="52">
        <f t="shared" si="3"/>
        <v>0.5</v>
      </c>
      <c r="E43" s="143">
        <f t="shared" si="1"/>
        <v>0.46148331245319685</v>
      </c>
      <c r="F43" s="143">
        <f t="shared" si="2"/>
        <v>0.43101302855379814</v>
      </c>
      <c r="G43" s="52">
        <f t="shared" si="4"/>
        <v>1.0706945773811927</v>
      </c>
      <c r="H43" s="52">
        <f t="shared" si="5"/>
        <v>3.1569160840213306</v>
      </c>
      <c r="I43" s="54"/>
    </row>
    <row r="44" spans="1:9">
      <c r="A44" s="26">
        <v>32953</v>
      </c>
      <c r="B44" s="52">
        <v>36.9375</v>
      </c>
      <c r="C44" s="52">
        <v>36.625</v>
      </c>
      <c r="D44" s="52">
        <f t="shared" ref="D44:D59" si="6">B44-C44</f>
        <v>0.3125</v>
      </c>
      <c r="E44" s="143">
        <f t="shared" ref="E44:E61" si="7">D44*(2/(B$8+1)) + E43*(1-(2/(B$8+1)))</f>
        <v>0.43168664996255751</v>
      </c>
      <c r="F44" s="143">
        <f t="shared" si="2"/>
        <v>0.43114775283555007</v>
      </c>
      <c r="G44" s="52">
        <f t="shared" ref="G44:G59" si="8">E44/F44</f>
        <v>1.0012499128743297</v>
      </c>
      <c r="H44" s="52">
        <f t="shared" si="5"/>
        <v>3.13915986179087</v>
      </c>
      <c r="I44" s="54"/>
    </row>
    <row r="45" spans="1:9">
      <c r="A45" s="27">
        <v>32954</v>
      </c>
      <c r="B45" s="55">
        <v>36.5625</v>
      </c>
      <c r="C45" s="55">
        <v>35.625</v>
      </c>
      <c r="D45" s="55">
        <f t="shared" si="6"/>
        <v>0.9375</v>
      </c>
      <c r="E45" s="144">
        <f t="shared" si="7"/>
        <v>0.53284931997004603</v>
      </c>
      <c r="F45" s="144">
        <f t="shared" si="2"/>
        <v>0.45148806626244925</v>
      </c>
      <c r="G45" s="55">
        <f t="shared" si="8"/>
        <v>1.1802068754134061</v>
      </c>
      <c r="H45" s="55">
        <f t="shared" si="5"/>
        <v>3.2521513656689285</v>
      </c>
      <c r="I45" s="57"/>
    </row>
    <row r="46" spans="1:9">
      <c r="A46" s="27">
        <v>32955</v>
      </c>
      <c r="B46" s="55">
        <v>36.875</v>
      </c>
      <c r="C46" s="55">
        <v>36.0625</v>
      </c>
      <c r="D46" s="55">
        <f t="shared" si="6"/>
        <v>0.8125</v>
      </c>
      <c r="E46" s="144">
        <f t="shared" si="7"/>
        <v>0.58877945597603687</v>
      </c>
      <c r="F46" s="144">
        <f t="shared" si="2"/>
        <v>0.4789463442051668</v>
      </c>
      <c r="G46" s="55">
        <f t="shared" si="8"/>
        <v>1.2293223721190378</v>
      </c>
      <c r="H46" s="55">
        <f t="shared" si="5"/>
        <v>3.4107791604067739</v>
      </c>
      <c r="I46" s="57"/>
    </row>
    <row r="47" spans="1:9">
      <c r="A47" s="26">
        <v>32958</v>
      </c>
      <c r="B47" s="52">
        <v>37.1875</v>
      </c>
      <c r="C47" s="52">
        <v>36.6875</v>
      </c>
      <c r="D47" s="52">
        <f t="shared" si="6"/>
        <v>0.5</v>
      </c>
      <c r="E47" s="143">
        <f t="shared" si="7"/>
        <v>0.5710235647808295</v>
      </c>
      <c r="F47" s="143">
        <f t="shared" si="2"/>
        <v>0.49736178832029937</v>
      </c>
      <c r="G47" s="52">
        <f t="shared" si="8"/>
        <v>1.1481050176960763</v>
      </c>
      <c r="H47" s="52">
        <f t="shared" si="5"/>
        <v>3.5576342652285202</v>
      </c>
      <c r="I47" s="54"/>
    </row>
    <row r="48" spans="1:9">
      <c r="A48" s="26">
        <v>32959</v>
      </c>
      <c r="B48" s="52">
        <v>37.1875</v>
      </c>
      <c r="C48" s="52">
        <v>36.75</v>
      </c>
      <c r="D48" s="52">
        <f t="shared" si="6"/>
        <v>0.4375</v>
      </c>
      <c r="E48" s="143">
        <f t="shared" si="7"/>
        <v>0.54431885182466366</v>
      </c>
      <c r="F48" s="143">
        <f t="shared" si="2"/>
        <v>0.50675320102117227</v>
      </c>
      <c r="G48" s="52">
        <f t="shared" si="8"/>
        <v>1.074130071063768</v>
      </c>
      <c r="H48" s="52">
        <f t="shared" si="5"/>
        <v>3.4515574608788824</v>
      </c>
      <c r="I48" s="54"/>
    </row>
    <row r="49" spans="1:9">
      <c r="A49" s="27">
        <v>32960</v>
      </c>
      <c r="B49" s="55">
        <v>37.375</v>
      </c>
      <c r="C49" s="55">
        <v>37</v>
      </c>
      <c r="D49" s="55">
        <f t="shared" si="6"/>
        <v>0.375</v>
      </c>
      <c r="E49" s="144">
        <f t="shared" si="7"/>
        <v>0.51045508145973095</v>
      </c>
      <c r="F49" s="144">
        <f t="shared" si="2"/>
        <v>0.50749357710888399</v>
      </c>
      <c r="G49" s="55">
        <f t="shared" si="8"/>
        <v>1.0058355504077869</v>
      </c>
      <c r="H49" s="55">
        <f t="shared" si="5"/>
        <v>3.2280706391676315</v>
      </c>
      <c r="I49" s="57"/>
    </row>
    <row r="50" spans="1:9">
      <c r="A50" s="27">
        <v>32961</v>
      </c>
      <c r="B50" s="55">
        <v>37.375</v>
      </c>
      <c r="C50" s="55">
        <v>37.125</v>
      </c>
      <c r="D50" s="55">
        <f t="shared" si="6"/>
        <v>0.25</v>
      </c>
      <c r="E50" s="144">
        <f t="shared" si="7"/>
        <v>0.45836406516778477</v>
      </c>
      <c r="F50" s="144">
        <f t="shared" si="2"/>
        <v>0.49766767472066414</v>
      </c>
      <c r="G50" s="55">
        <f t="shared" si="8"/>
        <v>0.92102438725814351</v>
      </c>
      <c r="H50" s="55">
        <f t="shared" si="5"/>
        <v>3.0009900087296981</v>
      </c>
      <c r="I50" s="57"/>
    </row>
    <row r="51" spans="1:9">
      <c r="A51" s="26">
        <v>32962</v>
      </c>
      <c r="B51" s="52">
        <v>37.3125</v>
      </c>
      <c r="C51" s="52">
        <v>36.5</v>
      </c>
      <c r="D51" s="52">
        <f t="shared" si="6"/>
        <v>0.8125</v>
      </c>
      <c r="E51" s="143">
        <f t="shared" si="7"/>
        <v>0.5291912521342278</v>
      </c>
      <c r="F51" s="143">
        <f t="shared" si="2"/>
        <v>0.50397239020337692</v>
      </c>
      <c r="G51" s="52">
        <f t="shared" si="8"/>
        <v>1.0500401657334322</v>
      </c>
      <c r="H51" s="52">
        <f t="shared" si="5"/>
        <v>2.9769001033993625</v>
      </c>
      <c r="I51" s="54"/>
    </row>
    <row r="52" spans="1:9">
      <c r="A52" s="26">
        <v>32965</v>
      </c>
      <c r="B52" s="52">
        <v>36.625</v>
      </c>
      <c r="C52" s="52">
        <v>36.0625</v>
      </c>
      <c r="D52" s="52">
        <f t="shared" si="6"/>
        <v>0.5625</v>
      </c>
      <c r="E52" s="143">
        <f t="shared" si="7"/>
        <v>0.53585300170738226</v>
      </c>
      <c r="F52" s="143">
        <f t="shared" si="2"/>
        <v>0.51034851250417801</v>
      </c>
      <c r="G52" s="52">
        <f t="shared" si="8"/>
        <v>1.0499746517885569</v>
      </c>
      <c r="H52" s="52">
        <f t="shared" si="5"/>
        <v>3.0210392047801324</v>
      </c>
      <c r="I52" s="54"/>
    </row>
    <row r="53" spans="1:9">
      <c r="A53" s="27">
        <v>32966</v>
      </c>
      <c r="B53" s="55">
        <v>36.8125</v>
      </c>
      <c r="C53" s="55">
        <v>36.375</v>
      </c>
      <c r="D53" s="55">
        <f t="shared" si="6"/>
        <v>0.4375</v>
      </c>
      <c r="E53" s="144">
        <f t="shared" si="7"/>
        <v>0.51618240136590587</v>
      </c>
      <c r="F53" s="144">
        <f t="shared" si="2"/>
        <v>0.51151529027652365</v>
      </c>
      <c r="G53" s="55">
        <f t="shared" si="8"/>
        <v>1.0091240891095536</v>
      </c>
      <c r="H53" s="55">
        <f t="shared" si="5"/>
        <v>3.1091389066315429</v>
      </c>
      <c r="I53" s="57"/>
    </row>
    <row r="54" spans="1:9">
      <c r="A54" s="27">
        <v>32967</v>
      </c>
      <c r="B54" s="55">
        <v>36.8125</v>
      </c>
      <c r="C54" s="55">
        <v>36.625</v>
      </c>
      <c r="D54" s="55">
        <f t="shared" si="6"/>
        <v>0.1875</v>
      </c>
      <c r="E54" s="144">
        <f t="shared" si="7"/>
        <v>0.45044592109272474</v>
      </c>
      <c r="F54" s="144">
        <f t="shared" si="2"/>
        <v>0.49930141643976389</v>
      </c>
      <c r="G54" s="55">
        <f t="shared" si="8"/>
        <v>0.90215229971627142</v>
      </c>
      <c r="H54" s="55">
        <f t="shared" si="5"/>
        <v>2.9612510406143819</v>
      </c>
      <c r="I54" s="57"/>
    </row>
    <row r="55" spans="1:9">
      <c r="A55" s="26">
        <v>32968</v>
      </c>
      <c r="B55" s="52">
        <v>36.875</v>
      </c>
      <c r="C55" s="52">
        <v>36.5</v>
      </c>
      <c r="D55" s="52">
        <f t="shared" si="6"/>
        <v>0.375</v>
      </c>
      <c r="E55" s="143">
        <f t="shared" si="7"/>
        <v>0.43535673687417981</v>
      </c>
      <c r="F55" s="143">
        <f t="shared" si="2"/>
        <v>0.48651248052664708</v>
      </c>
      <c r="G55" s="52">
        <f t="shared" si="8"/>
        <v>0.89485214521713508</v>
      </c>
      <c r="H55" s="52">
        <f t="shared" si="5"/>
        <v>2.8061285340429603</v>
      </c>
      <c r="I55" s="54"/>
    </row>
    <row r="56" spans="1:9">
      <c r="A56" s="26">
        <v>32969</v>
      </c>
      <c r="B56" s="52">
        <v>36.8125</v>
      </c>
      <c r="C56" s="52">
        <v>36.5625</v>
      </c>
      <c r="D56" s="52">
        <f t="shared" si="6"/>
        <v>0.25</v>
      </c>
      <c r="E56" s="143">
        <f t="shared" si="7"/>
        <v>0.39828538949934383</v>
      </c>
      <c r="F56" s="143">
        <f t="shared" si="2"/>
        <v>0.46886706232118647</v>
      </c>
      <c r="G56" s="52">
        <f t="shared" si="8"/>
        <v>0.84946335860655464</v>
      </c>
      <c r="H56" s="52">
        <f t="shared" si="5"/>
        <v>2.6464678035399611</v>
      </c>
      <c r="I56" s="54"/>
    </row>
    <row r="57" spans="1:9">
      <c r="A57" s="27">
        <v>32972</v>
      </c>
      <c r="B57" s="55">
        <v>37</v>
      </c>
      <c r="C57" s="55">
        <v>36.625</v>
      </c>
      <c r="D57" s="55">
        <f t="shared" si="6"/>
        <v>0.375</v>
      </c>
      <c r="E57" s="144">
        <f t="shared" si="7"/>
        <v>0.39362831159947509</v>
      </c>
      <c r="F57" s="144">
        <f t="shared" si="2"/>
        <v>0.45381931217684424</v>
      </c>
      <c r="G57" s="55">
        <f t="shared" si="8"/>
        <v>0.86736791722536055</v>
      </c>
      <c r="H57" s="55">
        <f t="shared" si="5"/>
        <v>2.61168342104905</v>
      </c>
      <c r="I57" s="57"/>
    </row>
    <row r="58" spans="1:9">
      <c r="A58" s="27">
        <v>32973</v>
      </c>
      <c r="B58" s="55">
        <v>37.3125</v>
      </c>
      <c r="C58" s="55">
        <v>36.625</v>
      </c>
      <c r="D58" s="55">
        <f t="shared" si="6"/>
        <v>0.6875</v>
      </c>
      <c r="E58" s="144">
        <f t="shared" si="7"/>
        <v>0.45240264927958013</v>
      </c>
      <c r="F58" s="144">
        <f t="shared" si="2"/>
        <v>0.45353597959739145</v>
      </c>
      <c r="G58" s="55">
        <f t="shared" si="8"/>
        <v>0.99750112368412891</v>
      </c>
      <c r="H58" s="55">
        <f t="shared" si="5"/>
        <v>2.714332399516044</v>
      </c>
      <c r="I58" s="57"/>
    </row>
    <row r="59" spans="1:9">
      <c r="A59" s="26">
        <v>32974</v>
      </c>
      <c r="B59" s="52">
        <v>37.25</v>
      </c>
      <c r="C59" s="52">
        <v>36.5</v>
      </c>
      <c r="D59" s="52">
        <f t="shared" si="6"/>
        <v>0.75</v>
      </c>
      <c r="E59" s="143">
        <f t="shared" si="7"/>
        <v>0.51192211942366417</v>
      </c>
      <c r="F59" s="143">
        <f t="shared" si="2"/>
        <v>0.465213207562646</v>
      </c>
      <c r="G59" s="52">
        <f t="shared" si="8"/>
        <v>1.1004032368421706</v>
      </c>
      <c r="H59" s="52">
        <f t="shared" si="5"/>
        <v>2.96527227775166</v>
      </c>
      <c r="I59" s="54"/>
    </row>
    <row r="60" spans="1:9">
      <c r="A60" s="26">
        <v>32975</v>
      </c>
      <c r="B60" s="52">
        <v>36.8125</v>
      </c>
      <c r="C60" s="52">
        <v>36.5</v>
      </c>
      <c r="D60" s="52">
        <f>B60-C60</f>
        <v>0.3125</v>
      </c>
      <c r="E60" s="143">
        <f t="shared" si="7"/>
        <v>0.47203769553893138</v>
      </c>
      <c r="F60" s="143">
        <f t="shared" si="2"/>
        <v>0.4665781051579031</v>
      </c>
      <c r="G60" s="52">
        <f>E60/F60</f>
        <v>1.0117013428634432</v>
      </c>
      <c r="H60" s="52">
        <f t="shared" si="5"/>
        <v>3.1096057033897422</v>
      </c>
      <c r="I60" s="54"/>
    </row>
    <row r="61" spans="1:9">
      <c r="A61" s="27">
        <v>32979</v>
      </c>
      <c r="B61" s="55">
        <v>37</v>
      </c>
      <c r="C61" s="55">
        <v>36.5625</v>
      </c>
      <c r="D61" s="55">
        <f>B61-C61</f>
        <v>0.4375</v>
      </c>
      <c r="E61" s="144">
        <f t="shared" si="7"/>
        <v>0.46513015643114514</v>
      </c>
      <c r="F61" s="144">
        <f t="shared" si="2"/>
        <v>0.46628851541255156</v>
      </c>
      <c r="G61" s="55">
        <f>E61/F61</f>
        <v>0.99751578916675321</v>
      </c>
      <c r="H61" s="55">
        <f t="shared" si="5"/>
        <v>3.1096203688723669</v>
      </c>
      <c r="I61" s="57"/>
    </row>
    <row r="62" spans="1:9">
      <c r="A62" s="8"/>
    </row>
    <row r="63" spans="1:9" ht="15">
      <c r="A63" s="241" t="s">
        <v>880</v>
      </c>
    </row>
    <row r="64" spans="1:9" ht="78" customHeight="1">
      <c r="A64" s="447" t="s">
        <v>1317</v>
      </c>
      <c r="B64" s="447"/>
      <c r="C64" s="447"/>
      <c r="D64" s="447"/>
      <c r="E64" s="447"/>
      <c r="F64" s="447"/>
      <c r="G64" s="447"/>
      <c r="H64" s="447"/>
      <c r="I64" s="447"/>
    </row>
    <row r="65" spans="1:9" ht="82.5" customHeight="1">
      <c r="A65" s="447" t="s">
        <v>24</v>
      </c>
      <c r="B65" s="447"/>
      <c r="C65" s="447"/>
      <c r="D65" s="447"/>
      <c r="E65" s="447"/>
      <c r="F65" s="447"/>
      <c r="G65" s="447"/>
      <c r="H65" s="447"/>
      <c r="I65" s="447"/>
    </row>
    <row r="66" spans="1:9" ht="32.25" customHeight="1">
      <c r="A66" s="447" t="s">
        <v>25</v>
      </c>
      <c r="B66" s="447"/>
      <c r="C66" s="447"/>
      <c r="D66" s="447"/>
      <c r="E66" s="447"/>
      <c r="F66" s="447"/>
      <c r="G66" s="447"/>
      <c r="H66" s="447"/>
      <c r="I66" s="447"/>
    </row>
    <row r="67" spans="1:9" ht="15">
      <c r="A67" s="241" t="s">
        <v>26</v>
      </c>
    </row>
    <row r="68" spans="1:9">
      <c r="A68" s="8"/>
    </row>
    <row r="69" spans="1:9">
      <c r="A69" s="8"/>
    </row>
    <row r="70" spans="1:9">
      <c r="A70" s="8"/>
    </row>
    <row r="71" spans="1:9">
      <c r="A71" s="8"/>
    </row>
    <row r="72" spans="1:9">
      <c r="A72" s="8"/>
    </row>
    <row r="73" spans="1:9">
      <c r="A73" s="8"/>
    </row>
    <row r="74" spans="1:9">
      <c r="A74" s="8"/>
    </row>
    <row r="75" spans="1:9">
      <c r="A75" s="8"/>
    </row>
    <row r="76" spans="1:9">
      <c r="A76" s="8"/>
    </row>
    <row r="77" spans="1:9">
      <c r="A77" s="8"/>
    </row>
    <row r="78" spans="1:9">
      <c r="A78" s="8"/>
    </row>
    <row r="79" spans="1:9">
      <c r="A79" s="8"/>
    </row>
    <row r="80" spans="1:9">
      <c r="A80" s="8"/>
    </row>
    <row r="81" spans="1:1">
      <c r="A81" s="8"/>
    </row>
    <row r="82" spans="1:1">
      <c r="A82" s="8"/>
    </row>
    <row r="83" spans="1:1">
      <c r="A83" s="8"/>
    </row>
    <row r="84" spans="1:1">
      <c r="A84" s="8"/>
    </row>
    <row r="85" spans="1:1">
      <c r="A85" s="8"/>
    </row>
    <row r="86" spans="1:1">
      <c r="A86" s="8"/>
    </row>
    <row r="87" spans="1:1">
      <c r="A87" s="8"/>
    </row>
    <row r="88" spans="1:1">
      <c r="A88" s="8"/>
    </row>
    <row r="89" spans="1:1">
      <c r="A89" s="8"/>
    </row>
    <row r="90" spans="1:1">
      <c r="A90" s="8"/>
    </row>
    <row r="91" spans="1:1">
      <c r="A91" s="8"/>
    </row>
    <row r="92" spans="1:1">
      <c r="A92" s="8"/>
    </row>
    <row r="93" spans="1:1">
      <c r="A93" s="8"/>
    </row>
    <row r="94" spans="1:1">
      <c r="A94" s="8"/>
    </row>
    <row r="95" spans="1:1">
      <c r="A95" s="8"/>
    </row>
    <row r="96" spans="1:1">
      <c r="A96" s="8"/>
    </row>
    <row r="97" spans="1:1">
      <c r="A97" s="8"/>
    </row>
    <row r="98" spans="1:1">
      <c r="A98" s="8"/>
    </row>
    <row r="99" spans="1:1">
      <c r="A99" s="8"/>
    </row>
    <row r="100" spans="1:1">
      <c r="A100" s="8"/>
    </row>
    <row r="101" spans="1:1">
      <c r="A101" s="8"/>
    </row>
    <row r="102" spans="1:1">
      <c r="A102" s="8"/>
    </row>
    <row r="103" spans="1:1">
      <c r="A103" s="8"/>
    </row>
    <row r="104" spans="1:1">
      <c r="A104" s="8"/>
    </row>
    <row r="105" spans="1:1">
      <c r="A105" s="8"/>
    </row>
    <row r="106" spans="1:1">
      <c r="A106" s="8"/>
    </row>
    <row r="107" spans="1:1">
      <c r="A107" s="8"/>
    </row>
    <row r="108" spans="1:1">
      <c r="A108" s="8"/>
    </row>
    <row r="109" spans="1:1">
      <c r="A109" s="8"/>
    </row>
    <row r="110" spans="1:1">
      <c r="A110" s="8"/>
    </row>
    <row r="111" spans="1:1">
      <c r="A111" s="8"/>
    </row>
    <row r="112" spans="1:1">
      <c r="A112" s="8"/>
    </row>
    <row r="113" spans="1:1">
      <c r="A113" s="8"/>
    </row>
    <row r="114" spans="1:1">
      <c r="A114" s="8"/>
    </row>
    <row r="115" spans="1:1">
      <c r="A115" s="8"/>
    </row>
    <row r="116" spans="1:1">
      <c r="A116" s="8"/>
    </row>
    <row r="117" spans="1:1">
      <c r="A117" s="8"/>
    </row>
    <row r="118" spans="1:1">
      <c r="A118" s="8"/>
    </row>
    <row r="119" spans="1:1">
      <c r="A119" s="8"/>
    </row>
    <row r="120" spans="1:1">
      <c r="A120" s="8"/>
    </row>
    <row r="121" spans="1:1">
      <c r="A121" s="8"/>
    </row>
    <row r="122" spans="1:1">
      <c r="A122" s="8"/>
    </row>
    <row r="123" spans="1:1">
      <c r="A123" s="8"/>
    </row>
    <row r="124" spans="1:1">
      <c r="A124" s="8"/>
    </row>
    <row r="125" spans="1:1">
      <c r="A125" s="8"/>
    </row>
    <row r="126" spans="1:1">
      <c r="A126" s="8"/>
    </row>
    <row r="127" spans="1:1">
      <c r="A127" s="8"/>
    </row>
    <row r="128" spans="1:1">
      <c r="A128" s="8"/>
    </row>
    <row r="129" spans="1:1">
      <c r="A129" s="8"/>
    </row>
    <row r="130" spans="1:1">
      <c r="A130" s="8"/>
    </row>
    <row r="131" spans="1:1">
      <c r="A131" s="8"/>
    </row>
    <row r="132" spans="1:1">
      <c r="A132" s="8"/>
    </row>
    <row r="133" spans="1:1">
      <c r="A133" s="8"/>
    </row>
    <row r="134" spans="1:1">
      <c r="A134" s="8"/>
    </row>
    <row r="135" spans="1:1">
      <c r="A135" s="8"/>
    </row>
    <row r="136" spans="1:1">
      <c r="A136" s="8"/>
    </row>
    <row r="137" spans="1:1">
      <c r="A137" s="8"/>
    </row>
    <row r="138" spans="1:1">
      <c r="A138" s="8"/>
    </row>
    <row r="139" spans="1:1">
      <c r="A139" s="8"/>
    </row>
    <row r="140" spans="1:1">
      <c r="A140" s="8"/>
    </row>
    <row r="141" spans="1:1">
      <c r="A141" s="8"/>
    </row>
    <row r="142" spans="1:1">
      <c r="A142" s="8"/>
    </row>
    <row r="143" spans="1:1">
      <c r="A143" s="8"/>
    </row>
    <row r="144" spans="1:1">
      <c r="A144" s="8"/>
    </row>
    <row r="145" spans="1:1">
      <c r="A145" s="8"/>
    </row>
    <row r="146" spans="1:1">
      <c r="A146" s="8"/>
    </row>
    <row r="147" spans="1:1">
      <c r="A147" s="8"/>
    </row>
    <row r="148" spans="1:1">
      <c r="A148" s="8"/>
    </row>
    <row r="149" spans="1:1">
      <c r="A149" s="8"/>
    </row>
    <row r="150" spans="1:1">
      <c r="A150" s="8"/>
    </row>
    <row r="151" spans="1:1">
      <c r="A151" s="8"/>
    </row>
    <row r="152" spans="1:1">
      <c r="A152" s="8"/>
    </row>
    <row r="153" spans="1:1">
      <c r="A153" s="8"/>
    </row>
    <row r="154" spans="1:1">
      <c r="A154" s="8"/>
    </row>
    <row r="155" spans="1:1">
      <c r="A155" s="8"/>
    </row>
    <row r="156" spans="1:1">
      <c r="A156" s="8"/>
    </row>
    <row r="157" spans="1:1">
      <c r="A157" s="8"/>
    </row>
    <row r="158" spans="1:1">
      <c r="A158" s="8"/>
    </row>
    <row r="159" spans="1:1">
      <c r="A159" s="8"/>
    </row>
    <row r="160" spans="1:1">
      <c r="A160" s="8"/>
    </row>
    <row r="161" spans="1:1">
      <c r="A161" s="8"/>
    </row>
    <row r="162" spans="1:1">
      <c r="A162" s="8"/>
    </row>
    <row r="163" spans="1:1">
      <c r="A163" s="8"/>
    </row>
    <row r="164" spans="1:1">
      <c r="A164" s="8"/>
    </row>
    <row r="165" spans="1:1">
      <c r="A165" s="8"/>
    </row>
    <row r="166" spans="1:1">
      <c r="A166" s="8"/>
    </row>
    <row r="167" spans="1:1">
      <c r="A167" s="8"/>
    </row>
    <row r="168" spans="1:1">
      <c r="A168" s="8"/>
    </row>
    <row r="169" spans="1:1">
      <c r="A169" s="8"/>
    </row>
    <row r="170" spans="1:1">
      <c r="A170" s="8"/>
    </row>
    <row r="171" spans="1:1">
      <c r="A171" s="8"/>
    </row>
    <row r="172" spans="1:1">
      <c r="A172" s="8"/>
    </row>
    <row r="173" spans="1:1">
      <c r="A173" s="8"/>
    </row>
    <row r="174" spans="1:1">
      <c r="A174" s="8"/>
    </row>
    <row r="175" spans="1:1">
      <c r="A175" s="8"/>
    </row>
    <row r="176" spans="1:1">
      <c r="A176" s="8"/>
    </row>
    <row r="177" spans="1:1">
      <c r="A177" s="8"/>
    </row>
    <row r="178" spans="1:1">
      <c r="A178" s="8"/>
    </row>
    <row r="179" spans="1:1">
      <c r="A179" s="8"/>
    </row>
    <row r="180" spans="1:1">
      <c r="A180" s="8"/>
    </row>
    <row r="181" spans="1:1">
      <c r="A181" s="8"/>
    </row>
    <row r="182" spans="1:1">
      <c r="A182" s="8"/>
    </row>
    <row r="183" spans="1:1">
      <c r="A183" s="8"/>
    </row>
    <row r="184" spans="1:1">
      <c r="A184" s="8"/>
    </row>
    <row r="185" spans="1:1">
      <c r="A185" s="8"/>
    </row>
    <row r="186" spans="1:1">
      <c r="A186" s="8"/>
    </row>
    <row r="187" spans="1:1">
      <c r="A187" s="8"/>
    </row>
    <row r="188" spans="1:1">
      <c r="A188" s="8"/>
    </row>
    <row r="189" spans="1:1">
      <c r="A189" s="8"/>
    </row>
    <row r="190" spans="1:1">
      <c r="A190" s="8"/>
    </row>
    <row r="191" spans="1:1">
      <c r="A191" s="8"/>
    </row>
    <row r="192" spans="1:1">
      <c r="A192" s="8"/>
    </row>
    <row r="193" spans="1:1">
      <c r="A193" s="8"/>
    </row>
    <row r="194" spans="1:1">
      <c r="A194" s="8"/>
    </row>
    <row r="195" spans="1:1">
      <c r="A195" s="8"/>
    </row>
    <row r="196" spans="1:1">
      <c r="A196" s="8"/>
    </row>
    <row r="197" spans="1:1">
      <c r="A197" s="8"/>
    </row>
    <row r="198" spans="1:1">
      <c r="A198" s="8"/>
    </row>
    <row r="199" spans="1:1">
      <c r="A199" s="8"/>
    </row>
    <row r="200" spans="1:1">
      <c r="A200" s="8"/>
    </row>
    <row r="201" spans="1:1">
      <c r="A201" s="8"/>
    </row>
    <row r="202" spans="1:1">
      <c r="A202" s="8"/>
    </row>
    <row r="203" spans="1:1">
      <c r="A203" s="8"/>
    </row>
    <row r="204" spans="1:1">
      <c r="A204" s="8"/>
    </row>
    <row r="205" spans="1:1">
      <c r="A205" s="8"/>
    </row>
    <row r="206" spans="1:1">
      <c r="A206" s="8"/>
    </row>
    <row r="207" spans="1:1">
      <c r="A207" s="8"/>
    </row>
    <row r="208" spans="1:1">
      <c r="A208" s="8"/>
    </row>
    <row r="209" spans="1:1">
      <c r="A209" s="8"/>
    </row>
    <row r="210" spans="1:1">
      <c r="A210" s="8"/>
    </row>
    <row r="211" spans="1:1">
      <c r="A211" s="8"/>
    </row>
    <row r="212" spans="1:1">
      <c r="A212" s="8"/>
    </row>
    <row r="213" spans="1:1">
      <c r="A213" s="8"/>
    </row>
    <row r="214" spans="1:1">
      <c r="A214" s="8"/>
    </row>
    <row r="215" spans="1:1">
      <c r="A215" s="8"/>
    </row>
    <row r="216" spans="1:1">
      <c r="A216" s="8"/>
    </row>
    <row r="217" spans="1:1">
      <c r="A217" s="8"/>
    </row>
    <row r="218" spans="1:1">
      <c r="A218" s="8"/>
    </row>
    <row r="219" spans="1:1">
      <c r="A219" s="8"/>
    </row>
    <row r="220" spans="1:1">
      <c r="A220" s="8"/>
    </row>
    <row r="221" spans="1:1">
      <c r="A221" s="8"/>
    </row>
    <row r="222" spans="1:1">
      <c r="A222" s="8"/>
    </row>
    <row r="223" spans="1:1">
      <c r="A223" s="8"/>
    </row>
    <row r="224" spans="1:1">
      <c r="A224" s="8"/>
    </row>
    <row r="225" spans="1:1">
      <c r="A225" s="8"/>
    </row>
    <row r="226" spans="1:1">
      <c r="A226" s="8"/>
    </row>
    <row r="227" spans="1:1">
      <c r="A227" s="8"/>
    </row>
    <row r="228" spans="1:1">
      <c r="A228" s="8"/>
    </row>
    <row r="229" spans="1:1">
      <c r="A229" s="8"/>
    </row>
    <row r="230" spans="1:1">
      <c r="A230" s="8"/>
    </row>
    <row r="231" spans="1:1">
      <c r="A231" s="8"/>
    </row>
    <row r="232" spans="1:1">
      <c r="A232" s="8"/>
    </row>
    <row r="233" spans="1:1">
      <c r="A233" s="8"/>
    </row>
    <row r="234" spans="1:1">
      <c r="A234" s="8"/>
    </row>
    <row r="235" spans="1:1">
      <c r="A235" s="8"/>
    </row>
    <row r="236" spans="1:1">
      <c r="A236" s="8"/>
    </row>
    <row r="237" spans="1:1">
      <c r="A237" s="8"/>
    </row>
    <row r="238" spans="1:1">
      <c r="A238" s="8"/>
    </row>
    <row r="239" spans="1:1">
      <c r="A239" s="8"/>
    </row>
    <row r="240" spans="1:1">
      <c r="A240" s="8"/>
    </row>
    <row r="241" spans="1:1">
      <c r="A241" s="8"/>
    </row>
    <row r="242" spans="1:1">
      <c r="A242" s="8"/>
    </row>
    <row r="243" spans="1:1">
      <c r="A243" s="8"/>
    </row>
    <row r="244" spans="1:1">
      <c r="A244" s="8"/>
    </row>
    <row r="245" spans="1:1">
      <c r="A245" s="8"/>
    </row>
    <row r="246" spans="1:1">
      <c r="A246" s="8"/>
    </row>
    <row r="247" spans="1:1">
      <c r="A247" s="8"/>
    </row>
    <row r="248" spans="1:1">
      <c r="A248" s="8"/>
    </row>
    <row r="249" spans="1:1">
      <c r="A249" s="8"/>
    </row>
    <row r="250" spans="1:1">
      <c r="A250" s="8"/>
    </row>
    <row r="251" spans="1:1">
      <c r="A251" s="8"/>
    </row>
    <row r="252" spans="1:1">
      <c r="A252" s="8"/>
    </row>
    <row r="253" spans="1:1">
      <c r="A253" s="8"/>
    </row>
    <row r="254" spans="1:1">
      <c r="A254" s="8"/>
    </row>
    <row r="255" spans="1:1">
      <c r="A255" s="8"/>
    </row>
    <row r="256" spans="1:1">
      <c r="A256" s="8"/>
    </row>
    <row r="257" spans="1:1">
      <c r="A257" s="8"/>
    </row>
    <row r="258" spans="1:1">
      <c r="A258" s="8"/>
    </row>
    <row r="259" spans="1:1">
      <c r="A259" s="8"/>
    </row>
    <row r="260" spans="1:1">
      <c r="A260" s="8"/>
    </row>
    <row r="261" spans="1:1">
      <c r="A261" s="8"/>
    </row>
    <row r="262" spans="1:1">
      <c r="A262" s="8"/>
    </row>
    <row r="263" spans="1:1">
      <c r="A263" s="8"/>
    </row>
    <row r="264" spans="1:1">
      <c r="A264" s="8"/>
    </row>
    <row r="265" spans="1:1">
      <c r="A265" s="8"/>
    </row>
    <row r="266" spans="1:1">
      <c r="A266" s="8"/>
    </row>
    <row r="267" spans="1:1">
      <c r="A267" s="8"/>
    </row>
    <row r="268" spans="1:1">
      <c r="A268" s="8"/>
    </row>
    <row r="269" spans="1:1">
      <c r="A269" s="8"/>
    </row>
    <row r="270" spans="1:1">
      <c r="A270" s="8"/>
    </row>
    <row r="271" spans="1:1">
      <c r="A271" s="8"/>
    </row>
    <row r="272" spans="1:1">
      <c r="A272" s="8"/>
    </row>
    <row r="273" spans="1:1">
      <c r="A273" s="8"/>
    </row>
    <row r="274" spans="1:1">
      <c r="A274" s="8"/>
    </row>
    <row r="275" spans="1:1">
      <c r="A275" s="8"/>
    </row>
    <row r="276" spans="1:1">
      <c r="A276" s="8"/>
    </row>
    <row r="277" spans="1:1">
      <c r="A277" s="8"/>
    </row>
    <row r="278" spans="1:1">
      <c r="A278" s="8"/>
    </row>
    <row r="279" spans="1:1">
      <c r="A279" s="8"/>
    </row>
    <row r="280" spans="1:1">
      <c r="A280" s="8"/>
    </row>
    <row r="281" spans="1:1">
      <c r="A281" s="8"/>
    </row>
    <row r="282" spans="1:1">
      <c r="A282" s="8"/>
    </row>
    <row r="283" spans="1:1">
      <c r="A283" s="8"/>
    </row>
    <row r="284" spans="1:1">
      <c r="A284" s="8"/>
    </row>
    <row r="285" spans="1:1">
      <c r="A285" s="8"/>
    </row>
    <row r="286" spans="1:1">
      <c r="A286" s="8"/>
    </row>
    <row r="287" spans="1:1">
      <c r="A287" s="8"/>
    </row>
    <row r="288" spans="1:1">
      <c r="A288" s="8"/>
    </row>
    <row r="289" spans="1:1">
      <c r="A289" s="8"/>
    </row>
    <row r="290" spans="1:1">
      <c r="A290" s="8"/>
    </row>
    <row r="291" spans="1:1">
      <c r="A291" s="8"/>
    </row>
    <row r="292" spans="1:1">
      <c r="A292" s="8"/>
    </row>
    <row r="293" spans="1:1">
      <c r="A293" s="8"/>
    </row>
    <row r="294" spans="1:1">
      <c r="A294" s="8"/>
    </row>
    <row r="295" spans="1:1">
      <c r="A295" s="8"/>
    </row>
    <row r="296" spans="1:1">
      <c r="A296" s="8"/>
    </row>
    <row r="297" spans="1:1">
      <c r="A297" s="8"/>
    </row>
    <row r="298" spans="1:1">
      <c r="A298" s="8"/>
    </row>
    <row r="299" spans="1:1">
      <c r="A299" s="8"/>
    </row>
    <row r="300" spans="1:1">
      <c r="A300" s="8"/>
    </row>
    <row r="301" spans="1:1">
      <c r="A301" s="8"/>
    </row>
    <row r="302" spans="1:1">
      <c r="A302" s="8"/>
    </row>
    <row r="303" spans="1:1">
      <c r="A303" s="8"/>
    </row>
    <row r="304" spans="1:1">
      <c r="A304" s="8"/>
    </row>
    <row r="305" spans="1:1">
      <c r="A305" s="8"/>
    </row>
    <row r="306" spans="1:1">
      <c r="A306" s="8"/>
    </row>
    <row r="307" spans="1:1">
      <c r="A307" s="8"/>
    </row>
    <row r="308" spans="1:1">
      <c r="A308" s="8"/>
    </row>
    <row r="309" spans="1:1">
      <c r="A309" s="8"/>
    </row>
    <row r="310" spans="1:1">
      <c r="A310" s="8"/>
    </row>
    <row r="311" spans="1:1">
      <c r="A311" s="8"/>
    </row>
    <row r="312" spans="1:1">
      <c r="A312" s="8"/>
    </row>
    <row r="313" spans="1:1">
      <c r="A313" s="8"/>
    </row>
    <row r="314" spans="1:1">
      <c r="A314" s="8"/>
    </row>
    <row r="315" spans="1:1">
      <c r="A315" s="8"/>
    </row>
    <row r="316" spans="1:1">
      <c r="A316" s="8"/>
    </row>
    <row r="317" spans="1:1">
      <c r="A317" s="8"/>
    </row>
    <row r="318" spans="1:1">
      <c r="A318" s="8"/>
    </row>
    <row r="319" spans="1:1">
      <c r="A319" s="8"/>
    </row>
    <row r="320" spans="1:1">
      <c r="A320" s="8"/>
    </row>
    <row r="321" spans="1:1">
      <c r="A321" s="8"/>
    </row>
    <row r="322" spans="1:1">
      <c r="A322" s="8"/>
    </row>
    <row r="323" spans="1:1">
      <c r="A323" s="8"/>
    </row>
    <row r="324" spans="1:1">
      <c r="A324" s="8"/>
    </row>
    <row r="325" spans="1:1">
      <c r="A325" s="8"/>
    </row>
    <row r="326" spans="1:1">
      <c r="A326" s="8"/>
    </row>
    <row r="327" spans="1:1">
      <c r="A327" s="8"/>
    </row>
    <row r="328" spans="1:1">
      <c r="A328" s="8"/>
    </row>
    <row r="329" spans="1:1">
      <c r="A329" s="8"/>
    </row>
    <row r="330" spans="1:1">
      <c r="A330" s="8"/>
    </row>
    <row r="331" spans="1:1">
      <c r="A331" s="8"/>
    </row>
    <row r="332" spans="1:1">
      <c r="A332" s="8"/>
    </row>
    <row r="333" spans="1:1">
      <c r="A333" s="8"/>
    </row>
    <row r="334" spans="1:1">
      <c r="A334" s="8"/>
    </row>
    <row r="335" spans="1:1">
      <c r="A335" s="8"/>
    </row>
    <row r="336" spans="1:1">
      <c r="A336" s="8"/>
    </row>
    <row r="337" spans="1:1">
      <c r="A337" s="8"/>
    </row>
    <row r="338" spans="1:1">
      <c r="A338" s="8"/>
    </row>
    <row r="339" spans="1:1">
      <c r="A339" s="8"/>
    </row>
    <row r="340" spans="1:1">
      <c r="A340" s="8"/>
    </row>
    <row r="341" spans="1:1">
      <c r="A341" s="8"/>
    </row>
    <row r="342" spans="1:1">
      <c r="A342" s="8"/>
    </row>
    <row r="343" spans="1:1">
      <c r="A343" s="8"/>
    </row>
    <row r="344" spans="1:1">
      <c r="A344" s="8"/>
    </row>
    <row r="345" spans="1:1">
      <c r="A345" s="8"/>
    </row>
    <row r="346" spans="1:1">
      <c r="A346" s="8"/>
    </row>
    <row r="347" spans="1:1">
      <c r="A347" s="8"/>
    </row>
    <row r="348" spans="1:1">
      <c r="A348" s="8"/>
    </row>
    <row r="349" spans="1:1">
      <c r="A349" s="8"/>
    </row>
    <row r="350" spans="1:1">
      <c r="A350" s="8"/>
    </row>
    <row r="351" spans="1:1">
      <c r="A351" s="8"/>
    </row>
    <row r="352" spans="1:1">
      <c r="A352" s="8"/>
    </row>
    <row r="353" spans="1:1">
      <c r="A353" s="8"/>
    </row>
    <row r="354" spans="1:1">
      <c r="A354" s="8"/>
    </row>
    <row r="355" spans="1:1">
      <c r="A355" s="8"/>
    </row>
    <row r="356" spans="1:1">
      <c r="A356" s="8"/>
    </row>
    <row r="357" spans="1:1">
      <c r="A357" s="8"/>
    </row>
    <row r="358" spans="1:1">
      <c r="A358" s="8"/>
    </row>
    <row r="359" spans="1:1">
      <c r="A359" s="8"/>
    </row>
    <row r="360" spans="1:1">
      <c r="A360" s="8"/>
    </row>
    <row r="361" spans="1:1">
      <c r="A361" s="8"/>
    </row>
    <row r="362" spans="1:1">
      <c r="A362" s="8"/>
    </row>
    <row r="363" spans="1:1">
      <c r="A363" s="8"/>
    </row>
    <row r="364" spans="1:1">
      <c r="A364" s="8"/>
    </row>
    <row r="365" spans="1:1">
      <c r="A365" s="8"/>
    </row>
    <row r="366" spans="1:1">
      <c r="A366" s="8"/>
    </row>
    <row r="367" spans="1:1">
      <c r="A367" s="8"/>
    </row>
    <row r="368" spans="1:1">
      <c r="A368" s="8"/>
    </row>
    <row r="369" spans="1:1">
      <c r="A369" s="8"/>
    </row>
    <row r="370" spans="1:1">
      <c r="A370" s="8"/>
    </row>
    <row r="371" spans="1:1">
      <c r="A371" s="8"/>
    </row>
    <row r="372" spans="1:1">
      <c r="A372" s="8"/>
    </row>
    <row r="373" spans="1:1">
      <c r="A373" s="8"/>
    </row>
    <row r="374" spans="1:1">
      <c r="A374" s="8"/>
    </row>
    <row r="375" spans="1:1">
      <c r="A375" s="8"/>
    </row>
    <row r="376" spans="1:1">
      <c r="A376" s="8"/>
    </row>
    <row r="377" spans="1:1">
      <c r="A377" s="8"/>
    </row>
    <row r="378" spans="1:1">
      <c r="A378" s="8"/>
    </row>
    <row r="379" spans="1:1">
      <c r="A379" s="8"/>
    </row>
    <row r="380" spans="1:1">
      <c r="A380" s="8"/>
    </row>
    <row r="381" spans="1:1">
      <c r="A381" s="8"/>
    </row>
    <row r="382" spans="1:1">
      <c r="A382" s="8"/>
    </row>
    <row r="383" spans="1:1">
      <c r="A383" s="8"/>
    </row>
    <row r="384" spans="1:1">
      <c r="A384" s="8"/>
    </row>
    <row r="385" spans="1:1">
      <c r="A385" s="8"/>
    </row>
    <row r="386" spans="1:1">
      <c r="A386" s="8"/>
    </row>
    <row r="387" spans="1:1">
      <c r="A387" s="8"/>
    </row>
    <row r="388" spans="1:1">
      <c r="A388" s="8"/>
    </row>
    <row r="389" spans="1:1">
      <c r="A389" s="8"/>
    </row>
    <row r="390" spans="1:1">
      <c r="A390" s="8"/>
    </row>
    <row r="391" spans="1:1">
      <c r="A391" s="8"/>
    </row>
    <row r="392" spans="1:1">
      <c r="A392" s="8"/>
    </row>
    <row r="393" spans="1:1">
      <c r="A393" s="8"/>
    </row>
    <row r="394" spans="1:1">
      <c r="A394" s="8"/>
    </row>
    <row r="395" spans="1:1">
      <c r="A395" s="8"/>
    </row>
    <row r="396" spans="1:1">
      <c r="A396" s="8"/>
    </row>
    <row r="397" spans="1:1">
      <c r="A397" s="8"/>
    </row>
    <row r="398" spans="1:1">
      <c r="A398" s="8"/>
    </row>
    <row r="399" spans="1:1">
      <c r="A399" s="8"/>
    </row>
    <row r="400" spans="1:1">
      <c r="A400" s="8"/>
    </row>
    <row r="401" spans="1:1">
      <c r="A401" s="8"/>
    </row>
    <row r="402" spans="1:1">
      <c r="A402" s="8"/>
    </row>
    <row r="403" spans="1:1">
      <c r="A403" s="8"/>
    </row>
    <row r="404" spans="1:1">
      <c r="A404" s="8"/>
    </row>
    <row r="405" spans="1:1">
      <c r="A405" s="8"/>
    </row>
    <row r="406" spans="1:1">
      <c r="A406" s="8"/>
    </row>
    <row r="407" spans="1:1">
      <c r="A407" s="8"/>
    </row>
    <row r="408" spans="1:1">
      <c r="A408" s="8"/>
    </row>
    <row r="409" spans="1:1">
      <c r="A409" s="8"/>
    </row>
    <row r="410" spans="1:1">
      <c r="A410" s="8"/>
    </row>
    <row r="411" spans="1:1">
      <c r="A411" s="8"/>
    </row>
    <row r="412" spans="1:1">
      <c r="A412" s="8"/>
    </row>
    <row r="413" spans="1:1">
      <c r="A413" s="8"/>
    </row>
    <row r="414" spans="1:1">
      <c r="A414" s="8"/>
    </row>
    <row r="415" spans="1:1">
      <c r="A415" s="8"/>
    </row>
    <row r="416" spans="1:1">
      <c r="A416" s="8"/>
    </row>
    <row r="417" spans="1:1">
      <c r="A417" s="8"/>
    </row>
    <row r="418" spans="1:1">
      <c r="A418" s="8"/>
    </row>
    <row r="419" spans="1:1">
      <c r="A419" s="8"/>
    </row>
    <row r="420" spans="1:1">
      <c r="A420" s="8"/>
    </row>
    <row r="421" spans="1:1">
      <c r="A421" s="8"/>
    </row>
    <row r="422" spans="1:1">
      <c r="A422" s="8"/>
    </row>
    <row r="423" spans="1:1">
      <c r="A423" s="8"/>
    </row>
    <row r="424" spans="1:1">
      <c r="A424" s="8"/>
    </row>
    <row r="425" spans="1:1">
      <c r="A425" s="8"/>
    </row>
    <row r="426" spans="1:1">
      <c r="A426" s="8"/>
    </row>
    <row r="427" spans="1:1">
      <c r="A427" s="8"/>
    </row>
    <row r="428" spans="1:1">
      <c r="A428" s="8"/>
    </row>
    <row r="429" spans="1:1">
      <c r="A429" s="8"/>
    </row>
    <row r="430" spans="1:1">
      <c r="A430" s="8"/>
    </row>
    <row r="431" spans="1:1">
      <c r="A431" s="8"/>
    </row>
    <row r="432" spans="1:1">
      <c r="A432" s="8"/>
    </row>
    <row r="433" spans="1:1">
      <c r="A433" s="8"/>
    </row>
    <row r="434" spans="1:1">
      <c r="A434" s="8"/>
    </row>
    <row r="435" spans="1:1">
      <c r="A435" s="8"/>
    </row>
    <row r="436" spans="1:1">
      <c r="A436" s="8"/>
    </row>
    <row r="437" spans="1:1">
      <c r="A437" s="8"/>
    </row>
    <row r="438" spans="1:1">
      <c r="A438" s="8"/>
    </row>
    <row r="439" spans="1:1">
      <c r="A439" s="8"/>
    </row>
    <row r="440" spans="1:1">
      <c r="A440" s="8"/>
    </row>
    <row r="441" spans="1:1">
      <c r="A441" s="8"/>
    </row>
    <row r="442" spans="1:1">
      <c r="A442" s="8"/>
    </row>
    <row r="443" spans="1:1">
      <c r="A443" s="8"/>
    </row>
    <row r="444" spans="1:1">
      <c r="A444" s="8"/>
    </row>
    <row r="445" spans="1:1">
      <c r="A445" s="8"/>
    </row>
    <row r="446" spans="1:1">
      <c r="A446" s="8"/>
    </row>
    <row r="447" spans="1:1">
      <c r="A447" s="8"/>
    </row>
    <row r="448" spans="1:1">
      <c r="A448" s="8"/>
    </row>
    <row r="449" spans="1:1">
      <c r="A449" s="8"/>
    </row>
    <row r="450" spans="1:1">
      <c r="A450" s="8"/>
    </row>
    <row r="451" spans="1:1">
      <c r="A451" s="8"/>
    </row>
    <row r="452" spans="1:1">
      <c r="A452" s="8"/>
    </row>
    <row r="453" spans="1:1">
      <c r="A453" s="8"/>
    </row>
    <row r="454" spans="1:1">
      <c r="A454" s="8"/>
    </row>
    <row r="455" spans="1:1">
      <c r="A455" s="8"/>
    </row>
    <row r="456" spans="1:1">
      <c r="A456" s="8"/>
    </row>
    <row r="457" spans="1:1">
      <c r="A457" s="8"/>
    </row>
    <row r="458" spans="1:1">
      <c r="A458" s="8"/>
    </row>
    <row r="459" spans="1:1">
      <c r="A459" s="8"/>
    </row>
    <row r="460" spans="1:1">
      <c r="A460" s="8"/>
    </row>
    <row r="461" spans="1:1">
      <c r="A461" s="8"/>
    </row>
    <row r="462" spans="1:1">
      <c r="A462" s="8"/>
    </row>
    <row r="463" spans="1:1">
      <c r="A463" s="8"/>
    </row>
    <row r="464" spans="1:1">
      <c r="A464" s="8"/>
    </row>
    <row r="465" spans="1:1">
      <c r="A465" s="8"/>
    </row>
    <row r="466" spans="1:1">
      <c r="A466" s="8"/>
    </row>
    <row r="467" spans="1:1">
      <c r="A467" s="8"/>
    </row>
    <row r="468" spans="1:1">
      <c r="A468" s="8"/>
    </row>
    <row r="469" spans="1:1">
      <c r="A469" s="8"/>
    </row>
    <row r="470" spans="1:1">
      <c r="A470" s="8"/>
    </row>
    <row r="471" spans="1:1">
      <c r="A471" s="8"/>
    </row>
    <row r="472" spans="1:1">
      <c r="A472" s="8"/>
    </row>
    <row r="473" spans="1:1">
      <c r="A473" s="8"/>
    </row>
    <row r="474" spans="1:1">
      <c r="A474" s="8"/>
    </row>
    <row r="475" spans="1:1">
      <c r="A475" s="8"/>
    </row>
    <row r="476" spans="1:1">
      <c r="A476" s="8"/>
    </row>
    <row r="477" spans="1:1">
      <c r="A477" s="8"/>
    </row>
    <row r="478" spans="1:1">
      <c r="A478" s="8"/>
    </row>
    <row r="479" spans="1:1">
      <c r="A479" s="8"/>
    </row>
    <row r="480" spans="1:1">
      <c r="A480" s="8"/>
    </row>
    <row r="481" spans="1:1">
      <c r="A481" s="8"/>
    </row>
    <row r="482" spans="1:1">
      <c r="A482" s="8"/>
    </row>
    <row r="483" spans="1:1">
      <c r="A483" s="8"/>
    </row>
    <row r="484" spans="1:1">
      <c r="A484" s="8"/>
    </row>
    <row r="485" spans="1:1">
      <c r="A485" s="8"/>
    </row>
    <row r="486" spans="1:1">
      <c r="A486" s="8"/>
    </row>
    <row r="487" spans="1:1">
      <c r="A487" s="8"/>
    </row>
    <row r="488" spans="1:1">
      <c r="A488" s="8"/>
    </row>
    <row r="489" spans="1:1">
      <c r="A489" s="8"/>
    </row>
    <row r="490" spans="1:1">
      <c r="A490" s="8"/>
    </row>
    <row r="491" spans="1:1">
      <c r="A491" s="8"/>
    </row>
    <row r="492" spans="1:1">
      <c r="A492" s="8"/>
    </row>
    <row r="493" spans="1:1">
      <c r="A493" s="8"/>
    </row>
    <row r="494" spans="1:1">
      <c r="A494" s="8"/>
    </row>
    <row r="495" spans="1:1">
      <c r="A495" s="8"/>
    </row>
    <row r="496" spans="1:1">
      <c r="A496" s="8"/>
    </row>
    <row r="497" spans="1:1">
      <c r="A497" s="8"/>
    </row>
    <row r="498" spans="1:1">
      <c r="A498" s="8"/>
    </row>
    <row r="499" spans="1:1">
      <c r="A499" s="8"/>
    </row>
    <row r="500" spans="1:1">
      <c r="A500" s="8"/>
    </row>
    <row r="501" spans="1:1">
      <c r="A501" s="8"/>
    </row>
    <row r="502" spans="1:1">
      <c r="A502" s="8"/>
    </row>
    <row r="503" spans="1:1">
      <c r="A503" s="8"/>
    </row>
    <row r="504" spans="1:1">
      <c r="A504" s="8"/>
    </row>
    <row r="505" spans="1:1">
      <c r="A505" s="8"/>
    </row>
    <row r="506" spans="1:1">
      <c r="A506" s="8"/>
    </row>
    <row r="507" spans="1:1">
      <c r="A507" s="8"/>
    </row>
    <row r="508" spans="1:1">
      <c r="A508" s="8"/>
    </row>
    <row r="509" spans="1:1">
      <c r="A509" s="8"/>
    </row>
    <row r="510" spans="1:1">
      <c r="A510" s="8"/>
    </row>
    <row r="511" spans="1:1">
      <c r="A511" s="8"/>
    </row>
    <row r="512" spans="1:1">
      <c r="A512" s="8"/>
    </row>
    <row r="513" spans="1:1">
      <c r="A513" s="8"/>
    </row>
    <row r="514" spans="1:1">
      <c r="A514" s="8"/>
    </row>
    <row r="515" spans="1:1">
      <c r="A515" s="8"/>
    </row>
    <row r="516" spans="1:1">
      <c r="A516" s="8"/>
    </row>
    <row r="517" spans="1:1">
      <c r="A517" s="8"/>
    </row>
    <row r="518" spans="1:1">
      <c r="A518" s="8"/>
    </row>
    <row r="519" spans="1:1">
      <c r="A519" s="8"/>
    </row>
    <row r="520" spans="1:1">
      <c r="A520" s="8"/>
    </row>
    <row r="521" spans="1:1">
      <c r="A521" s="8"/>
    </row>
    <row r="522" spans="1:1">
      <c r="A522" s="8"/>
    </row>
    <row r="523" spans="1:1">
      <c r="A523" s="8"/>
    </row>
    <row r="524" spans="1:1">
      <c r="A524" s="8"/>
    </row>
    <row r="525" spans="1:1">
      <c r="A525" s="8"/>
    </row>
    <row r="526" spans="1:1">
      <c r="A526" s="8"/>
    </row>
    <row r="527" spans="1:1">
      <c r="A527" s="8"/>
    </row>
    <row r="528" spans="1:1">
      <c r="A528" s="8"/>
    </row>
    <row r="529" spans="1:1">
      <c r="A529" s="8"/>
    </row>
    <row r="530" spans="1:1">
      <c r="A530" s="8"/>
    </row>
    <row r="531" spans="1:1">
      <c r="A531" s="8"/>
    </row>
    <row r="532" spans="1:1">
      <c r="A532" s="8"/>
    </row>
    <row r="533" spans="1:1">
      <c r="A533" s="8"/>
    </row>
    <row r="534" spans="1:1">
      <c r="A534" s="8"/>
    </row>
    <row r="535" spans="1:1">
      <c r="A535" s="8"/>
    </row>
    <row r="536" spans="1:1">
      <c r="A536" s="8"/>
    </row>
    <row r="537" spans="1:1">
      <c r="A537" s="8"/>
    </row>
    <row r="538" spans="1:1">
      <c r="A538" s="8"/>
    </row>
    <row r="539" spans="1:1">
      <c r="A539" s="8"/>
    </row>
    <row r="540" spans="1:1">
      <c r="A540" s="8"/>
    </row>
    <row r="541" spans="1:1">
      <c r="A541" s="8"/>
    </row>
    <row r="542" spans="1:1">
      <c r="A542" s="8"/>
    </row>
    <row r="543" spans="1:1">
      <c r="A543" s="8"/>
    </row>
    <row r="544" spans="1:1">
      <c r="A544" s="8"/>
    </row>
    <row r="545" spans="1:1">
      <c r="A545" s="8"/>
    </row>
    <row r="546" spans="1:1">
      <c r="A546" s="8"/>
    </row>
    <row r="547" spans="1:1">
      <c r="A547" s="8"/>
    </row>
    <row r="548" spans="1:1">
      <c r="A548" s="8"/>
    </row>
    <row r="549" spans="1:1">
      <c r="A549" s="8"/>
    </row>
    <row r="550" spans="1:1">
      <c r="A550" s="8"/>
    </row>
    <row r="551" spans="1:1">
      <c r="A551" s="8"/>
    </row>
    <row r="552" spans="1:1">
      <c r="A552" s="8"/>
    </row>
    <row r="553" spans="1:1">
      <c r="A553" s="8"/>
    </row>
    <row r="554" spans="1:1">
      <c r="A554" s="8"/>
    </row>
    <row r="555" spans="1:1">
      <c r="A555" s="8"/>
    </row>
    <row r="556" spans="1:1">
      <c r="A556" s="8"/>
    </row>
    <row r="557" spans="1:1">
      <c r="A557" s="8"/>
    </row>
    <row r="558" spans="1:1">
      <c r="A558" s="8"/>
    </row>
    <row r="559" spans="1:1">
      <c r="A559" s="8"/>
    </row>
    <row r="560" spans="1:1">
      <c r="A560" s="8"/>
    </row>
    <row r="561" spans="1:1">
      <c r="A561" s="8"/>
    </row>
    <row r="562" spans="1:1">
      <c r="A562" s="8"/>
    </row>
    <row r="563" spans="1:1">
      <c r="A563" s="8"/>
    </row>
    <row r="564" spans="1:1">
      <c r="A564" s="8"/>
    </row>
    <row r="565" spans="1:1">
      <c r="A565" s="8"/>
    </row>
    <row r="566" spans="1:1">
      <c r="A566" s="8"/>
    </row>
    <row r="567" spans="1:1">
      <c r="A567" s="8"/>
    </row>
    <row r="568" spans="1:1">
      <c r="A568" s="8"/>
    </row>
    <row r="569" spans="1:1">
      <c r="A569" s="8"/>
    </row>
    <row r="570" spans="1:1">
      <c r="A570" s="8"/>
    </row>
    <row r="571" spans="1:1">
      <c r="A571" s="8"/>
    </row>
    <row r="572" spans="1:1">
      <c r="A572" s="8"/>
    </row>
    <row r="573" spans="1:1">
      <c r="A573" s="8"/>
    </row>
    <row r="574" spans="1:1">
      <c r="A574" s="8"/>
    </row>
    <row r="575" spans="1:1">
      <c r="A575" s="8"/>
    </row>
    <row r="576" spans="1:1">
      <c r="A576" s="8"/>
    </row>
    <row r="577" spans="1:1">
      <c r="A577" s="8"/>
    </row>
    <row r="578" spans="1:1">
      <c r="A578" s="8"/>
    </row>
    <row r="579" spans="1:1">
      <c r="A579" s="8"/>
    </row>
    <row r="580" spans="1:1">
      <c r="A580" s="8"/>
    </row>
    <row r="581" spans="1:1">
      <c r="A581" s="8"/>
    </row>
    <row r="582" spans="1:1">
      <c r="A582" s="8"/>
    </row>
    <row r="583" spans="1:1">
      <c r="A583" s="8"/>
    </row>
    <row r="584" spans="1:1">
      <c r="A584" s="8"/>
    </row>
    <row r="585" spans="1:1">
      <c r="A585" s="8"/>
    </row>
    <row r="586" spans="1:1">
      <c r="A586" s="8"/>
    </row>
    <row r="587" spans="1:1">
      <c r="A587" s="8"/>
    </row>
    <row r="588" spans="1:1">
      <c r="A588" s="8"/>
    </row>
    <row r="589" spans="1:1">
      <c r="A589" s="8"/>
    </row>
    <row r="590" spans="1:1">
      <c r="A590" s="8"/>
    </row>
    <row r="591" spans="1:1">
      <c r="A591" s="8"/>
    </row>
    <row r="592" spans="1:1">
      <c r="A592" s="8"/>
    </row>
    <row r="593" spans="1:1">
      <c r="A593" s="8"/>
    </row>
    <row r="594" spans="1:1">
      <c r="A594" s="8"/>
    </row>
    <row r="595" spans="1:1">
      <c r="A595" s="8"/>
    </row>
    <row r="596" spans="1:1">
      <c r="A596" s="8"/>
    </row>
    <row r="597" spans="1:1">
      <c r="A597" s="8"/>
    </row>
    <row r="598" spans="1:1">
      <c r="A598" s="8"/>
    </row>
    <row r="599" spans="1:1">
      <c r="A599" s="8"/>
    </row>
    <row r="600" spans="1:1">
      <c r="A600" s="8"/>
    </row>
    <row r="601" spans="1:1">
      <c r="A601" s="8"/>
    </row>
  </sheetData>
  <mergeCells count="6">
    <mergeCell ref="B7:I7"/>
    <mergeCell ref="A64:I64"/>
    <mergeCell ref="A65:I65"/>
    <mergeCell ref="A66:I66"/>
    <mergeCell ref="C8:I8"/>
    <mergeCell ref="C9:I9"/>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3"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0244"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0245"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0246"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enableFormatConditionsCalculation="0"/>
  <dimension ref="A1:IR496"/>
  <sheetViews>
    <sheetView workbookViewId="0"/>
  </sheetViews>
  <sheetFormatPr baseColWidth="10" defaultColWidth="8.83203125" defaultRowHeight="12" x14ac:dyDescent="0"/>
  <cols>
    <col min="1" max="1" width="10.1640625" customWidth="1"/>
    <col min="2" max="2" width="11.6640625" customWidth="1"/>
    <col min="3" max="4" width="10.5" customWidth="1"/>
    <col min="7" max="7" width="11.6640625" customWidth="1"/>
    <col min="9" max="9" width="13.33203125" customWidth="1"/>
    <col min="12" max="12" width="12.5" customWidth="1"/>
  </cols>
  <sheetData>
    <row r="1" spans="1:252">
      <c r="A1" s="21"/>
      <c r="B1" s="21"/>
      <c r="C1" s="21" t="s">
        <v>846</v>
      </c>
      <c r="D1" s="21"/>
      <c r="E1" s="21"/>
      <c r="F1" s="21"/>
      <c r="G1" s="21"/>
      <c r="H1" s="21"/>
      <c r="I1" s="21"/>
      <c r="J1" s="21"/>
    </row>
    <row r="2" spans="1:252" ht="21" customHeight="1">
      <c r="A2" s="21"/>
      <c r="B2" s="21"/>
      <c r="C2" s="21"/>
      <c r="D2" s="374"/>
      <c r="E2" s="374"/>
      <c r="F2" s="374"/>
      <c r="G2" s="374"/>
      <c r="H2" s="374"/>
      <c r="I2" s="374"/>
      <c r="J2" s="374"/>
      <c r="K2" s="372"/>
      <c r="L2" s="372"/>
      <c r="M2" s="372"/>
      <c r="N2" s="372"/>
    </row>
    <row r="3" spans="1:252">
      <c r="A3" s="19" t="s">
        <v>1045</v>
      </c>
      <c r="B3" s="20" t="s">
        <v>242</v>
      </c>
      <c r="C3" s="21"/>
      <c r="D3" s="21"/>
      <c r="E3" s="21"/>
      <c r="F3" s="21"/>
      <c r="G3" s="21"/>
      <c r="H3" s="21"/>
      <c r="I3" s="21"/>
      <c r="J3" s="21"/>
    </row>
    <row r="4" spans="1:252" ht="30.75" customHeight="1">
      <c r="A4" s="118" t="s">
        <v>779</v>
      </c>
      <c r="B4" s="446" t="s">
        <v>987</v>
      </c>
      <c r="C4" s="446"/>
      <c r="D4" s="446"/>
      <c r="E4" s="446"/>
      <c r="F4" s="446"/>
      <c r="G4" s="446"/>
      <c r="H4" s="446"/>
      <c r="I4" s="446"/>
      <c r="J4" s="446"/>
    </row>
    <row r="5" spans="1:252" ht="20.25" customHeight="1">
      <c r="A5" s="21"/>
      <c r="B5" s="21"/>
      <c r="C5" s="115" t="s">
        <v>241</v>
      </c>
      <c r="D5" s="21"/>
      <c r="E5" s="21"/>
      <c r="F5" s="21"/>
      <c r="G5" s="21"/>
      <c r="H5" s="21"/>
      <c r="I5" s="21"/>
      <c r="J5" s="21"/>
    </row>
    <row r="6" spans="1:252" ht="14.25" customHeight="1">
      <c r="A6" s="21"/>
      <c r="B6" s="21"/>
      <c r="C6" s="115"/>
      <c r="D6" s="21"/>
      <c r="E6" s="21"/>
      <c r="F6" s="21"/>
      <c r="G6" s="21"/>
      <c r="H6" s="21"/>
      <c r="I6" s="21"/>
      <c r="J6" s="21"/>
    </row>
    <row r="7" spans="1:252" ht="48">
      <c r="A7" s="22" t="s">
        <v>1090</v>
      </c>
      <c r="B7" s="31" t="s">
        <v>1091</v>
      </c>
      <c r="C7" s="31" t="s">
        <v>1092</v>
      </c>
      <c r="D7" s="31" t="s">
        <v>1202</v>
      </c>
      <c r="E7" s="31" t="s">
        <v>991</v>
      </c>
      <c r="F7" s="31" t="s">
        <v>992</v>
      </c>
      <c r="G7" s="31" t="s">
        <v>959</v>
      </c>
      <c r="H7" s="22"/>
      <c r="I7" s="22"/>
      <c r="J7" s="22"/>
    </row>
    <row r="8" spans="1:252">
      <c r="A8" s="26">
        <v>35545</v>
      </c>
      <c r="B8" s="245">
        <v>789</v>
      </c>
      <c r="C8" s="245">
        <v>1662</v>
      </c>
      <c r="D8" s="245">
        <f>B8-C8</f>
        <v>-873</v>
      </c>
      <c r="E8" s="43">
        <f>D8</f>
        <v>-873</v>
      </c>
      <c r="F8" s="43">
        <f>D8</f>
        <v>-873</v>
      </c>
      <c r="G8" s="28"/>
      <c r="H8" s="72"/>
      <c r="I8" s="72"/>
      <c r="J8" s="54"/>
      <c r="K8" s="2"/>
      <c r="L8" s="2"/>
      <c r="P8" s="2"/>
      <c r="T8" s="2"/>
      <c r="X8" s="2"/>
      <c r="AB8" s="2"/>
      <c r="AF8" s="2"/>
      <c r="AJ8" s="2"/>
      <c r="AN8" s="2"/>
      <c r="AR8" s="2"/>
      <c r="AV8" s="2"/>
      <c r="AZ8" s="2"/>
      <c r="BD8" s="2"/>
      <c r="BH8" s="2"/>
      <c r="BL8" s="2"/>
      <c r="BP8" s="2"/>
      <c r="BT8" s="2"/>
      <c r="BX8" s="2"/>
      <c r="CB8" s="2"/>
      <c r="CF8" s="2"/>
      <c r="CJ8" s="2"/>
      <c r="CN8" s="2"/>
      <c r="CR8" s="2"/>
      <c r="CV8" s="2"/>
      <c r="CZ8" s="2"/>
      <c r="DD8" s="2"/>
      <c r="DH8" s="2"/>
      <c r="DL8" s="2"/>
      <c r="DP8" s="2"/>
      <c r="DT8" s="2"/>
      <c r="DX8" s="2"/>
      <c r="EB8" s="2"/>
      <c r="EF8" s="2"/>
      <c r="EJ8" s="2"/>
      <c r="EN8" s="2"/>
      <c r="ER8" s="2"/>
      <c r="EV8" s="2"/>
      <c r="EZ8" s="2"/>
      <c r="FD8" s="2"/>
      <c r="FH8" s="2"/>
      <c r="FL8" s="2"/>
      <c r="FP8" s="2"/>
      <c r="FT8" s="2"/>
      <c r="FX8" s="2"/>
      <c r="GB8" s="2"/>
      <c r="GF8" s="2"/>
      <c r="GJ8" s="2"/>
      <c r="GN8" s="2"/>
      <c r="GR8" s="2"/>
      <c r="GV8" s="2"/>
      <c r="GZ8" s="2"/>
      <c r="HD8" s="2"/>
      <c r="HH8" s="2"/>
      <c r="HL8" s="2"/>
      <c r="HP8" s="2"/>
      <c r="HT8" s="2"/>
      <c r="HX8" s="2"/>
      <c r="IB8" s="2"/>
      <c r="IF8" s="2"/>
      <c r="IJ8" s="2"/>
      <c r="IN8" s="2"/>
      <c r="IR8" s="2"/>
    </row>
    <row r="9" spans="1:252">
      <c r="A9" s="26">
        <v>35548</v>
      </c>
      <c r="B9" s="245">
        <v>1348</v>
      </c>
      <c r="C9" s="245">
        <v>1085</v>
      </c>
      <c r="D9" s="245">
        <f t="shared" ref="D9:D24" si="0">B9-C9</f>
        <v>263</v>
      </c>
      <c r="E9" s="43">
        <f t="shared" ref="E9:E25" si="1">(D9*0.1) + (E8*0.9)</f>
        <v>-759.40000000000009</v>
      </c>
      <c r="F9" s="43">
        <f t="shared" ref="F9:F25" si="2">(D9*0.05) + (F8*0.95)</f>
        <v>-816.19999999999993</v>
      </c>
      <c r="G9" s="43"/>
      <c r="H9" s="28"/>
      <c r="I9" s="72"/>
      <c r="J9" s="54"/>
      <c r="K9" s="2"/>
    </row>
    <row r="10" spans="1:252">
      <c r="A10" s="27">
        <v>35549</v>
      </c>
      <c r="B10" s="246">
        <v>2085</v>
      </c>
      <c r="C10" s="246">
        <v>531</v>
      </c>
      <c r="D10" s="246">
        <f t="shared" si="0"/>
        <v>1554</v>
      </c>
      <c r="E10" s="47">
        <f t="shared" si="1"/>
        <v>-528.06000000000017</v>
      </c>
      <c r="F10" s="47">
        <f t="shared" si="2"/>
        <v>-697.68999999999983</v>
      </c>
      <c r="G10" s="47"/>
      <c r="H10" s="29"/>
      <c r="I10" s="73"/>
      <c r="J10" s="57"/>
      <c r="K10" s="2"/>
    </row>
    <row r="11" spans="1:252">
      <c r="A11" s="27">
        <v>35550</v>
      </c>
      <c r="B11" s="246">
        <v>1599</v>
      </c>
      <c r="C11" s="246">
        <v>941</v>
      </c>
      <c r="D11" s="246">
        <f t="shared" si="0"/>
        <v>658</v>
      </c>
      <c r="E11" s="47">
        <f t="shared" si="1"/>
        <v>-409.45400000000018</v>
      </c>
      <c r="F11" s="47">
        <f t="shared" si="2"/>
        <v>-629.90549999999985</v>
      </c>
      <c r="G11" s="47"/>
      <c r="H11" s="29"/>
      <c r="I11" s="73"/>
      <c r="J11" s="57"/>
      <c r="K11" s="2"/>
    </row>
    <row r="12" spans="1:252">
      <c r="A12" s="26">
        <v>35551</v>
      </c>
      <c r="B12" s="245">
        <v>1450</v>
      </c>
      <c r="C12" s="245">
        <v>1021</v>
      </c>
      <c r="D12" s="245">
        <f t="shared" si="0"/>
        <v>429</v>
      </c>
      <c r="E12" s="43">
        <f t="shared" si="1"/>
        <v>-325.60860000000014</v>
      </c>
      <c r="F12" s="43">
        <f t="shared" si="2"/>
        <v>-576.96022499999981</v>
      </c>
      <c r="G12" s="43"/>
      <c r="H12" s="28"/>
      <c r="I12" s="72"/>
      <c r="J12" s="54"/>
      <c r="K12" s="2"/>
    </row>
    <row r="13" spans="1:252">
      <c r="A13" s="26">
        <v>35552</v>
      </c>
      <c r="B13" s="245">
        <v>2119</v>
      </c>
      <c r="C13" s="245">
        <v>476</v>
      </c>
      <c r="D13" s="245">
        <f t="shared" si="0"/>
        <v>1643</v>
      </c>
      <c r="E13" s="43">
        <f t="shared" si="1"/>
        <v>-128.74774000000014</v>
      </c>
      <c r="F13" s="43">
        <f t="shared" si="2"/>
        <v>-465.96221374999982</v>
      </c>
      <c r="G13" s="43"/>
      <c r="H13" s="28"/>
      <c r="I13" s="72"/>
      <c r="J13" s="54"/>
      <c r="K13" s="2"/>
    </row>
    <row r="14" spans="1:252">
      <c r="A14" s="27">
        <v>35555</v>
      </c>
      <c r="B14" s="246">
        <v>1958</v>
      </c>
      <c r="C14" s="246">
        <v>677</v>
      </c>
      <c r="D14" s="246">
        <f t="shared" si="0"/>
        <v>1281</v>
      </c>
      <c r="E14" s="47">
        <f t="shared" si="1"/>
        <v>12.227033999999875</v>
      </c>
      <c r="F14" s="47">
        <f t="shared" si="2"/>
        <v>-378.61410306249979</v>
      </c>
      <c r="G14" s="47"/>
      <c r="H14" s="29"/>
      <c r="I14" s="73"/>
      <c r="J14" s="57"/>
      <c r="K14" s="2"/>
    </row>
    <row r="15" spans="1:252">
      <c r="A15" s="27">
        <v>35556</v>
      </c>
      <c r="B15" s="246">
        <v>1258</v>
      </c>
      <c r="C15" s="246">
        <v>1270</v>
      </c>
      <c r="D15" s="246">
        <f t="shared" si="0"/>
        <v>-12</v>
      </c>
      <c r="E15" s="47">
        <f t="shared" si="1"/>
        <v>9.8043305999998864</v>
      </c>
      <c r="F15" s="47">
        <f t="shared" si="2"/>
        <v>-360.2833979093748</v>
      </c>
      <c r="G15" s="47"/>
      <c r="H15" s="29"/>
      <c r="I15" s="73"/>
      <c r="J15" s="57"/>
      <c r="K15" s="2"/>
    </row>
    <row r="16" spans="1:252">
      <c r="A16" s="26">
        <v>35557</v>
      </c>
      <c r="B16" s="245">
        <v>842</v>
      </c>
      <c r="C16" s="245">
        <v>1660</v>
      </c>
      <c r="D16" s="245">
        <f t="shared" si="0"/>
        <v>-818</v>
      </c>
      <c r="E16" s="43">
        <f t="shared" si="1"/>
        <v>-72.976102460000106</v>
      </c>
      <c r="F16" s="43">
        <f t="shared" si="2"/>
        <v>-383.16922801390604</v>
      </c>
      <c r="G16" s="43"/>
      <c r="H16" s="28"/>
      <c r="I16" s="72"/>
      <c r="J16" s="54"/>
      <c r="K16" s="2"/>
    </row>
    <row r="17" spans="1:11">
      <c r="A17" s="26">
        <v>35558</v>
      </c>
      <c r="B17" s="245">
        <v>1398</v>
      </c>
      <c r="C17" s="245">
        <v>1097</v>
      </c>
      <c r="D17" s="245">
        <f t="shared" si="0"/>
        <v>301</v>
      </c>
      <c r="E17" s="43">
        <f t="shared" si="1"/>
        <v>-35.5784922140001</v>
      </c>
      <c r="F17" s="43">
        <f t="shared" si="2"/>
        <v>-348.96076661321069</v>
      </c>
      <c r="G17" s="43"/>
      <c r="H17" s="28"/>
      <c r="I17" s="72"/>
      <c r="J17" s="54"/>
      <c r="K17" s="2"/>
    </row>
    <row r="18" spans="1:11">
      <c r="A18" s="27">
        <v>35559</v>
      </c>
      <c r="B18" s="246">
        <v>1526</v>
      </c>
      <c r="C18" s="246">
        <v>932</v>
      </c>
      <c r="D18" s="246">
        <f t="shared" si="0"/>
        <v>594</v>
      </c>
      <c r="E18" s="47">
        <f t="shared" si="1"/>
        <v>27.379357007399918</v>
      </c>
      <c r="F18" s="47">
        <f t="shared" si="2"/>
        <v>-301.81272828255015</v>
      </c>
      <c r="G18" s="47"/>
      <c r="H18" s="29"/>
      <c r="I18" s="73"/>
      <c r="J18" s="57"/>
      <c r="K18" s="2"/>
    </row>
    <row r="19" spans="1:11">
      <c r="A19" s="27">
        <v>35562</v>
      </c>
      <c r="B19" s="246">
        <v>1766</v>
      </c>
      <c r="C19" s="246">
        <v>761</v>
      </c>
      <c r="D19" s="246">
        <f t="shared" si="0"/>
        <v>1005</v>
      </c>
      <c r="E19" s="47">
        <f t="shared" si="1"/>
        <v>125.14142130665992</v>
      </c>
      <c r="F19" s="47">
        <f t="shared" si="2"/>
        <v>-236.47209186842264</v>
      </c>
      <c r="G19" s="47"/>
      <c r="H19" s="29"/>
      <c r="I19" s="73"/>
      <c r="J19" s="57"/>
      <c r="K19" s="2"/>
    </row>
    <row r="20" spans="1:11">
      <c r="A20" s="26">
        <v>35563</v>
      </c>
      <c r="B20" s="245">
        <v>1133</v>
      </c>
      <c r="C20" s="245">
        <v>1322</v>
      </c>
      <c r="D20" s="245">
        <f t="shared" si="0"/>
        <v>-189</v>
      </c>
      <c r="E20" s="43">
        <f t="shared" si="1"/>
        <v>93.727279175993928</v>
      </c>
      <c r="F20" s="43">
        <f t="shared" si="2"/>
        <v>-234.09848727500147</v>
      </c>
      <c r="G20" s="43"/>
      <c r="H20" s="28"/>
      <c r="I20" s="72"/>
      <c r="J20" s="54"/>
      <c r="K20" s="2"/>
    </row>
    <row r="21" spans="1:11">
      <c r="A21" s="26">
        <v>35564</v>
      </c>
      <c r="B21" s="245">
        <v>1472</v>
      </c>
      <c r="C21" s="245">
        <v>992</v>
      </c>
      <c r="D21" s="245">
        <f t="shared" si="0"/>
        <v>480</v>
      </c>
      <c r="E21" s="43">
        <f t="shared" si="1"/>
        <v>132.35455125839454</v>
      </c>
      <c r="F21" s="43">
        <f t="shared" si="2"/>
        <v>-198.39356291125139</v>
      </c>
      <c r="G21" s="43"/>
      <c r="H21" s="28"/>
      <c r="I21" s="72"/>
      <c r="J21" s="54"/>
      <c r="K21" s="2"/>
    </row>
    <row r="22" spans="1:11">
      <c r="A22" s="27">
        <v>35565</v>
      </c>
      <c r="B22" s="246">
        <v>1282</v>
      </c>
      <c r="C22" s="246">
        <v>1164</v>
      </c>
      <c r="D22" s="246">
        <f t="shared" si="0"/>
        <v>118</v>
      </c>
      <c r="E22" s="47">
        <f t="shared" si="1"/>
        <v>130.9190961325551</v>
      </c>
      <c r="F22" s="47">
        <f t="shared" si="2"/>
        <v>-182.5738847656888</v>
      </c>
      <c r="G22" s="47"/>
      <c r="H22" s="29"/>
      <c r="I22" s="73"/>
      <c r="J22" s="57"/>
      <c r="K22" s="2"/>
    </row>
    <row r="23" spans="1:11">
      <c r="A23" s="27">
        <v>35566</v>
      </c>
      <c r="B23" s="246">
        <v>973</v>
      </c>
      <c r="C23" s="246">
        <v>1431</v>
      </c>
      <c r="D23" s="246">
        <f t="shared" si="0"/>
        <v>-458</v>
      </c>
      <c r="E23" s="47">
        <f t="shared" si="1"/>
        <v>72.02718651929959</v>
      </c>
      <c r="F23" s="47">
        <f t="shared" si="2"/>
        <v>-196.34519052740436</v>
      </c>
      <c r="G23" s="47"/>
      <c r="H23" s="29"/>
      <c r="I23" s="73"/>
      <c r="J23" s="57"/>
      <c r="K23" s="2"/>
    </row>
    <row r="24" spans="1:11">
      <c r="A24" s="26">
        <v>35569</v>
      </c>
      <c r="B24" s="245">
        <v>1390</v>
      </c>
      <c r="C24" s="245">
        <v>1056</v>
      </c>
      <c r="D24" s="245">
        <f t="shared" si="0"/>
        <v>334</v>
      </c>
      <c r="E24" s="43">
        <f t="shared" si="1"/>
        <v>98.22446786736964</v>
      </c>
      <c r="F24" s="43">
        <f t="shared" si="2"/>
        <v>-169.82793100103413</v>
      </c>
      <c r="G24" s="43"/>
      <c r="H24" s="28"/>
      <c r="I24" s="72"/>
      <c r="J24" s="54"/>
      <c r="K24" s="2"/>
    </row>
    <row r="25" spans="1:11">
      <c r="A25" s="26">
        <v>35570</v>
      </c>
      <c r="B25" s="245">
        <v>1411</v>
      </c>
      <c r="C25" s="245">
        <v>1040</v>
      </c>
      <c r="D25" s="245">
        <f t="shared" ref="D25:D41" si="3">B25-C25</f>
        <v>371</v>
      </c>
      <c r="E25" s="43">
        <f t="shared" si="1"/>
        <v>125.50202108063269</v>
      </c>
      <c r="F25" s="43">
        <f t="shared" si="2"/>
        <v>-142.7865344509824</v>
      </c>
      <c r="G25" s="43"/>
      <c r="H25" s="28"/>
      <c r="I25" s="72"/>
      <c r="J25" s="54"/>
      <c r="K25" s="2"/>
    </row>
    <row r="26" spans="1:11">
      <c r="A26" s="27">
        <v>35571</v>
      </c>
      <c r="B26" s="246">
        <v>1421</v>
      </c>
      <c r="C26" s="246">
        <v>1107</v>
      </c>
      <c r="D26" s="246">
        <f t="shared" si="3"/>
        <v>314</v>
      </c>
      <c r="E26" s="47">
        <f t="shared" ref="E26:E41" si="4">(D26*0.1) + (E25*0.9)</f>
        <v>144.35181897256942</v>
      </c>
      <c r="F26" s="47">
        <f t="shared" ref="F26:F41" si="5">(D26*0.05) + (F25*0.95)</f>
        <v>-119.94720772843327</v>
      </c>
      <c r="G26" s="47"/>
      <c r="H26" s="29"/>
      <c r="I26" s="73"/>
      <c r="J26" s="57"/>
      <c r="K26" s="2"/>
    </row>
    <row r="27" spans="1:11">
      <c r="A27" s="27">
        <v>35572</v>
      </c>
      <c r="B27" s="246">
        <v>1270</v>
      </c>
      <c r="C27" s="246">
        <v>1176</v>
      </c>
      <c r="D27" s="246">
        <f t="shared" si="3"/>
        <v>94</v>
      </c>
      <c r="E27" s="47">
        <f t="shared" si="4"/>
        <v>139.31663707531249</v>
      </c>
      <c r="F27" s="47">
        <f t="shared" si="5"/>
        <v>-109.24984734201159</v>
      </c>
      <c r="G27" s="47"/>
      <c r="H27" s="29"/>
      <c r="I27" s="73"/>
      <c r="J27" s="57"/>
      <c r="K27" s="2"/>
    </row>
    <row r="28" spans="1:11">
      <c r="A28" s="26">
        <v>35573</v>
      </c>
      <c r="B28" s="245">
        <v>1875</v>
      </c>
      <c r="C28" s="245">
        <v>618</v>
      </c>
      <c r="D28" s="245">
        <f t="shared" si="3"/>
        <v>1257</v>
      </c>
      <c r="E28" s="43">
        <f t="shared" si="4"/>
        <v>251.08497336778123</v>
      </c>
      <c r="F28" s="43">
        <f t="shared" si="5"/>
        <v>-40.93735497491101</v>
      </c>
      <c r="G28" s="43"/>
      <c r="H28" s="28"/>
      <c r="I28" s="72"/>
      <c r="J28" s="54"/>
      <c r="K28" s="2"/>
    </row>
    <row r="29" spans="1:11">
      <c r="A29" s="26">
        <v>35577</v>
      </c>
      <c r="B29" s="245">
        <v>1221</v>
      </c>
      <c r="C29" s="245">
        <v>1299</v>
      </c>
      <c r="D29" s="245">
        <f t="shared" si="3"/>
        <v>-78</v>
      </c>
      <c r="E29" s="43">
        <f t="shared" si="4"/>
        <v>218.17647603100309</v>
      </c>
      <c r="F29" s="43">
        <f t="shared" si="5"/>
        <v>-42.790487226165453</v>
      </c>
      <c r="G29" s="43"/>
      <c r="H29" s="28"/>
      <c r="I29" s="72"/>
      <c r="J29" s="54"/>
      <c r="K29" s="2"/>
    </row>
    <row r="30" spans="1:11">
      <c r="A30" s="27">
        <v>35578</v>
      </c>
      <c r="B30" s="246">
        <v>1309</v>
      </c>
      <c r="C30" s="246">
        <v>1147</v>
      </c>
      <c r="D30" s="246">
        <f t="shared" si="3"/>
        <v>162</v>
      </c>
      <c r="E30" s="47">
        <f t="shared" si="4"/>
        <v>212.55882842790277</v>
      </c>
      <c r="F30" s="47">
        <f t="shared" si="5"/>
        <v>-32.550962864857176</v>
      </c>
      <c r="G30" s="47"/>
      <c r="H30" s="29"/>
      <c r="I30" s="73"/>
      <c r="J30" s="57"/>
      <c r="K30" s="2"/>
    </row>
    <row r="31" spans="1:11">
      <c r="A31" s="27">
        <v>35579</v>
      </c>
      <c r="B31" s="246">
        <v>1431</v>
      </c>
      <c r="C31" s="246">
        <v>1043</v>
      </c>
      <c r="D31" s="246">
        <f t="shared" si="3"/>
        <v>388</v>
      </c>
      <c r="E31" s="47">
        <f t="shared" si="4"/>
        <v>230.10294558511251</v>
      </c>
      <c r="F31" s="47">
        <f t="shared" si="5"/>
        <v>-11.523414721614312</v>
      </c>
      <c r="G31" s="47"/>
      <c r="H31" s="29"/>
      <c r="I31" s="73"/>
      <c r="J31" s="57"/>
      <c r="K31" s="2"/>
    </row>
    <row r="32" spans="1:11">
      <c r="A32" s="26">
        <v>35580</v>
      </c>
      <c r="B32" s="245">
        <v>1584</v>
      </c>
      <c r="C32" s="245">
        <v>901</v>
      </c>
      <c r="D32" s="245">
        <f t="shared" si="3"/>
        <v>683</v>
      </c>
      <c r="E32" s="43">
        <f t="shared" si="4"/>
        <v>275.39265102660124</v>
      </c>
      <c r="F32" s="43">
        <f t="shared" si="5"/>
        <v>23.202756014466402</v>
      </c>
      <c r="G32" s="43"/>
      <c r="H32" s="28"/>
      <c r="I32" s="72"/>
      <c r="J32" s="54"/>
      <c r="K32" s="2"/>
    </row>
    <row r="33" spans="1:11">
      <c r="A33" s="26">
        <v>35583</v>
      </c>
      <c r="B33" s="245">
        <v>1530</v>
      </c>
      <c r="C33" s="245">
        <v>963</v>
      </c>
      <c r="D33" s="245">
        <f t="shared" si="3"/>
        <v>567</v>
      </c>
      <c r="E33" s="43">
        <f t="shared" si="4"/>
        <v>304.55338592394111</v>
      </c>
      <c r="F33" s="43">
        <f t="shared" si="5"/>
        <v>50.392618213743084</v>
      </c>
      <c r="G33" s="43"/>
      <c r="H33" s="28"/>
      <c r="I33" s="72"/>
      <c r="J33" s="54"/>
      <c r="K33" s="2"/>
    </row>
    <row r="34" spans="1:11">
      <c r="A34" s="27">
        <v>35584</v>
      </c>
      <c r="B34" s="246">
        <v>1472</v>
      </c>
      <c r="C34" s="246">
        <v>1022</v>
      </c>
      <c r="D34" s="246">
        <f t="shared" si="3"/>
        <v>450</v>
      </c>
      <c r="E34" s="47">
        <f t="shared" si="4"/>
        <v>319.09804733154698</v>
      </c>
      <c r="F34" s="47">
        <f t="shared" si="5"/>
        <v>70.372987303055936</v>
      </c>
      <c r="G34" s="47"/>
      <c r="H34" s="29"/>
      <c r="I34" s="73"/>
      <c r="J34" s="57"/>
      <c r="K34" s="2"/>
    </row>
    <row r="35" spans="1:11">
      <c r="A35" s="27">
        <v>35585</v>
      </c>
      <c r="B35" s="246">
        <v>1147</v>
      </c>
      <c r="C35" s="246">
        <v>1322</v>
      </c>
      <c r="D35" s="246">
        <f t="shared" si="3"/>
        <v>-175</v>
      </c>
      <c r="E35" s="47">
        <f t="shared" si="4"/>
        <v>269.68824259839226</v>
      </c>
      <c r="F35" s="47">
        <f t="shared" si="5"/>
        <v>58.104337937903139</v>
      </c>
      <c r="G35" s="47"/>
      <c r="H35" s="29"/>
      <c r="I35" s="73"/>
      <c r="J35" s="57"/>
      <c r="K35" s="2"/>
    </row>
    <row r="36" spans="1:11">
      <c r="A36" s="26">
        <v>35586</v>
      </c>
      <c r="B36" s="245">
        <v>1489</v>
      </c>
      <c r="C36" s="245">
        <v>956</v>
      </c>
      <c r="D36" s="245">
        <f t="shared" si="3"/>
        <v>533</v>
      </c>
      <c r="E36" s="43">
        <f t="shared" si="4"/>
        <v>296.01941833855307</v>
      </c>
      <c r="F36" s="43">
        <f t="shared" si="5"/>
        <v>81.849121041007976</v>
      </c>
      <c r="G36" s="43"/>
      <c r="H36" s="28"/>
      <c r="I36" s="72"/>
      <c r="J36" s="54"/>
      <c r="K36" s="2"/>
    </row>
    <row r="37" spans="1:11">
      <c r="A37" s="26">
        <v>35587</v>
      </c>
      <c r="B37" s="245">
        <v>1703</v>
      </c>
      <c r="C37" s="245">
        <v>734</v>
      </c>
      <c r="D37" s="245">
        <f t="shared" si="3"/>
        <v>969</v>
      </c>
      <c r="E37" s="43">
        <f t="shared" si="4"/>
        <v>363.31747650469777</v>
      </c>
      <c r="F37" s="43">
        <f t="shared" si="5"/>
        <v>126.20666498895757</v>
      </c>
      <c r="G37" s="43"/>
      <c r="H37" s="28"/>
      <c r="I37" s="72"/>
      <c r="J37" s="54"/>
      <c r="K37" s="2"/>
    </row>
    <row r="38" spans="1:11">
      <c r="A38" s="27">
        <v>35590</v>
      </c>
      <c r="B38" s="246">
        <v>1415</v>
      </c>
      <c r="C38" s="246">
        <v>1084</v>
      </c>
      <c r="D38" s="246">
        <f t="shared" si="3"/>
        <v>331</v>
      </c>
      <c r="E38" s="47">
        <f t="shared" si="4"/>
        <v>360.08572885422802</v>
      </c>
      <c r="F38" s="47">
        <f t="shared" si="5"/>
        <v>136.4463317395097</v>
      </c>
      <c r="G38" s="47"/>
      <c r="H38" s="29"/>
      <c r="I38" s="73"/>
      <c r="J38" s="57"/>
      <c r="K38" s="2"/>
    </row>
    <row r="39" spans="1:11">
      <c r="A39" s="27">
        <v>35591</v>
      </c>
      <c r="B39" s="246">
        <v>1403</v>
      </c>
      <c r="C39" s="246">
        <v>1130</v>
      </c>
      <c r="D39" s="246">
        <f t="shared" si="3"/>
        <v>273</v>
      </c>
      <c r="E39" s="47">
        <f t="shared" si="4"/>
        <v>351.37715596880525</v>
      </c>
      <c r="F39" s="47">
        <f t="shared" si="5"/>
        <v>143.27401515253422</v>
      </c>
      <c r="G39" s="47"/>
      <c r="H39" s="29"/>
      <c r="I39" s="73"/>
      <c r="J39" s="57"/>
      <c r="K39" s="2"/>
    </row>
    <row r="40" spans="1:11">
      <c r="A40" s="26">
        <v>35592</v>
      </c>
      <c r="B40" s="245">
        <v>1511</v>
      </c>
      <c r="C40" s="245">
        <v>1027</v>
      </c>
      <c r="D40" s="245">
        <f t="shared" si="3"/>
        <v>484</v>
      </c>
      <c r="E40" s="43">
        <f t="shared" si="4"/>
        <v>364.63944037192471</v>
      </c>
      <c r="F40" s="43">
        <f t="shared" si="5"/>
        <v>160.31031439490749</v>
      </c>
      <c r="G40" s="43"/>
      <c r="H40" s="28"/>
      <c r="I40" s="72"/>
      <c r="J40" s="54"/>
      <c r="K40" s="2"/>
    </row>
    <row r="41" spans="1:11">
      <c r="A41" s="26">
        <v>35593</v>
      </c>
      <c r="B41" s="245">
        <v>1866</v>
      </c>
      <c r="C41" s="245">
        <v>729</v>
      </c>
      <c r="D41" s="245">
        <f t="shared" si="3"/>
        <v>1137</v>
      </c>
      <c r="E41" s="43">
        <f t="shared" si="4"/>
        <v>441.87549633473225</v>
      </c>
      <c r="F41" s="43">
        <f t="shared" si="5"/>
        <v>209.14479867516209</v>
      </c>
      <c r="G41" s="43"/>
      <c r="H41" s="28"/>
      <c r="I41" s="72"/>
      <c r="J41" s="54"/>
      <c r="K41" s="2"/>
    </row>
    <row r="42" spans="1:11">
      <c r="A42" s="27">
        <v>35594</v>
      </c>
      <c r="B42" s="246">
        <v>1724</v>
      </c>
      <c r="C42" s="246">
        <v>811</v>
      </c>
      <c r="D42" s="246">
        <f t="shared" ref="D42:D57" si="6">B42-C42</f>
        <v>913</v>
      </c>
      <c r="E42" s="47">
        <f t="shared" ref="E42:E57" si="7">(D42*0.1) + (E41*0.9)</f>
        <v>488.98794670125903</v>
      </c>
      <c r="F42" s="47">
        <f t="shared" ref="F42:F57" si="8">(D42*0.05) + (F41*0.95)</f>
        <v>244.337558741404</v>
      </c>
      <c r="G42" s="47"/>
      <c r="H42" s="29"/>
      <c r="I42" s="73"/>
      <c r="J42" s="57"/>
      <c r="K42" s="2"/>
    </row>
    <row r="43" spans="1:11">
      <c r="A43" s="27">
        <v>35597</v>
      </c>
      <c r="B43" s="246">
        <v>1223</v>
      </c>
      <c r="C43" s="246">
        <v>1239</v>
      </c>
      <c r="D43" s="246">
        <f t="shared" si="6"/>
        <v>-16</v>
      </c>
      <c r="E43" s="47">
        <f t="shared" si="7"/>
        <v>438.48915203113313</v>
      </c>
      <c r="F43" s="47">
        <f t="shared" si="8"/>
        <v>231.32068080433376</v>
      </c>
      <c r="G43" s="47"/>
      <c r="H43" s="29"/>
      <c r="I43" s="73"/>
      <c r="J43" s="57"/>
      <c r="K43" s="2"/>
    </row>
    <row r="44" spans="1:11">
      <c r="A44" s="26">
        <v>35598</v>
      </c>
      <c r="B44" s="245">
        <v>1231</v>
      </c>
      <c r="C44" s="245">
        <v>1237</v>
      </c>
      <c r="D44" s="245">
        <f t="shared" si="6"/>
        <v>-6</v>
      </c>
      <c r="E44" s="43">
        <f t="shared" si="7"/>
        <v>394.04023682801983</v>
      </c>
      <c r="F44" s="43">
        <f t="shared" si="8"/>
        <v>219.45464676411706</v>
      </c>
      <c r="G44" s="43"/>
      <c r="H44" s="28"/>
      <c r="I44" s="72"/>
      <c r="J44" s="54"/>
      <c r="K44" s="2"/>
    </row>
    <row r="45" spans="1:11">
      <c r="A45" s="26">
        <v>35599</v>
      </c>
      <c r="B45" s="245">
        <v>1192</v>
      </c>
      <c r="C45" s="245">
        <v>1290</v>
      </c>
      <c r="D45" s="245">
        <f t="shared" si="6"/>
        <v>-98</v>
      </c>
      <c r="E45" s="43">
        <f t="shared" si="7"/>
        <v>344.83621314521787</v>
      </c>
      <c r="F45" s="43">
        <f t="shared" si="8"/>
        <v>203.58191442591118</v>
      </c>
      <c r="G45" s="43"/>
      <c r="H45" s="28"/>
      <c r="I45" s="72"/>
      <c r="J45" s="54"/>
      <c r="K45" s="2"/>
    </row>
    <row r="46" spans="1:11">
      <c r="A46" s="27">
        <v>35600</v>
      </c>
      <c r="B46" s="246">
        <v>1737</v>
      </c>
      <c r="C46" s="246">
        <v>789</v>
      </c>
      <c r="D46" s="246">
        <f t="shared" si="6"/>
        <v>948</v>
      </c>
      <c r="E46" s="47">
        <f t="shared" si="7"/>
        <v>405.15259183069611</v>
      </c>
      <c r="F46" s="47">
        <f t="shared" si="8"/>
        <v>240.80281870461562</v>
      </c>
      <c r="G46" s="47">
        <f t="shared" ref="G46:G57" si="9">E46-F46</f>
        <v>164.34977312608049</v>
      </c>
      <c r="H46" s="29"/>
      <c r="I46" s="73"/>
      <c r="J46" s="57"/>
      <c r="K46" s="2"/>
    </row>
    <row r="47" spans="1:11">
      <c r="A47" s="27">
        <v>35601</v>
      </c>
      <c r="B47" s="246">
        <v>1100</v>
      </c>
      <c r="C47" s="246">
        <v>1480</v>
      </c>
      <c r="D47" s="246">
        <f t="shared" si="6"/>
        <v>-380</v>
      </c>
      <c r="E47" s="47">
        <f t="shared" si="7"/>
        <v>326.63733264762652</v>
      </c>
      <c r="F47" s="47">
        <f t="shared" si="8"/>
        <v>209.76267776938482</v>
      </c>
      <c r="G47" s="47">
        <f t="shared" si="9"/>
        <v>116.8746548782417</v>
      </c>
      <c r="H47" s="29"/>
      <c r="I47" s="73"/>
      <c r="J47" s="57"/>
      <c r="K47" s="2"/>
    </row>
    <row r="48" spans="1:11">
      <c r="A48" s="26">
        <v>35604</v>
      </c>
      <c r="B48" s="245">
        <v>813</v>
      </c>
      <c r="C48" s="245">
        <v>1771</v>
      </c>
      <c r="D48" s="245">
        <f t="shared" si="6"/>
        <v>-958</v>
      </c>
      <c r="E48" s="43">
        <f t="shared" si="7"/>
        <v>198.17359938286387</v>
      </c>
      <c r="F48" s="43">
        <f t="shared" si="8"/>
        <v>151.37454388091555</v>
      </c>
      <c r="G48" s="43">
        <f t="shared" si="9"/>
        <v>46.799055501948317</v>
      </c>
      <c r="H48" s="28"/>
      <c r="I48" s="72"/>
      <c r="J48" s="54"/>
      <c r="K48" s="2"/>
    </row>
    <row r="49" spans="1:11">
      <c r="A49" s="26">
        <v>35605</v>
      </c>
      <c r="B49" s="245">
        <v>1786</v>
      </c>
      <c r="C49" s="245">
        <v>961</v>
      </c>
      <c r="D49" s="245">
        <f t="shared" si="6"/>
        <v>825</v>
      </c>
      <c r="E49" s="43">
        <f t="shared" si="7"/>
        <v>260.85623944457745</v>
      </c>
      <c r="F49" s="43">
        <f t="shared" si="8"/>
        <v>185.05581668686978</v>
      </c>
      <c r="G49" s="43">
        <f t="shared" si="9"/>
        <v>75.800422757707679</v>
      </c>
      <c r="H49" s="28"/>
      <c r="I49" s="72"/>
      <c r="J49" s="54"/>
      <c r="K49" s="2"/>
    </row>
    <row r="50" spans="1:11">
      <c r="A50" s="27">
        <v>35606</v>
      </c>
      <c r="B50" s="246">
        <v>1253</v>
      </c>
      <c r="C50" s="246">
        <v>1557</v>
      </c>
      <c r="D50" s="246">
        <f t="shared" si="6"/>
        <v>-304</v>
      </c>
      <c r="E50" s="47">
        <f t="shared" si="7"/>
        <v>204.3706155001197</v>
      </c>
      <c r="F50" s="47">
        <f t="shared" si="8"/>
        <v>160.60302585252629</v>
      </c>
      <c r="G50" s="47">
        <f t="shared" si="9"/>
        <v>43.767589647593411</v>
      </c>
      <c r="H50" s="29"/>
      <c r="I50" s="73"/>
      <c r="J50" s="57"/>
      <c r="K50" s="2"/>
    </row>
    <row r="51" spans="1:11">
      <c r="A51" s="27">
        <v>35607</v>
      </c>
      <c r="B51" s="246">
        <v>1301</v>
      </c>
      <c r="C51" s="246">
        <v>1450</v>
      </c>
      <c r="D51" s="246">
        <f t="shared" si="6"/>
        <v>-149</v>
      </c>
      <c r="E51" s="47">
        <f t="shared" si="7"/>
        <v>169.03355395010772</v>
      </c>
      <c r="F51" s="47">
        <f t="shared" si="8"/>
        <v>145.12287455989997</v>
      </c>
      <c r="G51" s="47">
        <f t="shared" si="9"/>
        <v>23.910679390207747</v>
      </c>
      <c r="H51" s="29"/>
      <c r="I51" s="73"/>
      <c r="J51" s="57"/>
      <c r="K51" s="2"/>
    </row>
    <row r="52" spans="1:11">
      <c r="A52" s="26">
        <v>35608</v>
      </c>
      <c r="B52" s="245">
        <v>1797</v>
      </c>
      <c r="C52" s="245">
        <v>937</v>
      </c>
      <c r="D52" s="245">
        <f t="shared" si="6"/>
        <v>860</v>
      </c>
      <c r="E52" s="43">
        <f t="shared" si="7"/>
        <v>238.13019855509694</v>
      </c>
      <c r="F52" s="43">
        <f t="shared" si="8"/>
        <v>180.86673083190496</v>
      </c>
      <c r="G52" s="43">
        <f t="shared" si="9"/>
        <v>57.26346772319198</v>
      </c>
      <c r="H52" s="28"/>
      <c r="I52" s="72"/>
      <c r="J52" s="54"/>
      <c r="K52" s="2"/>
    </row>
    <row r="53" spans="1:11">
      <c r="A53" s="26">
        <v>35611</v>
      </c>
      <c r="B53" s="245">
        <v>1519</v>
      </c>
      <c r="C53" s="245">
        <v>1279</v>
      </c>
      <c r="D53" s="245">
        <f t="shared" si="6"/>
        <v>240</v>
      </c>
      <c r="E53" s="43">
        <f t="shared" si="7"/>
        <v>238.31717869958726</v>
      </c>
      <c r="F53" s="43">
        <f t="shared" si="8"/>
        <v>183.82339429030969</v>
      </c>
      <c r="G53" s="43">
        <f t="shared" si="9"/>
        <v>54.493784409277566</v>
      </c>
      <c r="H53" s="28"/>
      <c r="I53" s="72"/>
      <c r="J53" s="54"/>
      <c r="K53" s="2"/>
    </row>
    <row r="54" spans="1:11">
      <c r="A54" s="27">
        <v>35612</v>
      </c>
      <c r="B54" s="246">
        <v>1690</v>
      </c>
      <c r="C54" s="246">
        <v>1135</v>
      </c>
      <c r="D54" s="246">
        <f t="shared" si="6"/>
        <v>555</v>
      </c>
      <c r="E54" s="47">
        <f t="shared" si="7"/>
        <v>269.98546082962855</v>
      </c>
      <c r="F54" s="47">
        <f t="shared" si="8"/>
        <v>202.3822245757942</v>
      </c>
      <c r="G54" s="47">
        <f t="shared" si="9"/>
        <v>67.603236253834353</v>
      </c>
      <c r="H54" s="29"/>
      <c r="I54" s="73"/>
      <c r="J54" s="57"/>
      <c r="K54" s="2"/>
    </row>
    <row r="55" spans="1:11">
      <c r="A55" s="27">
        <v>35613</v>
      </c>
      <c r="B55" s="246">
        <v>1839</v>
      </c>
      <c r="C55" s="246">
        <v>961</v>
      </c>
      <c r="D55" s="246">
        <f t="shared" si="6"/>
        <v>878</v>
      </c>
      <c r="E55" s="47">
        <f t="shared" si="7"/>
        <v>330.78691474666573</v>
      </c>
      <c r="F55" s="47">
        <f t="shared" si="8"/>
        <v>236.1631133470045</v>
      </c>
      <c r="G55" s="47">
        <f t="shared" si="9"/>
        <v>94.623801399661232</v>
      </c>
      <c r="H55" s="29"/>
      <c r="I55" s="73"/>
      <c r="J55" s="57"/>
      <c r="K55" s="2"/>
    </row>
    <row r="56" spans="1:11">
      <c r="A56" s="26">
        <v>35614</v>
      </c>
      <c r="B56" s="245">
        <v>1970</v>
      </c>
      <c r="C56" s="245">
        <v>753</v>
      </c>
      <c r="D56" s="245">
        <f t="shared" si="6"/>
        <v>1217</v>
      </c>
      <c r="E56" s="43">
        <f t="shared" si="7"/>
        <v>419.40822327199913</v>
      </c>
      <c r="F56" s="43">
        <f t="shared" si="8"/>
        <v>285.20495767965429</v>
      </c>
      <c r="G56" s="43">
        <f t="shared" si="9"/>
        <v>134.20326559234485</v>
      </c>
      <c r="H56" s="28"/>
      <c r="I56" s="72"/>
      <c r="J56" s="54"/>
      <c r="K56" s="2"/>
    </row>
    <row r="57" spans="1:11">
      <c r="A57" s="26">
        <v>35618</v>
      </c>
      <c r="B57" s="245">
        <v>1462</v>
      </c>
      <c r="C57" s="245">
        <v>1396</v>
      </c>
      <c r="D57" s="245">
        <f t="shared" si="6"/>
        <v>66</v>
      </c>
      <c r="E57" s="43">
        <f t="shared" si="7"/>
        <v>384.06740094479926</v>
      </c>
      <c r="F57" s="43">
        <f t="shared" si="8"/>
        <v>274.24470979567155</v>
      </c>
      <c r="G57" s="43">
        <f t="shared" si="9"/>
        <v>109.82269114912771</v>
      </c>
      <c r="H57" s="28"/>
      <c r="I57" s="72"/>
      <c r="J57" s="54"/>
      <c r="K57" s="2"/>
    </row>
    <row r="58" spans="1:11">
      <c r="I58" s="2"/>
      <c r="K58" s="2"/>
    </row>
    <row r="59" spans="1:11">
      <c r="I59" s="2"/>
      <c r="K59" s="2"/>
    </row>
    <row r="60" spans="1:11" ht="15">
      <c r="A60" s="241" t="s">
        <v>988</v>
      </c>
      <c r="I60" s="2"/>
      <c r="K60" s="2"/>
    </row>
    <row r="61" spans="1:11" ht="81" customHeight="1">
      <c r="A61" s="447" t="s">
        <v>989</v>
      </c>
      <c r="B61" s="447"/>
      <c r="C61" s="447"/>
      <c r="D61" s="447"/>
      <c r="E61" s="447"/>
      <c r="F61" s="447"/>
      <c r="G61" s="447"/>
      <c r="H61" s="447"/>
      <c r="I61" s="447"/>
      <c r="J61" s="447"/>
      <c r="K61" s="2"/>
    </row>
    <row r="62" spans="1:11" ht="81" customHeight="1">
      <c r="A62" s="447" t="s">
        <v>993</v>
      </c>
      <c r="B62" s="447"/>
      <c r="C62" s="447"/>
      <c r="D62" s="447"/>
      <c r="E62" s="447"/>
      <c r="F62" s="447"/>
      <c r="G62" s="447"/>
      <c r="H62" s="447"/>
      <c r="I62" s="447"/>
      <c r="J62" s="447"/>
      <c r="K62" s="2"/>
    </row>
    <row r="63" spans="1:11" ht="33" customHeight="1">
      <c r="A63" s="447" t="s">
        <v>990</v>
      </c>
      <c r="B63" s="447"/>
      <c r="C63" s="447"/>
      <c r="D63" s="447"/>
      <c r="E63" s="447"/>
      <c r="F63" s="447"/>
      <c r="G63" s="447"/>
      <c r="H63" s="447"/>
      <c r="I63" s="447"/>
      <c r="J63" s="447"/>
      <c r="K63" s="2"/>
    </row>
    <row r="64" spans="1:11">
      <c r="I64" s="2"/>
      <c r="K64" s="2"/>
    </row>
    <row r="65" spans="9:11">
      <c r="I65" s="2"/>
      <c r="K65" s="2"/>
    </row>
    <row r="66" spans="9:11">
      <c r="I66" s="2"/>
      <c r="K66" s="2"/>
    </row>
    <row r="67" spans="9:11">
      <c r="I67" s="2"/>
      <c r="K67" s="2"/>
    </row>
    <row r="68" spans="9:11">
      <c r="I68" s="2"/>
      <c r="K68" s="2"/>
    </row>
    <row r="69" spans="9:11">
      <c r="I69" s="2"/>
      <c r="K69" s="2"/>
    </row>
    <row r="70" spans="9:11">
      <c r="I70" s="2"/>
      <c r="K70" s="2"/>
    </row>
    <row r="71" spans="9:11">
      <c r="I71" s="2"/>
      <c r="K71" s="2"/>
    </row>
    <row r="72" spans="9:11">
      <c r="I72" s="2"/>
      <c r="K72" s="2"/>
    </row>
    <row r="73" spans="9:11">
      <c r="I73" s="2"/>
      <c r="K73" s="2"/>
    </row>
    <row r="74" spans="9:11">
      <c r="I74" s="2"/>
      <c r="K74" s="2"/>
    </row>
    <row r="75" spans="9:11">
      <c r="I75" s="2"/>
      <c r="K75" s="2"/>
    </row>
    <row r="76" spans="9:11">
      <c r="I76" s="2"/>
      <c r="K76" s="2"/>
    </row>
    <row r="77" spans="9:11">
      <c r="I77" s="2"/>
      <c r="K77" s="2"/>
    </row>
    <row r="78" spans="9:11">
      <c r="I78" s="2"/>
      <c r="K78" s="2"/>
    </row>
    <row r="79" spans="9:11">
      <c r="I79" s="2"/>
      <c r="K79" s="2"/>
    </row>
    <row r="80" spans="9:11">
      <c r="I80" s="2"/>
      <c r="K80" s="2"/>
    </row>
    <row r="81" spans="9:11">
      <c r="I81" s="2"/>
      <c r="K81" s="2"/>
    </row>
    <row r="82" spans="9:11">
      <c r="I82" s="2"/>
      <c r="K82" s="2"/>
    </row>
    <row r="83" spans="9:11">
      <c r="I83" s="2"/>
      <c r="K83" s="2"/>
    </row>
    <row r="84" spans="9:11">
      <c r="I84" s="2"/>
      <c r="K84" s="2"/>
    </row>
    <row r="85" spans="9:11">
      <c r="I85" s="2"/>
      <c r="K85" s="2"/>
    </row>
    <row r="86" spans="9:11">
      <c r="I86" s="2"/>
      <c r="K86" s="2"/>
    </row>
    <row r="87" spans="9:11">
      <c r="I87" s="2"/>
      <c r="K87" s="2"/>
    </row>
    <row r="88" spans="9:11">
      <c r="I88" s="2"/>
      <c r="K88" s="2"/>
    </row>
    <row r="89" spans="9:11">
      <c r="I89" s="2"/>
      <c r="K89" s="2"/>
    </row>
    <row r="90" spans="9:11">
      <c r="I90" s="2"/>
      <c r="K90" s="2"/>
    </row>
    <row r="91" spans="9:11">
      <c r="I91" s="2"/>
      <c r="K91" s="2"/>
    </row>
    <row r="92" spans="9:11">
      <c r="I92" s="2"/>
      <c r="K92" s="2"/>
    </row>
    <row r="93" spans="9:11">
      <c r="I93" s="2"/>
      <c r="K93" s="2"/>
    </row>
    <row r="94" spans="9:11">
      <c r="I94" s="2"/>
      <c r="K94" s="2"/>
    </row>
    <row r="95" spans="9:11">
      <c r="I95" s="2"/>
      <c r="K95" s="2"/>
    </row>
    <row r="96" spans="9:11">
      <c r="I96" s="2"/>
      <c r="K96" s="2"/>
    </row>
    <row r="97" spans="9:11">
      <c r="I97" s="2"/>
      <c r="K97" s="2"/>
    </row>
    <row r="98" spans="9:11">
      <c r="I98" s="2"/>
      <c r="K98" s="2"/>
    </row>
    <row r="99" spans="9:11">
      <c r="I99" s="2"/>
      <c r="K99" s="2"/>
    </row>
    <row r="100" spans="9:11">
      <c r="I100" s="2"/>
      <c r="K100" s="2"/>
    </row>
    <row r="101" spans="9:11">
      <c r="I101" s="2"/>
      <c r="K101" s="2"/>
    </row>
    <row r="102" spans="9:11">
      <c r="I102" s="2"/>
      <c r="K102" s="2"/>
    </row>
    <row r="103" spans="9:11">
      <c r="I103" s="2"/>
      <c r="K103" s="2"/>
    </row>
    <row r="104" spans="9:11">
      <c r="I104" s="2"/>
      <c r="K104" s="2"/>
    </row>
    <row r="105" spans="9:11">
      <c r="I105" s="2"/>
      <c r="K105" s="2"/>
    </row>
    <row r="106" spans="9:11">
      <c r="I106" s="2"/>
      <c r="K106" s="2"/>
    </row>
    <row r="107" spans="9:11">
      <c r="I107" s="2"/>
      <c r="K107" s="2"/>
    </row>
    <row r="108" spans="9:11">
      <c r="I108" s="2"/>
      <c r="K108" s="2"/>
    </row>
    <row r="109" spans="9:11">
      <c r="I109" s="2"/>
      <c r="K109" s="2"/>
    </row>
    <row r="110" spans="9:11">
      <c r="I110" s="2"/>
      <c r="K110" s="2"/>
    </row>
    <row r="111" spans="9:11">
      <c r="I111" s="2"/>
      <c r="K111" s="2"/>
    </row>
    <row r="112" spans="9:11">
      <c r="I112" s="2"/>
      <c r="K112" s="2"/>
    </row>
    <row r="113" spans="9:11">
      <c r="I113" s="2"/>
      <c r="K113" s="2"/>
    </row>
    <row r="114" spans="9:11">
      <c r="I114" s="2"/>
      <c r="K114" s="2"/>
    </row>
    <row r="115" spans="9:11">
      <c r="I115" s="2"/>
      <c r="K115" s="2"/>
    </row>
    <row r="116" spans="9:11">
      <c r="I116" s="2"/>
      <c r="K116" s="2"/>
    </row>
    <row r="117" spans="9:11">
      <c r="I117" s="2"/>
      <c r="K117" s="2"/>
    </row>
    <row r="118" spans="9:11">
      <c r="I118" s="2"/>
      <c r="K118" s="2"/>
    </row>
    <row r="119" spans="9:11">
      <c r="I119" s="2"/>
      <c r="K119" s="2"/>
    </row>
    <row r="120" spans="9:11">
      <c r="I120" s="2"/>
      <c r="K120" s="2"/>
    </row>
    <row r="121" spans="9:11">
      <c r="I121" s="2"/>
      <c r="K121" s="2"/>
    </row>
    <row r="122" spans="9:11">
      <c r="I122" s="2"/>
      <c r="K122" s="2"/>
    </row>
    <row r="123" spans="9:11">
      <c r="I123" s="2"/>
      <c r="K123" s="2"/>
    </row>
    <row r="124" spans="9:11">
      <c r="I124" s="2"/>
      <c r="K124" s="2"/>
    </row>
    <row r="125" spans="9:11">
      <c r="I125" s="2"/>
      <c r="K125" s="2"/>
    </row>
    <row r="126" spans="9:11">
      <c r="I126" s="2"/>
      <c r="K126" s="2"/>
    </row>
    <row r="127" spans="9:11">
      <c r="I127" s="2"/>
      <c r="K127" s="2"/>
    </row>
    <row r="128" spans="9:11">
      <c r="I128" s="2"/>
      <c r="K128" s="2"/>
    </row>
    <row r="129" spans="9:11">
      <c r="I129" s="2"/>
      <c r="K129" s="2"/>
    </row>
    <row r="130" spans="9:11">
      <c r="I130" s="2"/>
      <c r="K130" s="2"/>
    </row>
    <row r="131" spans="9:11">
      <c r="I131" s="2"/>
      <c r="K131" s="2"/>
    </row>
    <row r="132" spans="9:11">
      <c r="I132" s="2"/>
      <c r="K132" s="2"/>
    </row>
    <row r="133" spans="9:11">
      <c r="I133" s="2"/>
      <c r="K133" s="2"/>
    </row>
    <row r="134" spans="9:11">
      <c r="I134" s="2"/>
      <c r="K134" s="2"/>
    </row>
    <row r="135" spans="9:11">
      <c r="I135" s="2"/>
      <c r="K135" s="2"/>
    </row>
    <row r="136" spans="9:11">
      <c r="I136" s="2"/>
      <c r="K136" s="2"/>
    </row>
    <row r="137" spans="9:11">
      <c r="I137" s="2"/>
      <c r="K137" s="2"/>
    </row>
    <row r="138" spans="9:11">
      <c r="I138" s="2"/>
      <c r="K138" s="2"/>
    </row>
    <row r="139" spans="9:11">
      <c r="I139" s="2"/>
      <c r="K139" s="2"/>
    </row>
    <row r="140" spans="9:11">
      <c r="I140" s="2"/>
      <c r="K140" s="2"/>
    </row>
    <row r="141" spans="9:11">
      <c r="I141" s="2"/>
      <c r="K141" s="2"/>
    </row>
    <row r="142" spans="9:11">
      <c r="I142" s="2"/>
      <c r="K142" s="2"/>
    </row>
    <row r="143" spans="9:11">
      <c r="I143" s="2"/>
      <c r="K143" s="2"/>
    </row>
    <row r="144" spans="9:11">
      <c r="I144" s="2"/>
      <c r="K144" s="2"/>
    </row>
    <row r="145" spans="9:11">
      <c r="I145" s="2"/>
      <c r="K145" s="2"/>
    </row>
    <row r="146" spans="9:11">
      <c r="I146" s="2"/>
      <c r="K146" s="2"/>
    </row>
    <row r="147" spans="9:11">
      <c r="I147" s="2"/>
      <c r="K147" s="2"/>
    </row>
    <row r="148" spans="9:11">
      <c r="I148" s="2"/>
      <c r="K148" s="2"/>
    </row>
    <row r="149" spans="9:11">
      <c r="I149" s="2"/>
      <c r="K149" s="2"/>
    </row>
    <row r="150" spans="9:11">
      <c r="I150" s="2"/>
      <c r="K150" s="2"/>
    </row>
    <row r="151" spans="9:11">
      <c r="I151" s="2"/>
      <c r="K151" s="2"/>
    </row>
    <row r="152" spans="9:11">
      <c r="I152" s="2"/>
      <c r="K152" s="2"/>
    </row>
    <row r="153" spans="9:11">
      <c r="I153" s="2"/>
      <c r="K153" s="2"/>
    </row>
    <row r="154" spans="9:11">
      <c r="I154" s="2"/>
      <c r="K154" s="2"/>
    </row>
    <row r="155" spans="9:11">
      <c r="I155" s="2"/>
      <c r="K155" s="2"/>
    </row>
    <row r="156" spans="9:11">
      <c r="I156" s="2"/>
      <c r="K156" s="2"/>
    </row>
    <row r="157" spans="9:11">
      <c r="I157" s="2"/>
      <c r="K157" s="2"/>
    </row>
    <row r="158" spans="9:11">
      <c r="I158" s="2"/>
      <c r="K158" s="2"/>
    </row>
    <row r="159" spans="9:11">
      <c r="I159" s="2"/>
      <c r="K159" s="2"/>
    </row>
    <row r="160" spans="9:11">
      <c r="I160" s="2"/>
      <c r="K160" s="2"/>
    </row>
    <row r="161" spans="9:11">
      <c r="I161" s="2"/>
      <c r="K161" s="2"/>
    </row>
    <row r="162" spans="9:11">
      <c r="I162" s="2"/>
      <c r="K162" s="2"/>
    </row>
    <row r="163" spans="9:11">
      <c r="I163" s="2"/>
      <c r="K163" s="2"/>
    </row>
    <row r="164" spans="9:11">
      <c r="I164" s="2"/>
      <c r="K164" s="2"/>
    </row>
    <row r="165" spans="9:11">
      <c r="I165" s="2"/>
      <c r="K165" s="2"/>
    </row>
    <row r="166" spans="9:11">
      <c r="I166" s="2"/>
      <c r="K166" s="2"/>
    </row>
    <row r="167" spans="9:11">
      <c r="I167" s="2"/>
      <c r="K167" s="2"/>
    </row>
    <row r="168" spans="9:11">
      <c r="I168" s="2"/>
      <c r="K168" s="2"/>
    </row>
    <row r="169" spans="9:11">
      <c r="I169" s="2"/>
      <c r="K169" s="2"/>
    </row>
    <row r="170" spans="9:11">
      <c r="I170" s="2"/>
      <c r="K170" s="2"/>
    </row>
    <row r="171" spans="9:11">
      <c r="I171" s="2"/>
      <c r="K171" s="2"/>
    </row>
    <row r="172" spans="9:11">
      <c r="I172" s="2"/>
      <c r="K172" s="2"/>
    </row>
    <row r="173" spans="9:11">
      <c r="I173" s="2"/>
      <c r="K173" s="2"/>
    </row>
    <row r="174" spans="9:11">
      <c r="I174" s="2"/>
      <c r="K174" s="2"/>
    </row>
    <row r="175" spans="9:11">
      <c r="I175" s="2"/>
      <c r="K175" s="2"/>
    </row>
    <row r="176" spans="9:11">
      <c r="I176" s="2"/>
      <c r="K176" s="2"/>
    </row>
    <row r="177" spans="9:11">
      <c r="I177" s="2"/>
      <c r="K177" s="2"/>
    </row>
    <row r="178" spans="9:11">
      <c r="I178" s="2"/>
      <c r="K178" s="2"/>
    </row>
    <row r="179" spans="9:11">
      <c r="I179" s="2"/>
      <c r="K179" s="2"/>
    </row>
    <row r="180" spans="9:11">
      <c r="I180" s="2"/>
      <c r="K180" s="2"/>
    </row>
    <row r="181" spans="9:11">
      <c r="I181" s="2"/>
      <c r="K181" s="2"/>
    </row>
    <row r="182" spans="9:11">
      <c r="I182" s="2"/>
      <c r="K182" s="2"/>
    </row>
    <row r="183" spans="9:11">
      <c r="I183" s="2"/>
      <c r="K183" s="2"/>
    </row>
    <row r="184" spans="9:11">
      <c r="I184" s="2"/>
      <c r="K184" s="2"/>
    </row>
    <row r="185" spans="9:11">
      <c r="I185" s="2"/>
      <c r="K185" s="2"/>
    </row>
    <row r="186" spans="9:11">
      <c r="I186" s="2"/>
      <c r="K186" s="2"/>
    </row>
    <row r="187" spans="9:11">
      <c r="I187" s="2"/>
      <c r="K187" s="2"/>
    </row>
    <row r="188" spans="9:11">
      <c r="I188" s="2"/>
      <c r="K188" s="2"/>
    </row>
    <row r="189" spans="9:11">
      <c r="I189" s="2"/>
      <c r="K189" s="2"/>
    </row>
    <row r="190" spans="9:11">
      <c r="I190" s="2"/>
      <c r="K190" s="2"/>
    </row>
    <row r="191" spans="9:11">
      <c r="I191" s="2"/>
      <c r="K191" s="2"/>
    </row>
    <row r="192" spans="9:11">
      <c r="I192" s="2"/>
      <c r="K192" s="2"/>
    </row>
    <row r="193" spans="9:11">
      <c r="I193" s="2"/>
      <c r="K193" s="2"/>
    </row>
    <row r="194" spans="9:11">
      <c r="I194" s="2"/>
      <c r="K194" s="2"/>
    </row>
    <row r="195" spans="9:11">
      <c r="I195" s="2"/>
      <c r="K195" s="2"/>
    </row>
    <row r="196" spans="9:11">
      <c r="I196" s="2"/>
      <c r="K196" s="2"/>
    </row>
    <row r="197" spans="9:11">
      <c r="I197" s="2"/>
      <c r="K197" s="2"/>
    </row>
    <row r="198" spans="9:11">
      <c r="I198" s="2"/>
      <c r="K198" s="2"/>
    </row>
    <row r="199" spans="9:11">
      <c r="I199" s="2"/>
      <c r="K199" s="2"/>
    </row>
    <row r="200" spans="9:11">
      <c r="I200" s="2"/>
      <c r="K200" s="2"/>
    </row>
    <row r="201" spans="9:11">
      <c r="I201" s="2"/>
      <c r="K201" s="2"/>
    </row>
    <row r="202" spans="9:11">
      <c r="I202" s="2"/>
      <c r="K202" s="2"/>
    </row>
    <row r="203" spans="9:11">
      <c r="I203" s="2"/>
      <c r="K203" s="2"/>
    </row>
    <row r="204" spans="9:11">
      <c r="I204" s="2"/>
      <c r="K204" s="2"/>
    </row>
    <row r="205" spans="9:11">
      <c r="I205" s="2"/>
      <c r="K205" s="2"/>
    </row>
    <row r="206" spans="9:11">
      <c r="I206" s="2"/>
      <c r="K206" s="2"/>
    </row>
    <row r="207" spans="9:11">
      <c r="I207" s="2"/>
      <c r="K207" s="2"/>
    </row>
    <row r="208" spans="9:11">
      <c r="I208" s="2"/>
      <c r="K208" s="2"/>
    </row>
    <row r="209" spans="9:11">
      <c r="I209" s="2"/>
      <c r="K209" s="2"/>
    </row>
    <row r="210" spans="9:11">
      <c r="I210" s="2"/>
      <c r="K210" s="2"/>
    </row>
    <row r="211" spans="9:11">
      <c r="I211" s="2"/>
      <c r="K211" s="2"/>
    </row>
    <row r="212" spans="9:11">
      <c r="I212" s="2"/>
      <c r="K212" s="2"/>
    </row>
    <row r="213" spans="9:11">
      <c r="I213" s="2"/>
      <c r="K213" s="2"/>
    </row>
    <row r="214" spans="9:11">
      <c r="I214" s="2"/>
      <c r="K214" s="2"/>
    </row>
    <row r="215" spans="9:11">
      <c r="I215" s="2"/>
      <c r="K215" s="2"/>
    </row>
    <row r="216" spans="9:11">
      <c r="I216" s="2"/>
      <c r="K216" s="2"/>
    </row>
    <row r="217" spans="9:11">
      <c r="I217" s="2"/>
      <c r="K217" s="2"/>
    </row>
    <row r="218" spans="9:11">
      <c r="I218" s="2"/>
      <c r="K218" s="2"/>
    </row>
    <row r="219" spans="9:11">
      <c r="I219" s="2"/>
      <c r="K219" s="2"/>
    </row>
    <row r="220" spans="9:11">
      <c r="I220" s="2"/>
      <c r="K220" s="2"/>
    </row>
    <row r="221" spans="9:11">
      <c r="I221" s="2"/>
      <c r="K221" s="2"/>
    </row>
    <row r="222" spans="9:11">
      <c r="I222" s="2"/>
      <c r="K222" s="2"/>
    </row>
    <row r="223" spans="9:11">
      <c r="I223" s="2"/>
      <c r="K223" s="2"/>
    </row>
    <row r="224" spans="9:11">
      <c r="I224" s="2"/>
      <c r="K224" s="2"/>
    </row>
    <row r="225" spans="9:11">
      <c r="I225" s="2"/>
      <c r="K225" s="2"/>
    </row>
    <row r="226" spans="9:11">
      <c r="I226" s="2"/>
      <c r="K226" s="2"/>
    </row>
    <row r="227" spans="9:11">
      <c r="I227" s="2"/>
      <c r="K227" s="2"/>
    </row>
    <row r="228" spans="9:11">
      <c r="I228" s="2"/>
      <c r="K228" s="2"/>
    </row>
    <row r="229" spans="9:11">
      <c r="I229" s="2"/>
      <c r="K229" s="2"/>
    </row>
    <row r="230" spans="9:11">
      <c r="I230" s="2"/>
      <c r="K230" s="2"/>
    </row>
    <row r="231" spans="9:11">
      <c r="I231" s="2"/>
      <c r="K231" s="2"/>
    </row>
    <row r="232" spans="9:11">
      <c r="I232" s="2"/>
      <c r="K232" s="2"/>
    </row>
    <row r="233" spans="9:11">
      <c r="I233" s="2"/>
      <c r="K233" s="2"/>
    </row>
    <row r="234" spans="9:11">
      <c r="I234" s="2"/>
      <c r="K234" s="2"/>
    </row>
    <row r="235" spans="9:11">
      <c r="I235" s="2"/>
      <c r="K235" s="2"/>
    </row>
    <row r="236" spans="9:11">
      <c r="I236" s="2"/>
      <c r="K236" s="2"/>
    </row>
    <row r="237" spans="9:11">
      <c r="I237" s="2"/>
      <c r="K237" s="2"/>
    </row>
    <row r="238" spans="9:11">
      <c r="I238" s="2"/>
      <c r="K238" s="2"/>
    </row>
    <row r="239" spans="9:11">
      <c r="I239" s="2"/>
      <c r="K239" s="2"/>
    </row>
    <row r="240" spans="9:11">
      <c r="I240" s="2"/>
      <c r="K240" s="2"/>
    </row>
    <row r="241" spans="9:11">
      <c r="I241" s="2"/>
      <c r="K241" s="2"/>
    </row>
    <row r="242" spans="9:11">
      <c r="I242" s="2"/>
      <c r="K242" s="2"/>
    </row>
    <row r="243" spans="9:11">
      <c r="I243" s="2"/>
      <c r="K243" s="2"/>
    </row>
    <row r="244" spans="9:11">
      <c r="I244" s="2"/>
      <c r="K244" s="2"/>
    </row>
    <row r="245" spans="9:11">
      <c r="I245" s="2"/>
      <c r="K245" s="2"/>
    </row>
    <row r="246" spans="9:11">
      <c r="I246" s="2"/>
      <c r="K246" s="2"/>
    </row>
    <row r="247" spans="9:11">
      <c r="I247" s="2"/>
      <c r="K247" s="2"/>
    </row>
    <row r="248" spans="9:11">
      <c r="I248" s="2"/>
      <c r="K248" s="2"/>
    </row>
    <row r="249" spans="9:11">
      <c r="I249" s="2"/>
      <c r="K249" s="2"/>
    </row>
    <row r="250" spans="9:11">
      <c r="I250" s="2"/>
      <c r="K250" s="2"/>
    </row>
    <row r="251" spans="9:11">
      <c r="I251" s="2"/>
      <c r="K251" s="2"/>
    </row>
    <row r="252" spans="9:11">
      <c r="I252" s="2"/>
      <c r="K252" s="2"/>
    </row>
    <row r="253" spans="9:11">
      <c r="I253" s="2"/>
      <c r="K253" s="2"/>
    </row>
    <row r="254" spans="9:11">
      <c r="I254" s="2"/>
      <c r="K254" s="2"/>
    </row>
    <row r="255" spans="9:11">
      <c r="I255" s="2"/>
      <c r="K255" s="2"/>
    </row>
    <row r="256" spans="9:11">
      <c r="I256" s="2"/>
      <c r="K256" s="2"/>
    </row>
    <row r="257" spans="9:11">
      <c r="I257" s="2"/>
      <c r="K257" s="2"/>
    </row>
    <row r="258" spans="9:11">
      <c r="I258" s="2"/>
      <c r="K258" s="2"/>
    </row>
    <row r="259" spans="9:11">
      <c r="I259" s="2"/>
      <c r="K259" s="2"/>
    </row>
    <row r="260" spans="9:11">
      <c r="I260" s="2"/>
      <c r="K260" s="2"/>
    </row>
    <row r="261" spans="9:11">
      <c r="I261" s="2"/>
      <c r="K261" s="2"/>
    </row>
    <row r="262" spans="9:11">
      <c r="I262" s="2"/>
      <c r="K262" s="2"/>
    </row>
    <row r="263" spans="9:11">
      <c r="I263" s="2"/>
      <c r="K263" s="2"/>
    </row>
    <row r="264" spans="9:11">
      <c r="I264" s="2"/>
      <c r="K264" s="2"/>
    </row>
    <row r="265" spans="9:11">
      <c r="I265" s="2"/>
      <c r="K265" s="2"/>
    </row>
    <row r="266" spans="9:11">
      <c r="I266" s="2"/>
      <c r="K266" s="2"/>
    </row>
    <row r="267" spans="9:11">
      <c r="I267" s="2"/>
      <c r="K267" s="2"/>
    </row>
    <row r="268" spans="9:11">
      <c r="I268" s="2"/>
      <c r="K268" s="2"/>
    </row>
    <row r="269" spans="9:11">
      <c r="I269" s="2"/>
      <c r="K269" s="2"/>
    </row>
    <row r="270" spans="9:11">
      <c r="I270" s="2"/>
      <c r="K270" s="2"/>
    </row>
    <row r="271" spans="9:11">
      <c r="I271" s="2"/>
      <c r="K271" s="2"/>
    </row>
    <row r="272" spans="9:11">
      <c r="I272" s="2"/>
      <c r="K272" s="2"/>
    </row>
    <row r="273" spans="9:11">
      <c r="I273" s="2"/>
      <c r="K273" s="2"/>
    </row>
    <row r="274" spans="9:11">
      <c r="I274" s="2"/>
      <c r="K274" s="2"/>
    </row>
    <row r="275" spans="9:11">
      <c r="I275" s="2"/>
      <c r="K275" s="2"/>
    </row>
    <row r="276" spans="9:11">
      <c r="I276" s="2"/>
      <c r="K276" s="2"/>
    </row>
    <row r="277" spans="9:11">
      <c r="I277" s="2"/>
      <c r="K277" s="2"/>
    </row>
    <row r="278" spans="9:11">
      <c r="I278" s="2"/>
      <c r="K278" s="2"/>
    </row>
    <row r="279" spans="9:11">
      <c r="I279" s="2"/>
      <c r="K279" s="2"/>
    </row>
    <row r="280" spans="9:11">
      <c r="I280" s="2"/>
      <c r="K280" s="2"/>
    </row>
    <row r="281" spans="9:11">
      <c r="I281" s="2"/>
      <c r="K281" s="2"/>
    </row>
    <row r="282" spans="9:11">
      <c r="I282" s="2"/>
      <c r="K282" s="2"/>
    </row>
    <row r="283" spans="9:11">
      <c r="I283" s="2"/>
      <c r="K283" s="2"/>
    </row>
    <row r="284" spans="9:11">
      <c r="I284" s="2"/>
      <c r="K284" s="2"/>
    </row>
    <row r="285" spans="9:11">
      <c r="I285" s="2"/>
      <c r="K285" s="2"/>
    </row>
    <row r="286" spans="9:11">
      <c r="I286" s="2"/>
      <c r="K286" s="2"/>
    </row>
    <row r="287" spans="9:11">
      <c r="I287" s="2"/>
      <c r="K287" s="2"/>
    </row>
    <row r="288" spans="9:11">
      <c r="I288" s="2"/>
      <c r="K288" s="2"/>
    </row>
    <row r="289" spans="9:11">
      <c r="I289" s="2"/>
      <c r="K289" s="2"/>
    </row>
    <row r="290" spans="9:11">
      <c r="I290" s="2"/>
      <c r="K290" s="2"/>
    </row>
    <row r="291" spans="9:11">
      <c r="I291" s="2"/>
      <c r="K291" s="2"/>
    </row>
    <row r="292" spans="9:11">
      <c r="I292" s="2"/>
      <c r="K292" s="2"/>
    </row>
    <row r="293" spans="9:11">
      <c r="I293" s="2"/>
      <c r="K293" s="2"/>
    </row>
    <row r="294" spans="9:11">
      <c r="I294" s="2"/>
      <c r="K294" s="2"/>
    </row>
    <row r="295" spans="9:11">
      <c r="I295" s="2"/>
      <c r="K295" s="2"/>
    </row>
    <row r="296" spans="9:11">
      <c r="I296" s="2"/>
      <c r="K296" s="2"/>
    </row>
    <row r="297" spans="9:11">
      <c r="I297" s="2"/>
      <c r="K297" s="2"/>
    </row>
    <row r="298" spans="9:11">
      <c r="I298" s="2"/>
      <c r="K298" s="2"/>
    </row>
    <row r="299" spans="9:11">
      <c r="I299" s="2"/>
      <c r="K299" s="2"/>
    </row>
    <row r="300" spans="9:11">
      <c r="I300" s="2"/>
      <c r="K300" s="2"/>
    </row>
    <row r="301" spans="9:11">
      <c r="I301" s="2"/>
      <c r="K301" s="2"/>
    </row>
    <row r="302" spans="9:11">
      <c r="I302" s="2"/>
      <c r="K302" s="2"/>
    </row>
    <row r="303" spans="9:11">
      <c r="I303" s="2"/>
      <c r="K303" s="2"/>
    </row>
    <row r="304" spans="9:11">
      <c r="I304" s="2"/>
      <c r="K304" s="2"/>
    </row>
    <row r="305" spans="9:11">
      <c r="I305" s="2"/>
      <c r="K305" s="2"/>
    </row>
    <row r="306" spans="9:11">
      <c r="I306" s="2"/>
      <c r="K306" s="2"/>
    </row>
    <row r="307" spans="9:11">
      <c r="I307" s="2"/>
      <c r="K307" s="2"/>
    </row>
    <row r="308" spans="9:11">
      <c r="I308" s="2"/>
      <c r="K308" s="2"/>
    </row>
    <row r="309" spans="9:11">
      <c r="I309" s="2"/>
      <c r="K309" s="2"/>
    </row>
    <row r="310" spans="9:11">
      <c r="I310" s="2"/>
      <c r="K310" s="2"/>
    </row>
    <row r="311" spans="9:11">
      <c r="I311" s="2"/>
      <c r="K311" s="2"/>
    </row>
    <row r="312" spans="9:11">
      <c r="I312" s="2"/>
      <c r="K312" s="2"/>
    </row>
    <row r="313" spans="9:11">
      <c r="I313" s="2"/>
      <c r="K313" s="2"/>
    </row>
    <row r="314" spans="9:11">
      <c r="I314" s="2"/>
      <c r="K314" s="2"/>
    </row>
    <row r="315" spans="9:11">
      <c r="I315" s="2"/>
      <c r="K315" s="2"/>
    </row>
    <row r="316" spans="9:11">
      <c r="I316" s="2"/>
      <c r="K316" s="2"/>
    </row>
    <row r="317" spans="9:11">
      <c r="I317" s="2"/>
      <c r="K317" s="2"/>
    </row>
    <row r="318" spans="9:11">
      <c r="I318" s="2"/>
      <c r="K318" s="2"/>
    </row>
    <row r="319" spans="9:11">
      <c r="I319" s="2"/>
      <c r="K319" s="2"/>
    </row>
    <row r="320" spans="9:11">
      <c r="I320" s="2"/>
      <c r="K320" s="2"/>
    </row>
    <row r="321" spans="9:11">
      <c r="I321" s="2"/>
      <c r="K321" s="2"/>
    </row>
    <row r="322" spans="9:11">
      <c r="I322" s="2"/>
      <c r="K322" s="2"/>
    </row>
    <row r="323" spans="9:11">
      <c r="I323" s="2"/>
      <c r="K323" s="2"/>
    </row>
    <row r="324" spans="9:11">
      <c r="I324" s="2"/>
      <c r="K324" s="2"/>
    </row>
    <row r="325" spans="9:11">
      <c r="I325" s="2"/>
      <c r="K325" s="2"/>
    </row>
    <row r="326" spans="9:11">
      <c r="I326" s="2"/>
      <c r="K326" s="2"/>
    </row>
    <row r="327" spans="9:11">
      <c r="I327" s="2"/>
      <c r="K327" s="2"/>
    </row>
    <row r="328" spans="9:11">
      <c r="I328" s="2"/>
      <c r="K328" s="2"/>
    </row>
    <row r="329" spans="9:11">
      <c r="I329" s="2"/>
      <c r="K329" s="2"/>
    </row>
    <row r="330" spans="9:11">
      <c r="I330" s="2"/>
      <c r="K330" s="2"/>
    </row>
    <row r="331" spans="9:11">
      <c r="I331" s="2"/>
      <c r="K331" s="2"/>
    </row>
    <row r="332" spans="9:11">
      <c r="I332" s="2"/>
      <c r="K332" s="2"/>
    </row>
    <row r="333" spans="9:11">
      <c r="I333" s="2"/>
      <c r="K333" s="2"/>
    </row>
    <row r="334" spans="9:11">
      <c r="I334" s="2"/>
      <c r="K334" s="2"/>
    </row>
    <row r="335" spans="9:11">
      <c r="I335" s="2"/>
      <c r="K335" s="2"/>
    </row>
    <row r="336" spans="9:11">
      <c r="I336" s="2"/>
      <c r="K336" s="2"/>
    </row>
    <row r="337" spans="9:11">
      <c r="I337" s="2"/>
      <c r="K337" s="2"/>
    </row>
    <row r="338" spans="9:11">
      <c r="I338" s="2"/>
      <c r="K338" s="2"/>
    </row>
    <row r="339" spans="9:11">
      <c r="I339" s="2"/>
      <c r="K339" s="2"/>
    </row>
    <row r="340" spans="9:11">
      <c r="I340" s="2"/>
      <c r="K340" s="2"/>
    </row>
    <row r="341" spans="9:11">
      <c r="I341" s="2"/>
      <c r="K341" s="2"/>
    </row>
    <row r="342" spans="9:11">
      <c r="I342" s="2"/>
      <c r="K342" s="2"/>
    </row>
    <row r="343" spans="9:11">
      <c r="I343" s="2"/>
      <c r="K343" s="2"/>
    </row>
    <row r="344" spans="9:11">
      <c r="I344" s="2"/>
      <c r="K344" s="2"/>
    </row>
    <row r="345" spans="9:11">
      <c r="I345" s="2"/>
      <c r="K345" s="2"/>
    </row>
    <row r="346" spans="9:11">
      <c r="I346" s="2"/>
      <c r="K346" s="2"/>
    </row>
    <row r="347" spans="9:11">
      <c r="I347" s="2"/>
      <c r="K347" s="2"/>
    </row>
    <row r="348" spans="9:11">
      <c r="I348" s="2"/>
      <c r="K348" s="2"/>
    </row>
    <row r="349" spans="9:11">
      <c r="I349" s="2"/>
      <c r="K349" s="2"/>
    </row>
    <row r="350" spans="9:11">
      <c r="I350" s="2"/>
      <c r="K350" s="2"/>
    </row>
    <row r="351" spans="9:11">
      <c r="I351" s="2"/>
      <c r="K351" s="2"/>
    </row>
    <row r="352" spans="9:11">
      <c r="I352" s="2"/>
      <c r="K352" s="2"/>
    </row>
    <row r="353" spans="9:11">
      <c r="I353" s="2"/>
      <c r="K353" s="2"/>
    </row>
    <row r="354" spans="9:11">
      <c r="I354" s="2"/>
      <c r="K354" s="2"/>
    </row>
    <row r="355" spans="9:11">
      <c r="I355" s="2"/>
      <c r="K355" s="2"/>
    </row>
    <row r="356" spans="9:11">
      <c r="I356" s="2"/>
      <c r="K356" s="2"/>
    </row>
    <row r="357" spans="9:11">
      <c r="I357" s="2"/>
      <c r="K357" s="2"/>
    </row>
    <row r="358" spans="9:11">
      <c r="I358" s="2"/>
      <c r="K358" s="2"/>
    </row>
    <row r="359" spans="9:11">
      <c r="I359" s="2"/>
      <c r="K359" s="2"/>
    </row>
    <row r="360" spans="9:11">
      <c r="I360" s="2"/>
      <c r="K360" s="2"/>
    </row>
    <row r="361" spans="9:11">
      <c r="I361" s="2"/>
      <c r="K361" s="2"/>
    </row>
    <row r="362" spans="9:11">
      <c r="I362" s="2"/>
      <c r="K362" s="2"/>
    </row>
    <row r="363" spans="9:11">
      <c r="I363" s="2"/>
      <c r="K363" s="2"/>
    </row>
    <row r="364" spans="9:11">
      <c r="I364" s="2"/>
      <c r="K364" s="2"/>
    </row>
    <row r="365" spans="9:11">
      <c r="I365" s="2"/>
      <c r="K365" s="2"/>
    </row>
    <row r="366" spans="9:11">
      <c r="I366" s="2"/>
      <c r="K366" s="2"/>
    </row>
    <row r="367" spans="9:11">
      <c r="I367" s="2"/>
      <c r="K367" s="2"/>
    </row>
    <row r="368" spans="9:11">
      <c r="I368" s="2"/>
      <c r="K368" s="2"/>
    </row>
    <row r="369" spans="9:11">
      <c r="I369" s="2"/>
      <c r="K369" s="2"/>
    </row>
    <row r="370" spans="9:11">
      <c r="I370" s="2"/>
      <c r="K370" s="2"/>
    </row>
    <row r="371" spans="9:11">
      <c r="I371" s="2"/>
      <c r="K371" s="2"/>
    </row>
    <row r="372" spans="9:11">
      <c r="I372" s="2"/>
      <c r="K372" s="2"/>
    </row>
    <row r="373" spans="9:11">
      <c r="I373" s="2"/>
      <c r="K373" s="2"/>
    </row>
    <row r="374" spans="9:11">
      <c r="I374" s="2"/>
      <c r="K374" s="2"/>
    </row>
    <row r="375" spans="9:11">
      <c r="I375" s="2"/>
      <c r="K375" s="2"/>
    </row>
    <row r="376" spans="9:11">
      <c r="I376" s="2"/>
      <c r="K376" s="2"/>
    </row>
    <row r="377" spans="9:11">
      <c r="I377" s="2"/>
      <c r="K377" s="2"/>
    </row>
    <row r="378" spans="9:11">
      <c r="I378" s="2"/>
      <c r="K378" s="2"/>
    </row>
    <row r="379" spans="9:11">
      <c r="I379" s="2"/>
      <c r="K379" s="2"/>
    </row>
    <row r="380" spans="9:11">
      <c r="I380" s="2"/>
      <c r="K380" s="2"/>
    </row>
    <row r="381" spans="9:11">
      <c r="I381" s="2"/>
      <c r="K381" s="2"/>
    </row>
    <row r="382" spans="9:11">
      <c r="I382" s="2"/>
      <c r="K382" s="2"/>
    </row>
    <row r="383" spans="9:11">
      <c r="I383" s="2"/>
      <c r="K383" s="2"/>
    </row>
    <row r="384" spans="9:11">
      <c r="I384" s="2"/>
      <c r="K384" s="2"/>
    </row>
    <row r="385" spans="9:11">
      <c r="I385" s="2"/>
      <c r="K385" s="2"/>
    </row>
    <row r="386" spans="9:11">
      <c r="I386" s="2"/>
      <c r="K386" s="2"/>
    </row>
    <row r="387" spans="9:11">
      <c r="I387" s="2"/>
      <c r="K387" s="2"/>
    </row>
    <row r="388" spans="9:11">
      <c r="I388" s="2"/>
      <c r="K388" s="2"/>
    </row>
    <row r="389" spans="9:11">
      <c r="I389" s="2"/>
      <c r="K389" s="2"/>
    </row>
    <row r="390" spans="9:11">
      <c r="I390" s="2"/>
      <c r="K390" s="2"/>
    </row>
    <row r="391" spans="9:11">
      <c r="I391" s="2"/>
      <c r="K391" s="2"/>
    </row>
    <row r="392" spans="9:11">
      <c r="I392" s="2"/>
      <c r="K392" s="2"/>
    </row>
    <row r="393" spans="9:11">
      <c r="I393" s="2"/>
      <c r="K393" s="2"/>
    </row>
    <row r="394" spans="9:11">
      <c r="I394" s="2"/>
      <c r="K394" s="2"/>
    </row>
    <row r="395" spans="9:11">
      <c r="I395" s="2"/>
      <c r="K395" s="2"/>
    </row>
    <row r="396" spans="9:11">
      <c r="I396" s="2"/>
      <c r="K396" s="2"/>
    </row>
    <row r="397" spans="9:11">
      <c r="I397" s="2"/>
      <c r="K397" s="2"/>
    </row>
    <row r="398" spans="9:11">
      <c r="I398" s="2"/>
      <c r="K398" s="2"/>
    </row>
    <row r="399" spans="9:11">
      <c r="I399" s="2"/>
      <c r="K399" s="2"/>
    </row>
    <row r="400" spans="9:11">
      <c r="I400" s="2"/>
      <c r="K400" s="2"/>
    </row>
    <row r="401" spans="9:11">
      <c r="I401" s="2"/>
      <c r="K401" s="2"/>
    </row>
    <row r="402" spans="9:11">
      <c r="I402" s="2"/>
      <c r="K402" s="2"/>
    </row>
    <row r="403" spans="9:11">
      <c r="I403" s="2"/>
      <c r="K403" s="2"/>
    </row>
    <row r="404" spans="9:11">
      <c r="I404" s="2"/>
      <c r="K404" s="2"/>
    </row>
    <row r="405" spans="9:11">
      <c r="I405" s="2"/>
      <c r="K405" s="2"/>
    </row>
    <row r="406" spans="9:11">
      <c r="I406" s="2"/>
      <c r="K406" s="2"/>
    </row>
    <row r="407" spans="9:11">
      <c r="I407" s="2"/>
      <c r="K407" s="2"/>
    </row>
    <row r="408" spans="9:11">
      <c r="I408" s="2"/>
      <c r="K408" s="2"/>
    </row>
    <row r="409" spans="9:11">
      <c r="I409" s="2"/>
      <c r="K409" s="2"/>
    </row>
    <row r="410" spans="9:11">
      <c r="I410" s="2"/>
      <c r="K410" s="2"/>
    </row>
    <row r="411" spans="9:11">
      <c r="I411" s="2"/>
      <c r="K411" s="2"/>
    </row>
    <row r="412" spans="9:11">
      <c r="I412" s="2"/>
      <c r="K412" s="2"/>
    </row>
    <row r="413" spans="9:11">
      <c r="I413" s="2"/>
      <c r="K413" s="2"/>
    </row>
    <row r="414" spans="9:11">
      <c r="I414" s="2"/>
      <c r="K414" s="2"/>
    </row>
    <row r="415" spans="9:11">
      <c r="I415" s="2"/>
      <c r="K415" s="2"/>
    </row>
    <row r="416" spans="9:11">
      <c r="I416" s="2"/>
      <c r="K416" s="2"/>
    </row>
    <row r="417" spans="9:11">
      <c r="I417" s="2"/>
      <c r="K417" s="2"/>
    </row>
    <row r="418" spans="9:11">
      <c r="I418" s="2"/>
      <c r="K418" s="2"/>
    </row>
    <row r="419" spans="9:11">
      <c r="I419" s="2"/>
      <c r="K419" s="2"/>
    </row>
    <row r="420" spans="9:11">
      <c r="I420" s="2"/>
      <c r="K420" s="2"/>
    </row>
    <row r="421" spans="9:11">
      <c r="I421" s="2"/>
      <c r="K421" s="2"/>
    </row>
    <row r="422" spans="9:11">
      <c r="I422" s="2"/>
      <c r="K422" s="2"/>
    </row>
    <row r="423" spans="9:11">
      <c r="I423" s="2"/>
      <c r="K423" s="2"/>
    </row>
    <row r="424" spans="9:11">
      <c r="I424" s="2"/>
      <c r="K424" s="2"/>
    </row>
    <row r="425" spans="9:11">
      <c r="I425" s="2"/>
      <c r="K425" s="2"/>
    </row>
    <row r="426" spans="9:11">
      <c r="I426" s="2"/>
      <c r="K426" s="2"/>
    </row>
    <row r="427" spans="9:11">
      <c r="I427" s="2"/>
      <c r="K427" s="2"/>
    </row>
    <row r="428" spans="9:11">
      <c r="I428" s="2"/>
      <c r="K428" s="2"/>
    </row>
    <row r="429" spans="9:11">
      <c r="I429" s="2"/>
      <c r="K429" s="2"/>
    </row>
    <row r="430" spans="9:11">
      <c r="I430" s="2"/>
      <c r="K430" s="2"/>
    </row>
    <row r="431" spans="9:11">
      <c r="I431" s="2"/>
      <c r="K431" s="2"/>
    </row>
    <row r="432" spans="9:11">
      <c r="I432" s="2"/>
      <c r="K432" s="2"/>
    </row>
    <row r="433" spans="9:11">
      <c r="I433" s="2"/>
      <c r="K433" s="2"/>
    </row>
    <row r="434" spans="9:11">
      <c r="I434" s="2"/>
      <c r="K434" s="2"/>
    </row>
    <row r="435" spans="9:11">
      <c r="I435" s="2"/>
      <c r="K435" s="2"/>
    </row>
    <row r="436" spans="9:11">
      <c r="I436" s="2"/>
      <c r="K436" s="2"/>
    </row>
    <row r="437" spans="9:11">
      <c r="I437" s="2"/>
      <c r="K437" s="2"/>
    </row>
    <row r="438" spans="9:11">
      <c r="I438" s="2"/>
      <c r="K438" s="2"/>
    </row>
    <row r="439" spans="9:11">
      <c r="I439" s="2"/>
      <c r="K439" s="2"/>
    </row>
    <row r="440" spans="9:11">
      <c r="I440" s="2"/>
      <c r="K440" s="2"/>
    </row>
    <row r="441" spans="9:11">
      <c r="I441" s="2"/>
      <c r="K441" s="2"/>
    </row>
    <row r="442" spans="9:11">
      <c r="I442" s="2"/>
      <c r="K442" s="2"/>
    </row>
    <row r="443" spans="9:11">
      <c r="I443" s="2"/>
      <c r="K443" s="2"/>
    </row>
    <row r="444" spans="9:11">
      <c r="I444" s="2"/>
      <c r="K444" s="2"/>
    </row>
    <row r="445" spans="9:11">
      <c r="I445" s="2"/>
      <c r="K445" s="2"/>
    </row>
    <row r="446" spans="9:11">
      <c r="I446" s="2"/>
      <c r="K446" s="2"/>
    </row>
    <row r="447" spans="9:11">
      <c r="I447" s="2"/>
      <c r="K447" s="2"/>
    </row>
    <row r="448" spans="9:11">
      <c r="I448" s="2"/>
      <c r="K448" s="2"/>
    </row>
    <row r="449" spans="9:11">
      <c r="I449" s="2"/>
      <c r="K449" s="2"/>
    </row>
    <row r="450" spans="9:11">
      <c r="I450" s="2"/>
      <c r="K450" s="2"/>
    </row>
    <row r="451" spans="9:11">
      <c r="I451" s="2"/>
      <c r="K451" s="2"/>
    </row>
    <row r="452" spans="9:11">
      <c r="I452" s="2"/>
      <c r="K452" s="2"/>
    </row>
    <row r="453" spans="9:11">
      <c r="I453" s="2"/>
      <c r="K453" s="2"/>
    </row>
    <row r="454" spans="9:11">
      <c r="I454" s="2"/>
      <c r="K454" s="2"/>
    </row>
    <row r="455" spans="9:11">
      <c r="I455" s="2"/>
      <c r="K455" s="2"/>
    </row>
    <row r="456" spans="9:11">
      <c r="I456" s="2"/>
      <c r="K456" s="2"/>
    </row>
    <row r="457" spans="9:11">
      <c r="I457" s="2"/>
      <c r="K457" s="2"/>
    </row>
    <row r="458" spans="9:11">
      <c r="I458" s="2"/>
      <c r="K458" s="2"/>
    </row>
    <row r="459" spans="9:11">
      <c r="I459" s="2"/>
      <c r="K459" s="2"/>
    </row>
    <row r="460" spans="9:11">
      <c r="I460" s="2"/>
      <c r="K460" s="2"/>
    </row>
    <row r="461" spans="9:11">
      <c r="I461" s="2"/>
      <c r="K461" s="2"/>
    </row>
    <row r="462" spans="9:11">
      <c r="I462" s="2"/>
      <c r="K462" s="2"/>
    </row>
    <row r="463" spans="9:11">
      <c r="I463" s="2"/>
      <c r="K463" s="2"/>
    </row>
    <row r="464" spans="9:11">
      <c r="I464" s="2"/>
      <c r="K464" s="2"/>
    </row>
    <row r="465" spans="9:11">
      <c r="I465" s="2"/>
      <c r="K465" s="2"/>
    </row>
    <row r="466" spans="9:11">
      <c r="I466" s="2"/>
      <c r="K466" s="2"/>
    </row>
    <row r="467" spans="9:11">
      <c r="I467" s="2"/>
      <c r="K467" s="2"/>
    </row>
    <row r="468" spans="9:11">
      <c r="I468" s="2"/>
      <c r="K468" s="2"/>
    </row>
    <row r="469" spans="9:11">
      <c r="I469" s="2"/>
      <c r="K469" s="2"/>
    </row>
    <row r="470" spans="9:11">
      <c r="I470" s="2"/>
      <c r="K470" s="2"/>
    </row>
    <row r="471" spans="9:11">
      <c r="I471" s="2"/>
      <c r="K471" s="2"/>
    </row>
    <row r="472" spans="9:11">
      <c r="I472" s="2"/>
      <c r="K472" s="2"/>
    </row>
    <row r="473" spans="9:11">
      <c r="I473" s="2"/>
      <c r="K473" s="2"/>
    </row>
    <row r="474" spans="9:11">
      <c r="I474" s="2"/>
      <c r="K474" s="2"/>
    </row>
    <row r="475" spans="9:11">
      <c r="I475" s="2"/>
      <c r="K475" s="2"/>
    </row>
    <row r="476" spans="9:11">
      <c r="I476" s="2"/>
      <c r="K476" s="2"/>
    </row>
    <row r="477" spans="9:11">
      <c r="I477" s="2"/>
      <c r="K477" s="2"/>
    </row>
    <row r="478" spans="9:11">
      <c r="I478" s="2"/>
      <c r="K478" s="2"/>
    </row>
    <row r="479" spans="9:11">
      <c r="I479" s="2"/>
      <c r="K479" s="2"/>
    </row>
    <row r="480" spans="9:11">
      <c r="I480" s="2"/>
      <c r="K480" s="2"/>
    </row>
    <row r="481" spans="9:11">
      <c r="I481" s="2"/>
      <c r="K481" s="2"/>
    </row>
    <row r="482" spans="9:11">
      <c r="I482" s="2"/>
      <c r="K482" s="2"/>
    </row>
    <row r="483" spans="9:11">
      <c r="I483" s="2"/>
      <c r="K483" s="2"/>
    </row>
    <row r="484" spans="9:11">
      <c r="I484" s="2"/>
      <c r="K484" s="2"/>
    </row>
    <row r="485" spans="9:11">
      <c r="I485" s="2"/>
      <c r="K485" s="2"/>
    </row>
    <row r="486" spans="9:11">
      <c r="I486" s="2"/>
      <c r="K486" s="2"/>
    </row>
    <row r="487" spans="9:11">
      <c r="I487" s="2"/>
      <c r="K487" s="2"/>
    </row>
    <row r="488" spans="9:11">
      <c r="I488" s="2"/>
      <c r="K488" s="2"/>
    </row>
    <row r="489" spans="9:11">
      <c r="I489" s="2"/>
      <c r="K489" s="2"/>
    </row>
    <row r="490" spans="9:11">
      <c r="I490" s="2"/>
      <c r="K490" s="2"/>
    </row>
    <row r="491" spans="9:11">
      <c r="I491" s="2"/>
      <c r="K491" s="2"/>
    </row>
    <row r="492" spans="9:11">
      <c r="I492" s="2"/>
      <c r="K492" s="2"/>
    </row>
    <row r="493" spans="9:11">
      <c r="I493" s="2"/>
      <c r="K493" s="2"/>
    </row>
    <row r="494" spans="9:11">
      <c r="I494" s="2"/>
      <c r="K494" s="2"/>
    </row>
    <row r="495" spans="9:11">
      <c r="I495" s="2"/>
      <c r="K495" s="2"/>
    </row>
    <row r="496" spans="9:11">
      <c r="I496" s="2"/>
      <c r="K496" s="2"/>
    </row>
  </sheetData>
  <mergeCells count="4">
    <mergeCell ref="B4:J4"/>
    <mergeCell ref="A61:J61"/>
    <mergeCell ref="A62:J62"/>
    <mergeCell ref="A63:J63"/>
  </mergeCells>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82945" r:id="rId3" name="Button 1">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82946"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82947"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82948"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enableFormatConditionsCalculation="0"/>
  <dimension ref="A1:N65"/>
  <sheetViews>
    <sheetView workbookViewId="0"/>
  </sheetViews>
  <sheetFormatPr baseColWidth="10" defaultColWidth="8.83203125" defaultRowHeight="12" x14ac:dyDescent="0"/>
  <cols>
    <col min="1" max="1" width="12.33203125" customWidth="1"/>
    <col min="2" max="2" width="11.1640625" customWidth="1"/>
    <col min="3" max="3" width="11" customWidth="1"/>
    <col min="4" max="4" width="12.5" customWidth="1"/>
    <col min="7" max="7" width="9.6640625" customWidth="1"/>
    <col min="8" max="8" width="10.83203125" customWidth="1"/>
    <col min="9" max="9" width="10.5" customWidth="1"/>
    <col min="10" max="10" width="9.6640625" customWidth="1"/>
    <col min="11" max="11" width="11.5" customWidth="1"/>
  </cols>
  <sheetData>
    <row r="1" spans="1:14">
      <c r="A1" s="21"/>
      <c r="B1" s="21"/>
      <c r="C1" s="21" t="s">
        <v>846</v>
      </c>
      <c r="D1" s="21"/>
      <c r="E1" s="21"/>
      <c r="F1" s="21"/>
      <c r="G1" s="21"/>
      <c r="H1" s="21"/>
      <c r="I1" s="21"/>
      <c r="J1" s="21"/>
      <c r="K1" s="21"/>
      <c r="L1" s="21"/>
      <c r="M1" s="21"/>
    </row>
    <row r="2" spans="1:14" ht="21" customHeight="1">
      <c r="A2" s="21"/>
      <c r="B2" s="21"/>
      <c r="C2" s="21"/>
      <c r="D2" s="374"/>
      <c r="E2" s="374"/>
      <c r="F2" s="374"/>
      <c r="G2" s="374"/>
      <c r="H2" s="374"/>
      <c r="I2" s="374"/>
      <c r="J2" s="374"/>
      <c r="K2" s="374"/>
      <c r="L2" s="374"/>
      <c r="M2" s="374"/>
      <c r="N2" s="372"/>
    </row>
    <row r="3" spans="1:14">
      <c r="A3" s="19" t="s">
        <v>1045</v>
      </c>
      <c r="B3" s="20" t="s">
        <v>1234</v>
      </c>
      <c r="C3" s="21"/>
      <c r="D3" s="21"/>
      <c r="E3" s="21"/>
      <c r="F3" s="21"/>
      <c r="G3" s="21"/>
      <c r="H3" s="21"/>
      <c r="I3" s="21"/>
      <c r="J3" s="21"/>
      <c r="K3" s="21"/>
      <c r="L3" s="21"/>
      <c r="M3" s="21"/>
    </row>
    <row r="4" spans="1:14" ht="15">
      <c r="A4" s="19" t="s">
        <v>779</v>
      </c>
      <c r="B4" s="124" t="s">
        <v>994</v>
      </c>
      <c r="C4" s="21"/>
      <c r="D4" s="21"/>
      <c r="E4" s="21"/>
      <c r="F4" s="21"/>
      <c r="G4" s="21"/>
      <c r="H4" s="21"/>
      <c r="I4" s="21"/>
      <c r="J4" s="21"/>
      <c r="K4" s="21"/>
      <c r="L4" s="21"/>
      <c r="M4" s="21"/>
    </row>
    <row r="5" spans="1:14" ht="19.5" customHeight="1">
      <c r="A5" s="19"/>
      <c r="B5" s="21"/>
      <c r="C5" s="189" t="s">
        <v>995</v>
      </c>
      <c r="D5" s="21"/>
      <c r="E5" s="21"/>
      <c r="F5" s="21"/>
      <c r="G5" s="21"/>
      <c r="H5" s="21"/>
      <c r="I5" s="21"/>
      <c r="J5" s="21"/>
      <c r="K5" s="21"/>
      <c r="L5" s="21"/>
      <c r="M5" s="21"/>
    </row>
    <row r="6" spans="1:14" ht="15">
      <c r="A6" s="19"/>
      <c r="B6" s="124" t="s">
        <v>1205</v>
      </c>
      <c r="C6" s="21"/>
      <c r="D6" s="21"/>
      <c r="E6" s="21"/>
      <c r="F6" s="21"/>
      <c r="G6" s="21"/>
      <c r="H6" s="21"/>
      <c r="I6" s="21"/>
      <c r="J6" s="21"/>
      <c r="K6" s="21"/>
      <c r="L6" s="21"/>
      <c r="M6" s="21"/>
    </row>
    <row r="7" spans="1:14" ht="15">
      <c r="A7" s="19"/>
      <c r="B7" s="127" t="s">
        <v>996</v>
      </c>
      <c r="C7" s="21"/>
      <c r="D7" s="21"/>
      <c r="E7" s="21"/>
      <c r="F7" s="21"/>
      <c r="G7" s="21"/>
      <c r="H7" s="21"/>
      <c r="I7" s="21"/>
      <c r="J7" s="21"/>
      <c r="K7" s="21"/>
      <c r="L7" s="21"/>
      <c r="M7" s="21"/>
    </row>
    <row r="8" spans="1:14" ht="15">
      <c r="A8" s="19"/>
      <c r="B8" s="127" t="s">
        <v>809</v>
      </c>
      <c r="C8" s="21"/>
      <c r="D8" s="21"/>
      <c r="E8" s="21"/>
      <c r="F8" s="21"/>
      <c r="G8" s="21"/>
      <c r="H8" s="21"/>
      <c r="I8" s="21"/>
      <c r="J8" s="21"/>
      <c r="K8" s="21"/>
      <c r="L8" s="21"/>
      <c r="M8" s="21"/>
    </row>
    <row r="9" spans="1:14" ht="48">
      <c r="A9" s="22" t="s">
        <v>1090</v>
      </c>
      <c r="B9" s="31" t="s">
        <v>1091</v>
      </c>
      <c r="C9" s="31" t="s">
        <v>1092</v>
      </c>
      <c r="D9" s="31" t="s">
        <v>1202</v>
      </c>
      <c r="E9" s="31" t="s">
        <v>991</v>
      </c>
      <c r="F9" s="31" t="s">
        <v>992</v>
      </c>
      <c r="G9" s="22" t="s">
        <v>1002</v>
      </c>
      <c r="H9" s="31" t="s">
        <v>1003</v>
      </c>
      <c r="I9" s="31" t="s">
        <v>1004</v>
      </c>
      <c r="J9" s="31" t="s">
        <v>1005</v>
      </c>
      <c r="K9" s="31" t="s">
        <v>1006</v>
      </c>
      <c r="L9" s="22"/>
      <c r="M9" s="22"/>
    </row>
    <row r="10" spans="1:14">
      <c r="A10" s="26">
        <v>35545</v>
      </c>
      <c r="B10" s="255">
        <v>789</v>
      </c>
      <c r="C10" s="255">
        <v>1662</v>
      </c>
      <c r="D10" s="255">
        <f>B10-C10</f>
        <v>-873</v>
      </c>
      <c r="E10" s="255">
        <f>D10</f>
        <v>-873</v>
      </c>
      <c r="F10" s="255">
        <f>D10</f>
        <v>-873</v>
      </c>
      <c r="G10" s="88">
        <f t="shared" ref="G10:G25" si="0">E10-F10</f>
        <v>0</v>
      </c>
      <c r="H10" s="281">
        <f>10*E10</f>
        <v>-8730</v>
      </c>
      <c r="I10" s="281">
        <f>20*F10</f>
        <v>-17460</v>
      </c>
      <c r="J10" s="281">
        <f>H10+I10</f>
        <v>-26190</v>
      </c>
      <c r="K10" s="281"/>
      <c r="L10" s="28"/>
      <c r="M10" s="54"/>
    </row>
    <row r="11" spans="1:14">
      <c r="A11" s="26">
        <v>35548</v>
      </c>
      <c r="B11" s="255">
        <v>1348</v>
      </c>
      <c r="C11" s="255">
        <v>1085</v>
      </c>
      <c r="D11" s="255">
        <f t="shared" ref="D11:D26" si="1">B11-C11</f>
        <v>263</v>
      </c>
      <c r="E11" s="255">
        <f t="shared" ref="E11:E26" si="2">(D11*0.1) + (E10*0.9)</f>
        <v>-759.40000000000009</v>
      </c>
      <c r="F11" s="255">
        <f t="shared" ref="F11:F26" si="3">(D11*0.05) + (F10*0.95)</f>
        <v>-816.19999999999993</v>
      </c>
      <c r="G11" s="88">
        <f t="shared" si="0"/>
        <v>56.799999999999841</v>
      </c>
      <c r="H11" s="281">
        <f t="shared" ref="H11:H59" si="4">10*E11</f>
        <v>-7594.0000000000009</v>
      </c>
      <c r="I11" s="281">
        <f t="shared" ref="I11:I59" si="5">20*F11</f>
        <v>-16323.999999999998</v>
      </c>
      <c r="J11" s="281">
        <f t="shared" ref="J11:J59" si="6">H11+I11</f>
        <v>-23918</v>
      </c>
      <c r="K11" s="281"/>
      <c r="L11" s="28"/>
      <c r="M11" s="54"/>
    </row>
    <row r="12" spans="1:14">
      <c r="A12" s="27">
        <v>35549</v>
      </c>
      <c r="B12" s="257">
        <v>2085</v>
      </c>
      <c r="C12" s="257">
        <v>531</v>
      </c>
      <c r="D12" s="257">
        <f t="shared" si="1"/>
        <v>1554</v>
      </c>
      <c r="E12" s="257">
        <f t="shared" si="2"/>
        <v>-528.06000000000017</v>
      </c>
      <c r="F12" s="257">
        <f t="shared" si="3"/>
        <v>-697.68999999999983</v>
      </c>
      <c r="G12" s="89">
        <f t="shared" si="0"/>
        <v>169.62999999999965</v>
      </c>
      <c r="H12" s="282">
        <f t="shared" si="4"/>
        <v>-5280.6000000000022</v>
      </c>
      <c r="I12" s="282">
        <f t="shared" si="5"/>
        <v>-13953.799999999996</v>
      </c>
      <c r="J12" s="282">
        <f t="shared" si="6"/>
        <v>-19234.399999999998</v>
      </c>
      <c r="K12" s="282"/>
      <c r="L12" s="29"/>
      <c r="M12" s="57"/>
    </row>
    <row r="13" spans="1:14">
      <c r="A13" s="27">
        <v>35550</v>
      </c>
      <c r="B13" s="257">
        <v>1599</v>
      </c>
      <c r="C13" s="257">
        <v>941</v>
      </c>
      <c r="D13" s="257">
        <f t="shared" si="1"/>
        <v>658</v>
      </c>
      <c r="E13" s="257">
        <f t="shared" si="2"/>
        <v>-409.45400000000018</v>
      </c>
      <c r="F13" s="257">
        <f t="shared" si="3"/>
        <v>-629.90549999999985</v>
      </c>
      <c r="G13" s="89">
        <f t="shared" si="0"/>
        <v>220.45149999999967</v>
      </c>
      <c r="H13" s="282">
        <f t="shared" si="4"/>
        <v>-4094.5400000000018</v>
      </c>
      <c r="I13" s="282">
        <f t="shared" si="5"/>
        <v>-12598.109999999997</v>
      </c>
      <c r="J13" s="282">
        <f t="shared" si="6"/>
        <v>-16692.649999999998</v>
      </c>
      <c r="K13" s="282"/>
      <c r="L13" s="29"/>
      <c r="M13" s="57"/>
    </row>
    <row r="14" spans="1:14">
      <c r="A14" s="26">
        <v>35551</v>
      </c>
      <c r="B14" s="255">
        <v>1450</v>
      </c>
      <c r="C14" s="255">
        <v>1021</v>
      </c>
      <c r="D14" s="255">
        <f t="shared" si="1"/>
        <v>429</v>
      </c>
      <c r="E14" s="255">
        <f t="shared" si="2"/>
        <v>-325.60860000000014</v>
      </c>
      <c r="F14" s="255">
        <f t="shared" si="3"/>
        <v>-576.96022499999981</v>
      </c>
      <c r="G14" s="88">
        <f t="shared" si="0"/>
        <v>251.35162499999967</v>
      </c>
      <c r="H14" s="281">
        <f t="shared" si="4"/>
        <v>-3256.0860000000011</v>
      </c>
      <c r="I14" s="281">
        <f t="shared" si="5"/>
        <v>-11539.204499999996</v>
      </c>
      <c r="J14" s="281">
        <f t="shared" si="6"/>
        <v>-14795.290499999997</v>
      </c>
      <c r="K14" s="281"/>
      <c r="L14" s="28"/>
      <c r="M14" s="54"/>
    </row>
    <row r="15" spans="1:14">
      <c r="A15" s="26">
        <v>35552</v>
      </c>
      <c r="B15" s="255">
        <v>2119</v>
      </c>
      <c r="C15" s="255">
        <v>476</v>
      </c>
      <c r="D15" s="255">
        <f t="shared" si="1"/>
        <v>1643</v>
      </c>
      <c r="E15" s="255">
        <f t="shared" si="2"/>
        <v>-128.74774000000014</v>
      </c>
      <c r="F15" s="255">
        <f t="shared" si="3"/>
        <v>-465.96221374999982</v>
      </c>
      <c r="G15" s="88">
        <f t="shared" si="0"/>
        <v>337.21447374999968</v>
      </c>
      <c r="H15" s="281">
        <f t="shared" si="4"/>
        <v>-1287.4774000000014</v>
      </c>
      <c r="I15" s="281">
        <f t="shared" si="5"/>
        <v>-9319.2442749999973</v>
      </c>
      <c r="J15" s="281">
        <f t="shared" si="6"/>
        <v>-10606.721674999999</v>
      </c>
      <c r="K15" s="281"/>
      <c r="L15" s="28"/>
      <c r="M15" s="54"/>
    </row>
    <row r="16" spans="1:14">
      <c r="A16" s="27">
        <v>35555</v>
      </c>
      <c r="B16" s="257">
        <v>1958</v>
      </c>
      <c r="C16" s="257">
        <v>677</v>
      </c>
      <c r="D16" s="257">
        <f t="shared" si="1"/>
        <v>1281</v>
      </c>
      <c r="E16" s="257">
        <f t="shared" si="2"/>
        <v>12.227033999999875</v>
      </c>
      <c r="F16" s="257">
        <f t="shared" si="3"/>
        <v>-378.61410306249979</v>
      </c>
      <c r="G16" s="89">
        <f t="shared" si="0"/>
        <v>390.84113706249968</v>
      </c>
      <c r="H16" s="282">
        <f t="shared" si="4"/>
        <v>122.27033999999875</v>
      </c>
      <c r="I16" s="282">
        <f t="shared" si="5"/>
        <v>-7572.2820612499963</v>
      </c>
      <c r="J16" s="282">
        <f t="shared" si="6"/>
        <v>-7450.0117212499972</v>
      </c>
      <c r="K16" s="282"/>
      <c r="L16" s="29"/>
      <c r="M16" s="57"/>
    </row>
    <row r="17" spans="1:13">
      <c r="A17" s="27">
        <v>35556</v>
      </c>
      <c r="B17" s="257">
        <v>1258</v>
      </c>
      <c r="C17" s="257">
        <v>1270</v>
      </c>
      <c r="D17" s="257">
        <f t="shared" si="1"/>
        <v>-12</v>
      </c>
      <c r="E17" s="257">
        <f t="shared" si="2"/>
        <v>9.8043305999998864</v>
      </c>
      <c r="F17" s="257">
        <f t="shared" si="3"/>
        <v>-360.2833979093748</v>
      </c>
      <c r="G17" s="89">
        <f t="shared" si="0"/>
        <v>370.0877285093747</v>
      </c>
      <c r="H17" s="282">
        <f t="shared" si="4"/>
        <v>98.043305999998864</v>
      </c>
      <c r="I17" s="282">
        <f t="shared" si="5"/>
        <v>-7205.667958187496</v>
      </c>
      <c r="J17" s="282">
        <f t="shared" si="6"/>
        <v>-7107.6246521874973</v>
      </c>
      <c r="K17" s="282"/>
      <c r="L17" s="29"/>
      <c r="M17" s="57"/>
    </row>
    <row r="18" spans="1:13">
      <c r="A18" s="26">
        <v>35557</v>
      </c>
      <c r="B18" s="255">
        <v>842</v>
      </c>
      <c r="C18" s="255">
        <v>1660</v>
      </c>
      <c r="D18" s="255">
        <f t="shared" si="1"/>
        <v>-818</v>
      </c>
      <c r="E18" s="255">
        <f t="shared" si="2"/>
        <v>-72.976102460000106</v>
      </c>
      <c r="F18" s="255">
        <f t="shared" si="3"/>
        <v>-383.16922801390604</v>
      </c>
      <c r="G18" s="88">
        <f t="shared" si="0"/>
        <v>310.19312555390593</v>
      </c>
      <c r="H18" s="281">
        <f t="shared" si="4"/>
        <v>-729.76102460000106</v>
      </c>
      <c r="I18" s="281">
        <f t="shared" si="5"/>
        <v>-7663.3845602781203</v>
      </c>
      <c r="J18" s="281">
        <f t="shared" si="6"/>
        <v>-8393.1455848781206</v>
      </c>
      <c r="K18" s="281"/>
      <c r="L18" s="28"/>
      <c r="M18" s="54"/>
    </row>
    <row r="19" spans="1:13">
      <c r="A19" s="26">
        <v>35558</v>
      </c>
      <c r="B19" s="255">
        <v>1398</v>
      </c>
      <c r="C19" s="255">
        <v>1097</v>
      </c>
      <c r="D19" s="255">
        <f t="shared" si="1"/>
        <v>301</v>
      </c>
      <c r="E19" s="255">
        <f t="shared" si="2"/>
        <v>-35.5784922140001</v>
      </c>
      <c r="F19" s="255">
        <f t="shared" si="3"/>
        <v>-348.96076661321069</v>
      </c>
      <c r="G19" s="88">
        <f t="shared" si="0"/>
        <v>313.38227439921059</v>
      </c>
      <c r="H19" s="281">
        <f t="shared" si="4"/>
        <v>-355.78492214000102</v>
      </c>
      <c r="I19" s="281">
        <f t="shared" si="5"/>
        <v>-6979.2153322642134</v>
      </c>
      <c r="J19" s="281">
        <f t="shared" si="6"/>
        <v>-7335.0002544042145</v>
      </c>
      <c r="K19" s="281"/>
      <c r="L19" s="28"/>
      <c r="M19" s="54"/>
    </row>
    <row r="20" spans="1:13">
      <c r="A20" s="27">
        <v>35559</v>
      </c>
      <c r="B20" s="257">
        <v>1526</v>
      </c>
      <c r="C20" s="257">
        <v>932</v>
      </c>
      <c r="D20" s="257">
        <f t="shared" si="1"/>
        <v>594</v>
      </c>
      <c r="E20" s="257">
        <f t="shared" si="2"/>
        <v>27.379357007399918</v>
      </c>
      <c r="F20" s="257">
        <f t="shared" si="3"/>
        <v>-301.81272828255015</v>
      </c>
      <c r="G20" s="89">
        <f t="shared" si="0"/>
        <v>329.19208528995006</v>
      </c>
      <c r="H20" s="282">
        <f t="shared" si="4"/>
        <v>273.79357007399915</v>
      </c>
      <c r="I20" s="282">
        <f t="shared" si="5"/>
        <v>-6036.2545656510028</v>
      </c>
      <c r="J20" s="282">
        <f t="shared" si="6"/>
        <v>-5762.4609955770038</v>
      </c>
      <c r="K20" s="282"/>
      <c r="L20" s="29"/>
      <c r="M20" s="57"/>
    </row>
    <row r="21" spans="1:13">
      <c r="A21" s="27">
        <v>35562</v>
      </c>
      <c r="B21" s="257">
        <v>1766</v>
      </c>
      <c r="C21" s="257">
        <v>761</v>
      </c>
      <c r="D21" s="257">
        <f t="shared" si="1"/>
        <v>1005</v>
      </c>
      <c r="E21" s="257">
        <f t="shared" si="2"/>
        <v>125.14142130665992</v>
      </c>
      <c r="F21" s="257">
        <f t="shared" si="3"/>
        <v>-236.47209186842264</v>
      </c>
      <c r="G21" s="89">
        <f t="shared" si="0"/>
        <v>361.61351317508257</v>
      </c>
      <c r="H21" s="282">
        <f t="shared" si="4"/>
        <v>1251.4142130665991</v>
      </c>
      <c r="I21" s="282">
        <f t="shared" si="5"/>
        <v>-4729.441837368453</v>
      </c>
      <c r="J21" s="282">
        <f t="shared" si="6"/>
        <v>-3478.0276243018538</v>
      </c>
      <c r="K21" s="282"/>
      <c r="L21" s="29"/>
      <c r="M21" s="57"/>
    </row>
    <row r="22" spans="1:13">
      <c r="A22" s="26">
        <v>35563</v>
      </c>
      <c r="B22" s="255">
        <v>1133</v>
      </c>
      <c r="C22" s="255">
        <v>1322</v>
      </c>
      <c r="D22" s="255">
        <f t="shared" si="1"/>
        <v>-189</v>
      </c>
      <c r="E22" s="255">
        <f t="shared" si="2"/>
        <v>93.727279175993928</v>
      </c>
      <c r="F22" s="255">
        <f t="shared" si="3"/>
        <v>-234.09848727500147</v>
      </c>
      <c r="G22" s="88">
        <f t="shared" si="0"/>
        <v>327.82576645099539</v>
      </c>
      <c r="H22" s="281">
        <f t="shared" si="4"/>
        <v>937.27279175993931</v>
      </c>
      <c r="I22" s="281">
        <f t="shared" si="5"/>
        <v>-4681.9697455000296</v>
      </c>
      <c r="J22" s="281">
        <f t="shared" si="6"/>
        <v>-3744.6969537400901</v>
      </c>
      <c r="K22" s="281"/>
      <c r="L22" s="28"/>
      <c r="M22" s="54"/>
    </row>
    <row r="23" spans="1:13">
      <c r="A23" s="26">
        <v>35564</v>
      </c>
      <c r="B23" s="255">
        <v>1472</v>
      </c>
      <c r="C23" s="255">
        <v>992</v>
      </c>
      <c r="D23" s="255">
        <f t="shared" si="1"/>
        <v>480</v>
      </c>
      <c r="E23" s="255">
        <f t="shared" si="2"/>
        <v>132.35455125839454</v>
      </c>
      <c r="F23" s="255">
        <f t="shared" si="3"/>
        <v>-198.39356291125139</v>
      </c>
      <c r="G23" s="88">
        <f t="shared" si="0"/>
        <v>330.74811416964593</v>
      </c>
      <c r="H23" s="281">
        <f t="shared" si="4"/>
        <v>1323.5455125839453</v>
      </c>
      <c r="I23" s="281">
        <f t="shared" si="5"/>
        <v>-3967.8712582250278</v>
      </c>
      <c r="J23" s="281">
        <f t="shared" si="6"/>
        <v>-2644.3257456410824</v>
      </c>
      <c r="K23" s="281"/>
      <c r="L23" s="28"/>
      <c r="M23" s="54"/>
    </row>
    <row r="24" spans="1:13">
      <c r="A24" s="27">
        <v>35565</v>
      </c>
      <c r="B24" s="257">
        <v>1282</v>
      </c>
      <c r="C24" s="257">
        <v>1164</v>
      </c>
      <c r="D24" s="257">
        <f t="shared" si="1"/>
        <v>118</v>
      </c>
      <c r="E24" s="257">
        <f t="shared" si="2"/>
        <v>130.9190961325551</v>
      </c>
      <c r="F24" s="257">
        <f t="shared" si="3"/>
        <v>-182.5738847656888</v>
      </c>
      <c r="G24" s="89">
        <f t="shared" si="0"/>
        <v>313.4929808982439</v>
      </c>
      <c r="H24" s="282">
        <f t="shared" si="4"/>
        <v>1309.1909613255509</v>
      </c>
      <c r="I24" s="282">
        <f t="shared" si="5"/>
        <v>-3651.4776953137762</v>
      </c>
      <c r="J24" s="282">
        <f t="shared" si="6"/>
        <v>-2342.286733988225</v>
      </c>
      <c r="K24" s="282"/>
      <c r="L24" s="29"/>
      <c r="M24" s="57"/>
    </row>
    <row r="25" spans="1:13">
      <c r="A25" s="27">
        <v>35566</v>
      </c>
      <c r="B25" s="257">
        <v>973</v>
      </c>
      <c r="C25" s="257">
        <v>1431</v>
      </c>
      <c r="D25" s="257">
        <f t="shared" si="1"/>
        <v>-458</v>
      </c>
      <c r="E25" s="257">
        <f t="shared" si="2"/>
        <v>72.02718651929959</v>
      </c>
      <c r="F25" s="257">
        <f t="shared" si="3"/>
        <v>-196.34519052740436</v>
      </c>
      <c r="G25" s="89">
        <f t="shared" si="0"/>
        <v>268.37237704670395</v>
      </c>
      <c r="H25" s="282">
        <f t="shared" si="4"/>
        <v>720.27186519299585</v>
      </c>
      <c r="I25" s="282">
        <f t="shared" si="5"/>
        <v>-3926.9038105480872</v>
      </c>
      <c r="J25" s="282">
        <f t="shared" si="6"/>
        <v>-3206.6319453550914</v>
      </c>
      <c r="K25" s="282"/>
      <c r="L25" s="29"/>
      <c r="M25" s="57"/>
    </row>
    <row r="26" spans="1:13">
      <c r="A26" s="26">
        <v>35569</v>
      </c>
      <c r="B26" s="255">
        <v>1390</v>
      </c>
      <c r="C26" s="255">
        <v>1056</v>
      </c>
      <c r="D26" s="255">
        <f t="shared" si="1"/>
        <v>334</v>
      </c>
      <c r="E26" s="255">
        <f t="shared" si="2"/>
        <v>98.22446786736964</v>
      </c>
      <c r="F26" s="255">
        <f t="shared" si="3"/>
        <v>-169.82793100103413</v>
      </c>
      <c r="G26" s="88">
        <f>E26-F26</f>
        <v>268.05239886840377</v>
      </c>
      <c r="H26" s="281">
        <f t="shared" si="4"/>
        <v>982.2446786736964</v>
      </c>
      <c r="I26" s="281">
        <f t="shared" si="5"/>
        <v>-3396.5586200206826</v>
      </c>
      <c r="J26" s="281">
        <f t="shared" si="6"/>
        <v>-2414.3139413469862</v>
      </c>
      <c r="K26" s="281"/>
      <c r="L26" s="28"/>
      <c r="M26" s="54"/>
    </row>
    <row r="27" spans="1:13">
      <c r="A27" s="26">
        <v>35570</v>
      </c>
      <c r="B27" s="255">
        <v>1411</v>
      </c>
      <c r="C27" s="255">
        <v>1040</v>
      </c>
      <c r="D27" s="255">
        <f t="shared" ref="D27:D42" si="7">B27-C27</f>
        <v>371</v>
      </c>
      <c r="E27" s="255">
        <f t="shared" ref="E27:E42" si="8">(D27*0.1) + (E26*0.9)</f>
        <v>125.50202108063269</v>
      </c>
      <c r="F27" s="255">
        <f t="shared" ref="F27:F42" si="9">(D27*0.05) + (F26*0.95)</f>
        <v>-142.7865344509824</v>
      </c>
      <c r="G27" s="88">
        <f>E27-F27</f>
        <v>268.28855553161509</v>
      </c>
      <c r="H27" s="281">
        <f t="shared" si="4"/>
        <v>1255.0202108063268</v>
      </c>
      <c r="I27" s="281">
        <f t="shared" si="5"/>
        <v>-2855.7306890196478</v>
      </c>
      <c r="J27" s="281">
        <f t="shared" si="6"/>
        <v>-1600.710478213321</v>
      </c>
      <c r="K27" s="281"/>
      <c r="L27" s="28"/>
      <c r="M27" s="54"/>
    </row>
    <row r="28" spans="1:13">
      <c r="A28" s="27">
        <v>35571</v>
      </c>
      <c r="B28" s="257">
        <v>1421</v>
      </c>
      <c r="C28" s="257">
        <v>1107</v>
      </c>
      <c r="D28" s="257">
        <f t="shared" si="7"/>
        <v>314</v>
      </c>
      <c r="E28" s="257">
        <f t="shared" si="8"/>
        <v>144.35181897256942</v>
      </c>
      <c r="F28" s="257">
        <f t="shared" si="9"/>
        <v>-119.94720772843327</v>
      </c>
      <c r="G28" s="89">
        <f t="shared" ref="G28:G43" si="10">E28-F28</f>
        <v>264.29902670100267</v>
      </c>
      <c r="H28" s="282">
        <f t="shared" si="4"/>
        <v>1443.5181897256941</v>
      </c>
      <c r="I28" s="282">
        <f t="shared" si="5"/>
        <v>-2398.9441545686655</v>
      </c>
      <c r="J28" s="282">
        <f t="shared" si="6"/>
        <v>-955.42596484297133</v>
      </c>
      <c r="K28" s="282"/>
      <c r="L28" s="29"/>
      <c r="M28" s="57"/>
    </row>
    <row r="29" spans="1:13">
      <c r="A29" s="27">
        <v>35572</v>
      </c>
      <c r="B29" s="257">
        <v>1270</v>
      </c>
      <c r="C29" s="257">
        <v>1176</v>
      </c>
      <c r="D29" s="257">
        <f t="shared" si="7"/>
        <v>94</v>
      </c>
      <c r="E29" s="257">
        <f t="shared" si="8"/>
        <v>139.31663707531249</v>
      </c>
      <c r="F29" s="257">
        <f t="shared" si="9"/>
        <v>-109.24984734201159</v>
      </c>
      <c r="G29" s="89">
        <f t="shared" si="10"/>
        <v>248.56648441732409</v>
      </c>
      <c r="H29" s="282">
        <f t="shared" si="4"/>
        <v>1393.1663707531247</v>
      </c>
      <c r="I29" s="282">
        <f t="shared" si="5"/>
        <v>-2184.9969468402319</v>
      </c>
      <c r="J29" s="282">
        <f t="shared" si="6"/>
        <v>-791.83057608710715</v>
      </c>
      <c r="K29" s="282"/>
      <c r="L29" s="29"/>
      <c r="M29" s="57"/>
    </row>
    <row r="30" spans="1:13">
      <c r="A30" s="26">
        <v>35573</v>
      </c>
      <c r="B30" s="255">
        <v>1875</v>
      </c>
      <c r="C30" s="255">
        <v>618</v>
      </c>
      <c r="D30" s="255">
        <f t="shared" si="7"/>
        <v>1257</v>
      </c>
      <c r="E30" s="255">
        <f t="shared" si="8"/>
        <v>251.08497336778123</v>
      </c>
      <c r="F30" s="255">
        <f t="shared" si="9"/>
        <v>-40.93735497491101</v>
      </c>
      <c r="G30" s="88">
        <f t="shared" si="10"/>
        <v>292.02232834269222</v>
      </c>
      <c r="H30" s="281">
        <f t="shared" si="4"/>
        <v>2510.8497336778123</v>
      </c>
      <c r="I30" s="281">
        <f t="shared" si="5"/>
        <v>-818.74709949822022</v>
      </c>
      <c r="J30" s="281">
        <f t="shared" si="6"/>
        <v>1692.1026341795921</v>
      </c>
      <c r="K30" s="281"/>
      <c r="L30" s="28"/>
      <c r="M30" s="54"/>
    </row>
    <row r="31" spans="1:13">
      <c r="A31" s="26">
        <v>35577</v>
      </c>
      <c r="B31" s="255">
        <v>1221</v>
      </c>
      <c r="C31" s="255">
        <v>1299</v>
      </c>
      <c r="D31" s="255">
        <f t="shared" si="7"/>
        <v>-78</v>
      </c>
      <c r="E31" s="255">
        <f t="shared" si="8"/>
        <v>218.17647603100309</v>
      </c>
      <c r="F31" s="255">
        <f t="shared" si="9"/>
        <v>-42.790487226165453</v>
      </c>
      <c r="G31" s="88">
        <f t="shared" si="10"/>
        <v>260.96696325716857</v>
      </c>
      <c r="H31" s="281">
        <f t="shared" si="4"/>
        <v>2181.7647603100309</v>
      </c>
      <c r="I31" s="281">
        <f t="shared" si="5"/>
        <v>-855.80974452330906</v>
      </c>
      <c r="J31" s="281">
        <f t="shared" si="6"/>
        <v>1325.9550157867218</v>
      </c>
      <c r="K31" s="281"/>
      <c r="L31" s="28"/>
      <c r="M31" s="54"/>
    </row>
    <row r="32" spans="1:13">
      <c r="A32" s="27">
        <v>35578</v>
      </c>
      <c r="B32" s="257">
        <v>1309</v>
      </c>
      <c r="C32" s="257">
        <v>1147</v>
      </c>
      <c r="D32" s="257">
        <f t="shared" si="7"/>
        <v>162</v>
      </c>
      <c r="E32" s="257">
        <f t="shared" si="8"/>
        <v>212.55882842790277</v>
      </c>
      <c r="F32" s="257">
        <f t="shared" si="9"/>
        <v>-32.550962864857176</v>
      </c>
      <c r="G32" s="89">
        <f t="shared" si="10"/>
        <v>245.10979129275995</v>
      </c>
      <c r="H32" s="282">
        <f t="shared" si="4"/>
        <v>2125.5882842790279</v>
      </c>
      <c r="I32" s="282">
        <f t="shared" si="5"/>
        <v>-651.01925729714355</v>
      </c>
      <c r="J32" s="282">
        <f t="shared" si="6"/>
        <v>1474.5690269818842</v>
      </c>
      <c r="K32" s="282"/>
      <c r="L32" s="29"/>
      <c r="M32" s="57"/>
    </row>
    <row r="33" spans="1:13">
      <c r="A33" s="27">
        <v>35579</v>
      </c>
      <c r="B33" s="257">
        <v>1431</v>
      </c>
      <c r="C33" s="257">
        <v>1043</v>
      </c>
      <c r="D33" s="257">
        <f t="shared" si="7"/>
        <v>388</v>
      </c>
      <c r="E33" s="257">
        <f t="shared" si="8"/>
        <v>230.10294558511251</v>
      </c>
      <c r="F33" s="257">
        <f t="shared" si="9"/>
        <v>-11.523414721614312</v>
      </c>
      <c r="G33" s="89">
        <f t="shared" si="10"/>
        <v>241.62636030672681</v>
      </c>
      <c r="H33" s="282">
        <f t="shared" si="4"/>
        <v>2301.029455851125</v>
      </c>
      <c r="I33" s="282">
        <f t="shared" si="5"/>
        <v>-230.46829443228626</v>
      </c>
      <c r="J33" s="282">
        <f t="shared" si="6"/>
        <v>2070.5611614188388</v>
      </c>
      <c r="K33" s="282"/>
      <c r="L33" s="29"/>
      <c r="M33" s="57"/>
    </row>
    <row r="34" spans="1:13">
      <c r="A34" s="26">
        <v>35580</v>
      </c>
      <c r="B34" s="255">
        <v>1584</v>
      </c>
      <c r="C34" s="255">
        <v>901</v>
      </c>
      <c r="D34" s="255">
        <f t="shared" si="7"/>
        <v>683</v>
      </c>
      <c r="E34" s="255">
        <f t="shared" si="8"/>
        <v>275.39265102660124</v>
      </c>
      <c r="F34" s="255">
        <f t="shared" si="9"/>
        <v>23.202756014466402</v>
      </c>
      <c r="G34" s="88">
        <f t="shared" si="10"/>
        <v>252.18989501213485</v>
      </c>
      <c r="H34" s="281">
        <f t="shared" si="4"/>
        <v>2753.9265102660124</v>
      </c>
      <c r="I34" s="281">
        <f t="shared" si="5"/>
        <v>464.05512028932804</v>
      </c>
      <c r="J34" s="281">
        <f t="shared" si="6"/>
        <v>3217.9816305553404</v>
      </c>
      <c r="K34" s="281"/>
      <c r="L34" s="28"/>
      <c r="M34" s="54"/>
    </row>
    <row r="35" spans="1:13">
      <c r="A35" s="26">
        <v>35583</v>
      </c>
      <c r="B35" s="255">
        <v>1530</v>
      </c>
      <c r="C35" s="255">
        <v>963</v>
      </c>
      <c r="D35" s="255">
        <f t="shared" si="7"/>
        <v>567</v>
      </c>
      <c r="E35" s="255">
        <f t="shared" si="8"/>
        <v>304.55338592394111</v>
      </c>
      <c r="F35" s="255">
        <f t="shared" si="9"/>
        <v>50.392618213743084</v>
      </c>
      <c r="G35" s="88">
        <f t="shared" si="10"/>
        <v>254.16076771019803</v>
      </c>
      <c r="H35" s="281">
        <f t="shared" si="4"/>
        <v>3045.533859239411</v>
      </c>
      <c r="I35" s="281">
        <f t="shared" si="5"/>
        <v>1007.8523642748617</v>
      </c>
      <c r="J35" s="281">
        <f t="shared" si="6"/>
        <v>4053.3862235142724</v>
      </c>
      <c r="K35" s="281"/>
      <c r="L35" s="28"/>
      <c r="M35" s="54"/>
    </row>
    <row r="36" spans="1:13">
      <c r="A36" s="27">
        <v>35584</v>
      </c>
      <c r="B36" s="257">
        <v>1472</v>
      </c>
      <c r="C36" s="257">
        <v>1022</v>
      </c>
      <c r="D36" s="257">
        <f t="shared" si="7"/>
        <v>450</v>
      </c>
      <c r="E36" s="257">
        <f t="shared" si="8"/>
        <v>319.09804733154698</v>
      </c>
      <c r="F36" s="257">
        <f t="shared" si="9"/>
        <v>70.372987303055936</v>
      </c>
      <c r="G36" s="89">
        <f t="shared" si="10"/>
        <v>248.72506002849104</v>
      </c>
      <c r="H36" s="282">
        <f t="shared" si="4"/>
        <v>3190.9804733154697</v>
      </c>
      <c r="I36" s="282">
        <f t="shared" si="5"/>
        <v>1407.4597460611187</v>
      </c>
      <c r="J36" s="282">
        <f t="shared" si="6"/>
        <v>4598.4402193765882</v>
      </c>
      <c r="K36" s="282"/>
      <c r="L36" s="29"/>
      <c r="M36" s="57"/>
    </row>
    <row r="37" spans="1:13">
      <c r="A37" s="27">
        <v>35585</v>
      </c>
      <c r="B37" s="257">
        <v>1147</v>
      </c>
      <c r="C37" s="257">
        <v>1322</v>
      </c>
      <c r="D37" s="257">
        <f t="shared" si="7"/>
        <v>-175</v>
      </c>
      <c r="E37" s="257">
        <f t="shared" si="8"/>
        <v>269.68824259839226</v>
      </c>
      <c r="F37" s="257">
        <f t="shared" si="9"/>
        <v>58.104337937903139</v>
      </c>
      <c r="G37" s="89">
        <f t="shared" si="10"/>
        <v>211.58390466048911</v>
      </c>
      <c r="H37" s="282">
        <f t="shared" si="4"/>
        <v>2696.8824259839225</v>
      </c>
      <c r="I37" s="282">
        <f t="shared" si="5"/>
        <v>1162.0867587580628</v>
      </c>
      <c r="J37" s="282">
        <f t="shared" si="6"/>
        <v>3858.9691847419854</v>
      </c>
      <c r="K37" s="282"/>
      <c r="L37" s="29"/>
      <c r="M37" s="57"/>
    </row>
    <row r="38" spans="1:13">
      <c r="A38" s="26">
        <v>35586</v>
      </c>
      <c r="B38" s="255">
        <v>1489</v>
      </c>
      <c r="C38" s="255">
        <v>956</v>
      </c>
      <c r="D38" s="255">
        <f t="shared" si="7"/>
        <v>533</v>
      </c>
      <c r="E38" s="255">
        <f t="shared" si="8"/>
        <v>296.01941833855307</v>
      </c>
      <c r="F38" s="255">
        <f t="shared" si="9"/>
        <v>81.849121041007976</v>
      </c>
      <c r="G38" s="88">
        <f t="shared" si="10"/>
        <v>214.17029729754509</v>
      </c>
      <c r="H38" s="281">
        <f t="shared" si="4"/>
        <v>2960.1941833855308</v>
      </c>
      <c r="I38" s="281">
        <f t="shared" si="5"/>
        <v>1636.9824208201594</v>
      </c>
      <c r="J38" s="281">
        <f t="shared" si="6"/>
        <v>4597.1766042056897</v>
      </c>
      <c r="K38" s="281"/>
      <c r="L38" s="28"/>
      <c r="M38" s="54"/>
    </row>
    <row r="39" spans="1:13">
      <c r="A39" s="26">
        <v>35587</v>
      </c>
      <c r="B39" s="255">
        <v>1703</v>
      </c>
      <c r="C39" s="255">
        <v>734</v>
      </c>
      <c r="D39" s="255">
        <f t="shared" si="7"/>
        <v>969</v>
      </c>
      <c r="E39" s="255">
        <f t="shared" si="8"/>
        <v>363.31747650469777</v>
      </c>
      <c r="F39" s="255">
        <f t="shared" si="9"/>
        <v>126.20666498895757</v>
      </c>
      <c r="G39" s="88">
        <f t="shared" si="10"/>
        <v>237.11081151574018</v>
      </c>
      <c r="H39" s="281">
        <f t="shared" si="4"/>
        <v>3633.1747650469779</v>
      </c>
      <c r="I39" s="281">
        <f t="shared" si="5"/>
        <v>2524.1332997791515</v>
      </c>
      <c r="J39" s="281">
        <f t="shared" si="6"/>
        <v>6157.3080648261293</v>
      </c>
      <c r="K39" s="281"/>
      <c r="L39" s="28"/>
      <c r="M39" s="54"/>
    </row>
    <row r="40" spans="1:13">
      <c r="A40" s="27">
        <v>35590</v>
      </c>
      <c r="B40" s="257">
        <v>1415</v>
      </c>
      <c r="C40" s="257">
        <v>1084</v>
      </c>
      <c r="D40" s="257">
        <f t="shared" si="7"/>
        <v>331</v>
      </c>
      <c r="E40" s="257">
        <f t="shared" si="8"/>
        <v>360.08572885422802</v>
      </c>
      <c r="F40" s="257">
        <f t="shared" si="9"/>
        <v>136.4463317395097</v>
      </c>
      <c r="G40" s="89">
        <f t="shared" si="10"/>
        <v>223.63939711471832</v>
      </c>
      <c r="H40" s="282">
        <f t="shared" si="4"/>
        <v>3600.85728854228</v>
      </c>
      <c r="I40" s="282">
        <f t="shared" si="5"/>
        <v>2728.9266347901939</v>
      </c>
      <c r="J40" s="282">
        <f t="shared" si="6"/>
        <v>6329.7839233324739</v>
      </c>
      <c r="K40" s="282"/>
      <c r="L40" s="29"/>
      <c r="M40" s="57"/>
    </row>
    <row r="41" spans="1:13">
      <c r="A41" s="27">
        <v>35591</v>
      </c>
      <c r="B41" s="257">
        <v>1403</v>
      </c>
      <c r="C41" s="257">
        <v>1130</v>
      </c>
      <c r="D41" s="257">
        <f t="shared" si="7"/>
        <v>273</v>
      </c>
      <c r="E41" s="257">
        <f t="shared" si="8"/>
        <v>351.37715596880525</v>
      </c>
      <c r="F41" s="257">
        <f t="shared" si="9"/>
        <v>143.27401515253422</v>
      </c>
      <c r="G41" s="89">
        <f t="shared" si="10"/>
        <v>208.10314081627104</v>
      </c>
      <c r="H41" s="282">
        <f t="shared" si="4"/>
        <v>3513.7715596880525</v>
      </c>
      <c r="I41" s="282">
        <f t="shared" si="5"/>
        <v>2865.4803030506846</v>
      </c>
      <c r="J41" s="282">
        <f t="shared" si="6"/>
        <v>6379.2518627387371</v>
      </c>
      <c r="K41" s="282"/>
      <c r="L41" s="29"/>
      <c r="M41" s="57"/>
    </row>
    <row r="42" spans="1:13">
      <c r="A42" s="26">
        <v>35592</v>
      </c>
      <c r="B42" s="255">
        <v>1511</v>
      </c>
      <c r="C42" s="255">
        <v>1027</v>
      </c>
      <c r="D42" s="255">
        <f t="shared" si="7"/>
        <v>484</v>
      </c>
      <c r="E42" s="255">
        <f t="shared" si="8"/>
        <v>364.63944037192471</v>
      </c>
      <c r="F42" s="255">
        <f t="shared" si="9"/>
        <v>160.31031439490749</v>
      </c>
      <c r="G42" s="88">
        <f t="shared" si="10"/>
        <v>204.32912597701721</v>
      </c>
      <c r="H42" s="281">
        <f t="shared" si="4"/>
        <v>3646.3944037192468</v>
      </c>
      <c r="I42" s="281">
        <f t="shared" si="5"/>
        <v>3206.2062878981496</v>
      </c>
      <c r="J42" s="281">
        <f t="shared" si="6"/>
        <v>6852.6006916173965</v>
      </c>
      <c r="K42" s="281"/>
      <c r="L42" s="28"/>
      <c r="M42" s="54"/>
    </row>
    <row r="43" spans="1:13">
      <c r="A43" s="26">
        <v>35593</v>
      </c>
      <c r="B43" s="255">
        <v>1866</v>
      </c>
      <c r="C43" s="255">
        <v>729</v>
      </c>
      <c r="D43" s="255">
        <f t="shared" ref="D43:D58" si="11">B43-C43</f>
        <v>1137</v>
      </c>
      <c r="E43" s="255">
        <f t="shared" ref="E43:E58" si="12">(D43*0.1) + (E42*0.9)</f>
        <v>441.87549633473225</v>
      </c>
      <c r="F43" s="255">
        <f t="shared" ref="F43:F58" si="13">(D43*0.05) + (F42*0.95)</f>
        <v>209.14479867516209</v>
      </c>
      <c r="G43" s="88">
        <f t="shared" si="10"/>
        <v>232.73069765957015</v>
      </c>
      <c r="H43" s="281">
        <f t="shared" si="4"/>
        <v>4418.7549633473227</v>
      </c>
      <c r="I43" s="281">
        <f t="shared" si="5"/>
        <v>4182.8959735032422</v>
      </c>
      <c r="J43" s="281">
        <f t="shared" si="6"/>
        <v>8601.6509368505649</v>
      </c>
      <c r="K43" s="281"/>
      <c r="L43" s="28"/>
      <c r="M43" s="54"/>
    </row>
    <row r="44" spans="1:13">
      <c r="A44" s="27">
        <v>35594</v>
      </c>
      <c r="B44" s="257">
        <v>1724</v>
      </c>
      <c r="C44" s="257">
        <v>811</v>
      </c>
      <c r="D44" s="257">
        <f t="shared" si="11"/>
        <v>913</v>
      </c>
      <c r="E44" s="257">
        <f t="shared" si="12"/>
        <v>488.98794670125903</v>
      </c>
      <c r="F44" s="257">
        <f t="shared" si="13"/>
        <v>244.337558741404</v>
      </c>
      <c r="G44" s="89">
        <f t="shared" ref="G44:G59" si="14">E44-F44</f>
        <v>244.65038795985504</v>
      </c>
      <c r="H44" s="282">
        <f t="shared" si="4"/>
        <v>4889.8794670125899</v>
      </c>
      <c r="I44" s="282">
        <f t="shared" si="5"/>
        <v>4886.7511748280795</v>
      </c>
      <c r="J44" s="282">
        <f t="shared" si="6"/>
        <v>9776.6306418406693</v>
      </c>
      <c r="K44" s="282"/>
      <c r="L44" s="29"/>
      <c r="M44" s="57"/>
    </row>
    <row r="45" spans="1:13">
      <c r="A45" s="27">
        <v>35597</v>
      </c>
      <c r="B45" s="257">
        <v>1223</v>
      </c>
      <c r="C45" s="257">
        <v>1239</v>
      </c>
      <c r="D45" s="257">
        <f t="shared" si="11"/>
        <v>-16</v>
      </c>
      <c r="E45" s="257">
        <f t="shared" si="12"/>
        <v>438.48915203113313</v>
      </c>
      <c r="F45" s="257">
        <f t="shared" si="13"/>
        <v>231.32068080433376</v>
      </c>
      <c r="G45" s="89">
        <f t="shared" si="14"/>
        <v>207.16847122679937</v>
      </c>
      <c r="H45" s="282">
        <f t="shared" si="4"/>
        <v>4384.8915203113311</v>
      </c>
      <c r="I45" s="282">
        <f t="shared" si="5"/>
        <v>4626.4136160866756</v>
      </c>
      <c r="J45" s="282">
        <f t="shared" si="6"/>
        <v>9011.3051363980067</v>
      </c>
      <c r="K45" s="282"/>
      <c r="L45" s="29"/>
      <c r="M45" s="57"/>
    </row>
    <row r="46" spans="1:13">
      <c r="A46" s="26">
        <v>35598</v>
      </c>
      <c r="B46" s="255">
        <v>1231</v>
      </c>
      <c r="C46" s="255">
        <v>1237</v>
      </c>
      <c r="D46" s="255">
        <f t="shared" si="11"/>
        <v>-6</v>
      </c>
      <c r="E46" s="255">
        <f t="shared" si="12"/>
        <v>394.04023682801983</v>
      </c>
      <c r="F46" s="255">
        <f t="shared" si="13"/>
        <v>219.45464676411706</v>
      </c>
      <c r="G46" s="88">
        <f t="shared" si="14"/>
        <v>174.58559006390277</v>
      </c>
      <c r="H46" s="281">
        <f t="shared" si="4"/>
        <v>3940.4023682801981</v>
      </c>
      <c r="I46" s="281">
        <f t="shared" si="5"/>
        <v>4389.0929352823414</v>
      </c>
      <c r="J46" s="281">
        <f t="shared" si="6"/>
        <v>8329.4953035625404</v>
      </c>
      <c r="K46" s="281"/>
      <c r="L46" s="28"/>
      <c r="M46" s="54"/>
    </row>
    <row r="47" spans="1:13">
      <c r="A47" s="26">
        <v>35599</v>
      </c>
      <c r="B47" s="255">
        <v>1192</v>
      </c>
      <c r="C47" s="255">
        <v>1290</v>
      </c>
      <c r="D47" s="255">
        <f t="shared" si="11"/>
        <v>-98</v>
      </c>
      <c r="E47" s="255">
        <f t="shared" si="12"/>
        <v>344.83621314521787</v>
      </c>
      <c r="F47" s="255">
        <f t="shared" si="13"/>
        <v>203.58191442591118</v>
      </c>
      <c r="G47" s="88">
        <f t="shared" si="14"/>
        <v>141.25429871930669</v>
      </c>
      <c r="H47" s="281">
        <f t="shared" si="4"/>
        <v>3448.3621314521788</v>
      </c>
      <c r="I47" s="281">
        <f t="shared" si="5"/>
        <v>4071.6382885182238</v>
      </c>
      <c r="J47" s="281">
        <f t="shared" si="6"/>
        <v>7520.0004199704026</v>
      </c>
      <c r="K47" s="281"/>
      <c r="L47" s="28"/>
      <c r="M47" s="54"/>
    </row>
    <row r="48" spans="1:13">
      <c r="A48" s="27">
        <v>35600</v>
      </c>
      <c r="B48" s="257">
        <v>1737</v>
      </c>
      <c r="C48" s="257">
        <v>789</v>
      </c>
      <c r="D48" s="257">
        <f t="shared" si="11"/>
        <v>948</v>
      </c>
      <c r="E48" s="257">
        <f t="shared" si="12"/>
        <v>405.15259183069611</v>
      </c>
      <c r="F48" s="257">
        <f t="shared" si="13"/>
        <v>240.80281870461562</v>
      </c>
      <c r="G48" s="47">
        <f t="shared" si="14"/>
        <v>164.34977312608049</v>
      </c>
      <c r="H48" s="250">
        <f t="shared" si="4"/>
        <v>4051.5259183069611</v>
      </c>
      <c r="I48" s="250">
        <f t="shared" si="5"/>
        <v>4816.0563740923126</v>
      </c>
      <c r="J48" s="250">
        <f t="shared" si="6"/>
        <v>8867.5822923992746</v>
      </c>
      <c r="K48" s="250">
        <f>G48-J48 + 1000</f>
        <v>-7703.2325192731932</v>
      </c>
      <c r="L48" s="29"/>
      <c r="M48" s="57"/>
    </row>
    <row r="49" spans="1:13">
      <c r="A49" s="27">
        <v>35601</v>
      </c>
      <c r="B49" s="257">
        <v>1100</v>
      </c>
      <c r="C49" s="257">
        <v>1480</v>
      </c>
      <c r="D49" s="257">
        <f t="shared" si="11"/>
        <v>-380</v>
      </c>
      <c r="E49" s="257">
        <f t="shared" si="12"/>
        <v>326.63733264762652</v>
      </c>
      <c r="F49" s="257">
        <f t="shared" si="13"/>
        <v>209.76267776938482</v>
      </c>
      <c r="G49" s="47">
        <f t="shared" si="14"/>
        <v>116.8746548782417</v>
      </c>
      <c r="H49" s="250">
        <f t="shared" si="4"/>
        <v>3266.373326476265</v>
      </c>
      <c r="I49" s="250">
        <f t="shared" si="5"/>
        <v>4195.2535553876969</v>
      </c>
      <c r="J49" s="250">
        <f t="shared" si="6"/>
        <v>7461.6268818639619</v>
      </c>
      <c r="K49" s="250">
        <f t="shared" ref="K49:K59" si="15">G49-J49 + 1000</f>
        <v>-6344.75222698572</v>
      </c>
      <c r="L49" s="29"/>
      <c r="M49" s="57"/>
    </row>
    <row r="50" spans="1:13">
      <c r="A50" s="26">
        <v>35604</v>
      </c>
      <c r="B50" s="255">
        <v>813</v>
      </c>
      <c r="C50" s="255">
        <v>1771</v>
      </c>
      <c r="D50" s="255">
        <f t="shared" si="11"/>
        <v>-958</v>
      </c>
      <c r="E50" s="255">
        <f t="shared" si="12"/>
        <v>198.17359938286387</v>
      </c>
      <c r="F50" s="255">
        <f t="shared" si="13"/>
        <v>151.37454388091555</v>
      </c>
      <c r="G50" s="43">
        <f t="shared" si="14"/>
        <v>46.799055501948317</v>
      </c>
      <c r="H50" s="249">
        <f t="shared" si="4"/>
        <v>1981.7359938286386</v>
      </c>
      <c r="I50" s="249">
        <f t="shared" si="5"/>
        <v>3027.4908776183111</v>
      </c>
      <c r="J50" s="249">
        <f t="shared" si="6"/>
        <v>5009.2268714469501</v>
      </c>
      <c r="K50" s="249">
        <f t="shared" si="15"/>
        <v>-3962.4278159450014</v>
      </c>
      <c r="L50" s="28"/>
      <c r="M50" s="54"/>
    </row>
    <row r="51" spans="1:13">
      <c r="A51" s="26">
        <v>35605</v>
      </c>
      <c r="B51" s="255">
        <v>1786</v>
      </c>
      <c r="C51" s="255">
        <v>961</v>
      </c>
      <c r="D51" s="255">
        <f t="shared" si="11"/>
        <v>825</v>
      </c>
      <c r="E51" s="255">
        <f t="shared" si="12"/>
        <v>260.85623944457745</v>
      </c>
      <c r="F51" s="255">
        <f t="shared" si="13"/>
        <v>185.05581668686978</v>
      </c>
      <c r="G51" s="43">
        <f t="shared" si="14"/>
        <v>75.800422757707679</v>
      </c>
      <c r="H51" s="249">
        <f t="shared" si="4"/>
        <v>2608.5623944457748</v>
      </c>
      <c r="I51" s="249">
        <f t="shared" si="5"/>
        <v>3701.1163337373955</v>
      </c>
      <c r="J51" s="249">
        <f t="shared" si="6"/>
        <v>6309.6787281831703</v>
      </c>
      <c r="K51" s="249">
        <f t="shared" si="15"/>
        <v>-5233.8783054254627</v>
      </c>
      <c r="L51" s="28"/>
      <c r="M51" s="54"/>
    </row>
    <row r="52" spans="1:13">
      <c r="A52" s="27">
        <v>35606</v>
      </c>
      <c r="B52" s="257">
        <v>1253</v>
      </c>
      <c r="C52" s="257">
        <v>1557</v>
      </c>
      <c r="D52" s="257">
        <f t="shared" si="11"/>
        <v>-304</v>
      </c>
      <c r="E52" s="257">
        <f t="shared" si="12"/>
        <v>204.3706155001197</v>
      </c>
      <c r="F52" s="257">
        <f t="shared" si="13"/>
        <v>160.60302585252629</v>
      </c>
      <c r="G52" s="47">
        <f t="shared" si="14"/>
        <v>43.767589647593411</v>
      </c>
      <c r="H52" s="250">
        <f t="shared" si="4"/>
        <v>2043.706155001197</v>
      </c>
      <c r="I52" s="250">
        <f t="shared" si="5"/>
        <v>3212.060517050526</v>
      </c>
      <c r="J52" s="250">
        <f t="shared" si="6"/>
        <v>5255.7666720517227</v>
      </c>
      <c r="K52" s="250">
        <f t="shared" si="15"/>
        <v>-4211.9990824041297</v>
      </c>
      <c r="L52" s="29"/>
      <c r="M52" s="57"/>
    </row>
    <row r="53" spans="1:13">
      <c r="A53" s="27">
        <v>35607</v>
      </c>
      <c r="B53" s="257">
        <v>1301</v>
      </c>
      <c r="C53" s="257">
        <v>1450</v>
      </c>
      <c r="D53" s="257">
        <f t="shared" si="11"/>
        <v>-149</v>
      </c>
      <c r="E53" s="257">
        <f t="shared" si="12"/>
        <v>169.03355395010772</v>
      </c>
      <c r="F53" s="257">
        <f t="shared" si="13"/>
        <v>145.12287455989997</v>
      </c>
      <c r="G53" s="47">
        <f t="shared" si="14"/>
        <v>23.910679390207747</v>
      </c>
      <c r="H53" s="250">
        <f t="shared" si="4"/>
        <v>1690.3355395010772</v>
      </c>
      <c r="I53" s="250">
        <f t="shared" si="5"/>
        <v>2902.4574911979994</v>
      </c>
      <c r="J53" s="250">
        <f t="shared" si="6"/>
        <v>4592.7930306990766</v>
      </c>
      <c r="K53" s="250">
        <f t="shared" si="15"/>
        <v>-3568.8823513088691</v>
      </c>
      <c r="L53" s="29"/>
      <c r="M53" s="57"/>
    </row>
    <row r="54" spans="1:13">
      <c r="A54" s="26">
        <v>35608</v>
      </c>
      <c r="B54" s="255">
        <v>1797</v>
      </c>
      <c r="C54" s="255">
        <v>937</v>
      </c>
      <c r="D54" s="255">
        <f t="shared" si="11"/>
        <v>860</v>
      </c>
      <c r="E54" s="255">
        <f t="shared" si="12"/>
        <v>238.13019855509694</v>
      </c>
      <c r="F54" s="255">
        <f t="shared" si="13"/>
        <v>180.86673083190496</v>
      </c>
      <c r="G54" s="43">
        <f t="shared" si="14"/>
        <v>57.26346772319198</v>
      </c>
      <c r="H54" s="249">
        <f t="shared" si="4"/>
        <v>2381.3019855509692</v>
      </c>
      <c r="I54" s="249">
        <f t="shared" si="5"/>
        <v>3617.3346166380993</v>
      </c>
      <c r="J54" s="249">
        <f t="shared" si="6"/>
        <v>5998.6366021890681</v>
      </c>
      <c r="K54" s="249">
        <f t="shared" si="15"/>
        <v>-4941.3731344658763</v>
      </c>
      <c r="L54" s="28"/>
      <c r="M54" s="54"/>
    </row>
    <row r="55" spans="1:13">
      <c r="A55" s="26">
        <v>35611</v>
      </c>
      <c r="B55" s="255">
        <v>1519</v>
      </c>
      <c r="C55" s="255">
        <v>1279</v>
      </c>
      <c r="D55" s="255">
        <f t="shared" si="11"/>
        <v>240</v>
      </c>
      <c r="E55" s="255">
        <f t="shared" si="12"/>
        <v>238.31717869958726</v>
      </c>
      <c r="F55" s="255">
        <f t="shared" si="13"/>
        <v>183.82339429030969</v>
      </c>
      <c r="G55" s="43">
        <f t="shared" si="14"/>
        <v>54.493784409277566</v>
      </c>
      <c r="H55" s="249">
        <f t="shared" si="4"/>
        <v>2383.1717869958725</v>
      </c>
      <c r="I55" s="249">
        <f t="shared" si="5"/>
        <v>3676.4678858061939</v>
      </c>
      <c r="J55" s="249">
        <f t="shared" si="6"/>
        <v>6059.6396728020663</v>
      </c>
      <c r="K55" s="249">
        <f t="shared" si="15"/>
        <v>-5005.1458883927889</v>
      </c>
      <c r="L55" s="28"/>
      <c r="M55" s="54"/>
    </row>
    <row r="56" spans="1:13">
      <c r="A56" s="27">
        <v>35612</v>
      </c>
      <c r="B56" s="257">
        <v>1690</v>
      </c>
      <c r="C56" s="257">
        <v>1135</v>
      </c>
      <c r="D56" s="257">
        <f t="shared" si="11"/>
        <v>555</v>
      </c>
      <c r="E56" s="257">
        <f t="shared" si="12"/>
        <v>269.98546082962855</v>
      </c>
      <c r="F56" s="257">
        <f t="shared" si="13"/>
        <v>202.3822245757942</v>
      </c>
      <c r="G56" s="47">
        <f t="shared" si="14"/>
        <v>67.603236253834353</v>
      </c>
      <c r="H56" s="250">
        <f t="shared" si="4"/>
        <v>2699.8546082962857</v>
      </c>
      <c r="I56" s="250">
        <f t="shared" si="5"/>
        <v>4047.6444915158841</v>
      </c>
      <c r="J56" s="250">
        <f t="shared" si="6"/>
        <v>6747.4990998121702</v>
      </c>
      <c r="K56" s="250">
        <f t="shared" si="15"/>
        <v>-5679.8958635583358</v>
      </c>
      <c r="L56" s="29"/>
      <c r="M56" s="57"/>
    </row>
    <row r="57" spans="1:13">
      <c r="A57" s="27">
        <v>35613</v>
      </c>
      <c r="B57" s="257">
        <v>1839</v>
      </c>
      <c r="C57" s="257">
        <v>961</v>
      </c>
      <c r="D57" s="257">
        <f t="shared" si="11"/>
        <v>878</v>
      </c>
      <c r="E57" s="257">
        <f t="shared" si="12"/>
        <v>330.78691474666573</v>
      </c>
      <c r="F57" s="257">
        <f t="shared" si="13"/>
        <v>236.1631133470045</v>
      </c>
      <c r="G57" s="47">
        <f t="shared" si="14"/>
        <v>94.623801399661232</v>
      </c>
      <c r="H57" s="250">
        <f t="shared" si="4"/>
        <v>3307.8691474666575</v>
      </c>
      <c r="I57" s="250">
        <f t="shared" si="5"/>
        <v>4723.2622669400898</v>
      </c>
      <c r="J57" s="250">
        <f t="shared" si="6"/>
        <v>8031.1314144067474</v>
      </c>
      <c r="K57" s="250">
        <f t="shared" si="15"/>
        <v>-6936.5076130070865</v>
      </c>
      <c r="L57" s="29"/>
      <c r="M57" s="57"/>
    </row>
    <row r="58" spans="1:13">
      <c r="A58" s="26">
        <v>35614</v>
      </c>
      <c r="B58" s="255">
        <v>1970</v>
      </c>
      <c r="C58" s="255">
        <v>753</v>
      </c>
      <c r="D58" s="255">
        <f t="shared" si="11"/>
        <v>1217</v>
      </c>
      <c r="E58" s="255">
        <f t="shared" si="12"/>
        <v>419.40822327199913</v>
      </c>
      <c r="F58" s="255">
        <f t="shared" si="13"/>
        <v>285.20495767965429</v>
      </c>
      <c r="G58" s="43">
        <f t="shared" si="14"/>
        <v>134.20326559234485</v>
      </c>
      <c r="H58" s="249">
        <f t="shared" si="4"/>
        <v>4194.0822327199912</v>
      </c>
      <c r="I58" s="249">
        <f t="shared" si="5"/>
        <v>5704.0991535930862</v>
      </c>
      <c r="J58" s="249">
        <f t="shared" si="6"/>
        <v>9898.1813863130774</v>
      </c>
      <c r="K58" s="249">
        <f t="shared" si="15"/>
        <v>-8763.9781207207325</v>
      </c>
      <c r="L58" s="28"/>
      <c r="M58" s="54"/>
    </row>
    <row r="59" spans="1:13">
      <c r="A59" s="26">
        <v>35618</v>
      </c>
      <c r="B59" s="255">
        <v>1462</v>
      </c>
      <c r="C59" s="255">
        <v>1396</v>
      </c>
      <c r="D59" s="255">
        <f>B59-C59</f>
        <v>66</v>
      </c>
      <c r="E59" s="255">
        <f>(D59*0.1) + (E58*0.9)</f>
        <v>384.06740094479926</v>
      </c>
      <c r="F59" s="255">
        <f>(D59*0.05) + (F58*0.95)</f>
        <v>274.24470979567155</v>
      </c>
      <c r="G59" s="43">
        <f t="shared" si="14"/>
        <v>109.82269114912771</v>
      </c>
      <c r="H59" s="249">
        <f t="shared" si="4"/>
        <v>3840.6740094479928</v>
      </c>
      <c r="I59" s="249">
        <f t="shared" si="5"/>
        <v>5484.8941959134308</v>
      </c>
      <c r="J59" s="249">
        <f t="shared" si="6"/>
        <v>9325.5682053614237</v>
      </c>
      <c r="K59" s="249">
        <f t="shared" si="15"/>
        <v>-8215.7455142122963</v>
      </c>
      <c r="L59" s="28"/>
      <c r="M59" s="54"/>
    </row>
    <row r="61" spans="1:13" ht="15">
      <c r="A61" s="241" t="s">
        <v>1001</v>
      </c>
    </row>
    <row r="62" spans="1:13" ht="15">
      <c r="A62" s="241" t="s">
        <v>997</v>
      </c>
    </row>
    <row r="63" spans="1:13" ht="15">
      <c r="A63" s="241" t="s">
        <v>998</v>
      </c>
    </row>
    <row r="64" spans="1:13" ht="15">
      <c r="A64" s="241" t="s">
        <v>999</v>
      </c>
    </row>
    <row r="65" spans="1:1" ht="15">
      <c r="A65" s="241" t="s">
        <v>1000</v>
      </c>
    </row>
  </sheetData>
  <phoneticPr fontId="0" type="noConversion"/>
  <pageMargins left="0.75" right="0.75" top="1" bottom="1" header="0.5" footer="0.5"/>
  <pageSetup orientation="portrait" horizontalDpi="0" verticalDpi="0" copies="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83970"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83971"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83972"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enableFormatConditionsCalculation="0"/>
  <dimension ref="A1:N53"/>
  <sheetViews>
    <sheetView workbookViewId="0"/>
  </sheetViews>
  <sheetFormatPr baseColWidth="10" defaultColWidth="8.83203125" defaultRowHeight="12" x14ac:dyDescent="0"/>
  <cols>
    <col min="1" max="1" width="15.1640625" customWidth="1"/>
    <col min="4" max="4" width="11.6640625" customWidth="1"/>
    <col min="5" max="5" width="12.3320312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243</v>
      </c>
      <c r="C3" s="21"/>
      <c r="D3" s="21"/>
      <c r="E3" s="21"/>
      <c r="F3" s="21"/>
      <c r="G3" s="21"/>
      <c r="H3" s="21"/>
      <c r="I3" s="21"/>
      <c r="J3" s="21"/>
      <c r="K3" s="21"/>
    </row>
    <row r="4" spans="1:14">
      <c r="A4" s="19" t="s">
        <v>774</v>
      </c>
      <c r="B4" s="20" t="s">
        <v>810</v>
      </c>
      <c r="C4" s="21"/>
      <c r="D4" s="21"/>
      <c r="E4" s="21"/>
      <c r="F4" s="21"/>
      <c r="G4" s="21"/>
      <c r="H4" s="21"/>
      <c r="I4" s="21"/>
      <c r="J4" s="21"/>
      <c r="K4" s="21"/>
    </row>
    <row r="5" spans="1:14" ht="15">
      <c r="A5" s="118" t="s">
        <v>779</v>
      </c>
      <c r="B5" s="127" t="s">
        <v>397</v>
      </c>
      <c r="C5" s="21"/>
      <c r="D5" s="21"/>
      <c r="E5" s="21"/>
      <c r="F5" s="21"/>
      <c r="G5" s="21"/>
      <c r="H5" s="21"/>
      <c r="I5" s="21"/>
      <c r="J5" s="21"/>
      <c r="K5" s="21"/>
    </row>
    <row r="6" spans="1:14" ht="33.75" customHeight="1">
      <c r="A6" s="21"/>
      <c r="B6" s="21"/>
      <c r="C6" s="21"/>
      <c r="D6" s="21"/>
      <c r="E6" s="21"/>
      <c r="F6" s="21"/>
      <c r="G6" s="21"/>
      <c r="H6" s="21"/>
      <c r="I6" s="21"/>
      <c r="J6" s="21"/>
      <c r="K6" s="21"/>
    </row>
    <row r="7" spans="1:14" ht="30.75" customHeight="1">
      <c r="A7" s="22" t="s">
        <v>1090</v>
      </c>
      <c r="B7" s="22" t="s">
        <v>1096</v>
      </c>
      <c r="C7" s="22" t="s">
        <v>1097</v>
      </c>
      <c r="D7" s="31" t="s">
        <v>556</v>
      </c>
      <c r="E7" s="31" t="s">
        <v>398</v>
      </c>
      <c r="F7" s="22"/>
      <c r="G7" s="22"/>
      <c r="H7" s="22"/>
      <c r="I7" s="22"/>
      <c r="J7" s="22"/>
      <c r="K7" s="22"/>
    </row>
    <row r="8" spans="1:14">
      <c r="A8" s="26">
        <v>34394</v>
      </c>
      <c r="B8" s="112">
        <v>16.1875</v>
      </c>
      <c r="C8" s="112">
        <v>15.3125</v>
      </c>
      <c r="D8" s="112">
        <f>B8+C8</f>
        <v>31.5</v>
      </c>
      <c r="E8" s="112">
        <f>D8/2</f>
        <v>15.75</v>
      </c>
      <c r="F8" s="28"/>
      <c r="G8" s="28"/>
      <c r="H8" s="28"/>
      <c r="I8" s="28"/>
      <c r="J8" s="28"/>
      <c r="K8" s="54"/>
    </row>
    <row r="9" spans="1:14">
      <c r="A9" s="26">
        <v>34395</v>
      </c>
      <c r="B9" s="112">
        <v>15.75</v>
      </c>
      <c r="C9" s="112">
        <v>15.1875</v>
      </c>
      <c r="D9" s="112">
        <f t="shared" ref="D9:D49" si="0">B9+C9</f>
        <v>30.9375</v>
      </c>
      <c r="E9" s="112">
        <f t="shared" ref="E9:E49" si="1">D9/2</f>
        <v>15.46875</v>
      </c>
      <c r="F9" s="28"/>
      <c r="G9" s="28"/>
      <c r="H9" s="28"/>
      <c r="I9" s="28"/>
      <c r="J9" s="28"/>
      <c r="K9" s="54"/>
    </row>
    <row r="10" spans="1:14">
      <c r="A10" s="27">
        <v>34396</v>
      </c>
      <c r="B10" s="111">
        <v>15.6875</v>
      </c>
      <c r="C10" s="111">
        <v>15.5</v>
      </c>
      <c r="D10" s="111">
        <f t="shared" si="0"/>
        <v>31.1875</v>
      </c>
      <c r="E10" s="111">
        <f t="shared" si="1"/>
        <v>15.59375</v>
      </c>
      <c r="F10" s="29"/>
      <c r="G10" s="29"/>
      <c r="H10" s="29"/>
      <c r="I10" s="29"/>
      <c r="J10" s="29"/>
      <c r="K10" s="57"/>
    </row>
    <row r="11" spans="1:14">
      <c r="A11" s="27">
        <v>34397</v>
      </c>
      <c r="B11" s="111">
        <v>15.9375</v>
      </c>
      <c r="C11" s="111">
        <v>15.625</v>
      </c>
      <c r="D11" s="111">
        <f t="shared" si="0"/>
        <v>31.5625</v>
      </c>
      <c r="E11" s="111">
        <f t="shared" si="1"/>
        <v>15.78125</v>
      </c>
      <c r="F11" s="29"/>
      <c r="G11" s="29"/>
      <c r="H11" s="29"/>
      <c r="I11" s="29"/>
      <c r="J11" s="29"/>
      <c r="K11" s="57"/>
    </row>
    <row r="12" spans="1:14">
      <c r="A12" s="26">
        <v>34400</v>
      </c>
      <c r="B12" s="112">
        <v>16.125</v>
      </c>
      <c r="C12" s="112">
        <v>15.875</v>
      </c>
      <c r="D12" s="112">
        <f t="shared" si="0"/>
        <v>32</v>
      </c>
      <c r="E12" s="112">
        <f t="shared" si="1"/>
        <v>16</v>
      </c>
      <c r="F12" s="28"/>
      <c r="G12" s="28"/>
      <c r="H12" s="28"/>
      <c r="I12" s="28"/>
      <c r="J12" s="28"/>
      <c r="K12" s="54"/>
    </row>
    <row r="13" spans="1:14">
      <c r="A13" s="26">
        <v>34401</v>
      </c>
      <c r="B13" s="112">
        <v>16.0625</v>
      </c>
      <c r="C13" s="112">
        <v>15.875</v>
      </c>
      <c r="D13" s="112">
        <f t="shared" si="0"/>
        <v>31.9375</v>
      </c>
      <c r="E13" s="112">
        <f t="shared" si="1"/>
        <v>15.96875</v>
      </c>
      <c r="F13" s="28"/>
      <c r="G13" s="28"/>
      <c r="H13" s="28"/>
      <c r="I13" s="28"/>
      <c r="J13" s="28"/>
      <c r="K13" s="54"/>
    </row>
    <row r="14" spans="1:14">
      <c r="A14" s="27">
        <v>34402</v>
      </c>
      <c r="B14" s="111">
        <v>16.0625</v>
      </c>
      <c r="C14" s="111">
        <v>15.875</v>
      </c>
      <c r="D14" s="111">
        <f t="shared" si="0"/>
        <v>31.9375</v>
      </c>
      <c r="E14" s="111">
        <f t="shared" si="1"/>
        <v>15.96875</v>
      </c>
      <c r="F14" s="29"/>
      <c r="G14" s="29"/>
      <c r="H14" s="29"/>
      <c r="I14" s="29"/>
      <c r="J14" s="29"/>
      <c r="K14" s="57"/>
    </row>
    <row r="15" spans="1:14">
      <c r="A15" s="27">
        <v>34403</v>
      </c>
      <c r="B15" s="111">
        <v>16</v>
      </c>
      <c r="C15" s="111">
        <v>15.875</v>
      </c>
      <c r="D15" s="111">
        <f t="shared" si="0"/>
        <v>31.875</v>
      </c>
      <c r="E15" s="111">
        <f t="shared" si="1"/>
        <v>15.9375</v>
      </c>
      <c r="F15" s="29"/>
      <c r="G15" s="29"/>
      <c r="H15" s="29"/>
      <c r="I15" s="29"/>
      <c r="J15" s="29"/>
      <c r="K15" s="57"/>
    </row>
    <row r="16" spans="1:14">
      <c r="A16" s="26">
        <v>34404</v>
      </c>
      <c r="B16" s="112">
        <v>16.25</v>
      </c>
      <c r="C16" s="112">
        <v>15.875</v>
      </c>
      <c r="D16" s="112">
        <f t="shared" si="0"/>
        <v>32.125</v>
      </c>
      <c r="E16" s="112">
        <f t="shared" si="1"/>
        <v>16.0625</v>
      </c>
      <c r="F16" s="28"/>
      <c r="G16" s="28"/>
      <c r="H16" s="28"/>
      <c r="I16" s="28"/>
      <c r="J16" s="28"/>
      <c r="K16" s="54"/>
    </row>
    <row r="17" spans="1:11">
      <c r="A17" s="26">
        <v>34407</v>
      </c>
      <c r="B17" s="112">
        <v>16.3125</v>
      </c>
      <c r="C17" s="112">
        <v>16.125</v>
      </c>
      <c r="D17" s="112">
        <f t="shared" si="0"/>
        <v>32.4375</v>
      </c>
      <c r="E17" s="112">
        <f t="shared" si="1"/>
        <v>16.21875</v>
      </c>
      <c r="F17" s="28"/>
      <c r="G17" s="28"/>
      <c r="H17" s="28"/>
      <c r="I17" s="28"/>
      <c r="J17" s="28"/>
      <c r="K17" s="54"/>
    </row>
    <row r="18" spans="1:11">
      <c r="A18" s="27">
        <v>34408</v>
      </c>
      <c r="B18" s="111">
        <v>16.5</v>
      </c>
      <c r="C18" s="111">
        <v>16.1875</v>
      </c>
      <c r="D18" s="111">
        <f t="shared" si="0"/>
        <v>32.6875</v>
      </c>
      <c r="E18" s="111">
        <f t="shared" si="1"/>
        <v>16.34375</v>
      </c>
      <c r="F18" s="29"/>
      <c r="G18" s="29"/>
      <c r="H18" s="29"/>
      <c r="I18" s="29"/>
      <c r="J18" s="29"/>
      <c r="K18" s="57"/>
    </row>
    <row r="19" spans="1:11">
      <c r="A19" s="27">
        <v>34409</v>
      </c>
      <c r="B19" s="111">
        <v>16.3125</v>
      </c>
      <c r="C19" s="111">
        <v>16.125</v>
      </c>
      <c r="D19" s="111">
        <f t="shared" si="0"/>
        <v>32.4375</v>
      </c>
      <c r="E19" s="111">
        <f t="shared" si="1"/>
        <v>16.21875</v>
      </c>
      <c r="F19" s="29"/>
      <c r="G19" s="29"/>
      <c r="H19" s="29"/>
      <c r="I19" s="29"/>
      <c r="J19" s="29"/>
      <c r="K19" s="57"/>
    </row>
    <row r="20" spans="1:11">
      <c r="A20" s="26">
        <v>34410</v>
      </c>
      <c r="B20" s="112">
        <v>16.4375</v>
      </c>
      <c r="C20" s="112">
        <v>16.25</v>
      </c>
      <c r="D20" s="112">
        <f t="shared" si="0"/>
        <v>32.6875</v>
      </c>
      <c r="E20" s="112">
        <f t="shared" si="1"/>
        <v>16.34375</v>
      </c>
      <c r="F20" s="28"/>
      <c r="G20" s="28"/>
      <c r="H20" s="28"/>
      <c r="I20" s="28"/>
      <c r="J20" s="28"/>
      <c r="K20" s="54"/>
    </row>
    <row r="21" spans="1:11">
      <c r="A21" s="26">
        <v>34411</v>
      </c>
      <c r="B21" s="112">
        <v>16.375</v>
      </c>
      <c r="C21" s="112">
        <v>16.25</v>
      </c>
      <c r="D21" s="112">
        <f t="shared" si="0"/>
        <v>32.625</v>
      </c>
      <c r="E21" s="112">
        <f t="shared" si="1"/>
        <v>16.3125</v>
      </c>
      <c r="F21" s="28"/>
      <c r="G21" s="28"/>
      <c r="H21" s="28"/>
      <c r="I21" s="28"/>
      <c r="J21" s="28"/>
      <c r="K21" s="54"/>
    </row>
    <row r="22" spans="1:11">
      <c r="A22" s="27">
        <v>34414</v>
      </c>
      <c r="B22" s="111">
        <v>16.3125</v>
      </c>
      <c r="C22" s="111">
        <v>16</v>
      </c>
      <c r="D22" s="111">
        <f t="shared" si="0"/>
        <v>32.3125</v>
      </c>
      <c r="E22" s="111">
        <f t="shared" si="1"/>
        <v>16.15625</v>
      </c>
      <c r="F22" s="29"/>
      <c r="G22" s="29"/>
      <c r="H22" s="29"/>
      <c r="I22" s="29"/>
      <c r="J22" s="29"/>
      <c r="K22" s="57"/>
    </row>
    <row r="23" spans="1:11">
      <c r="A23" s="27">
        <v>34415</v>
      </c>
      <c r="B23" s="111">
        <v>16.25</v>
      </c>
      <c r="C23" s="111">
        <v>16.125</v>
      </c>
      <c r="D23" s="111">
        <f t="shared" si="0"/>
        <v>32.375</v>
      </c>
      <c r="E23" s="111">
        <f t="shared" si="1"/>
        <v>16.1875</v>
      </c>
      <c r="F23" s="29"/>
      <c r="G23" s="29"/>
      <c r="H23" s="29"/>
      <c r="I23" s="29"/>
      <c r="J23" s="29"/>
      <c r="K23" s="57"/>
    </row>
    <row r="24" spans="1:11">
      <c r="A24" s="26">
        <v>34416</v>
      </c>
      <c r="B24" s="112">
        <v>16.25</v>
      </c>
      <c r="C24" s="112">
        <v>16.0625</v>
      </c>
      <c r="D24" s="112">
        <f t="shared" si="0"/>
        <v>32.3125</v>
      </c>
      <c r="E24" s="112">
        <f t="shared" si="1"/>
        <v>16.15625</v>
      </c>
      <c r="F24" s="28"/>
      <c r="G24" s="28"/>
      <c r="H24" s="28"/>
      <c r="I24" s="28"/>
      <c r="J24" s="28"/>
      <c r="K24" s="54"/>
    </row>
    <row r="25" spans="1:11">
      <c r="A25" s="26">
        <v>34417</v>
      </c>
      <c r="B25" s="112">
        <v>16.25</v>
      </c>
      <c r="C25" s="112">
        <v>16.0625</v>
      </c>
      <c r="D25" s="112">
        <f t="shared" si="0"/>
        <v>32.3125</v>
      </c>
      <c r="E25" s="112">
        <f t="shared" si="1"/>
        <v>16.15625</v>
      </c>
      <c r="F25" s="28"/>
      <c r="G25" s="28"/>
      <c r="H25" s="28"/>
      <c r="I25" s="28"/>
      <c r="J25" s="28"/>
      <c r="K25" s="54"/>
    </row>
    <row r="26" spans="1:11">
      <c r="A26" s="27">
        <v>34418</v>
      </c>
      <c r="B26" s="111">
        <v>16.125</v>
      </c>
      <c r="C26" s="111">
        <v>15.8125</v>
      </c>
      <c r="D26" s="111">
        <f t="shared" si="0"/>
        <v>31.9375</v>
      </c>
      <c r="E26" s="111">
        <f t="shared" si="1"/>
        <v>15.96875</v>
      </c>
      <c r="F26" s="29"/>
      <c r="G26" s="29"/>
      <c r="H26" s="29"/>
      <c r="I26" s="29"/>
      <c r="J26" s="29"/>
      <c r="K26" s="57"/>
    </row>
    <row r="27" spans="1:11">
      <c r="A27" s="27">
        <v>34421</v>
      </c>
      <c r="B27" s="111">
        <v>16.125</v>
      </c>
      <c r="C27" s="111">
        <v>15.875</v>
      </c>
      <c r="D27" s="111">
        <f t="shared" si="0"/>
        <v>32</v>
      </c>
      <c r="E27" s="111">
        <f t="shared" si="1"/>
        <v>16</v>
      </c>
      <c r="F27" s="29"/>
      <c r="G27" s="29"/>
      <c r="H27" s="29"/>
      <c r="I27" s="29"/>
      <c r="J27" s="29"/>
      <c r="K27" s="57"/>
    </row>
    <row r="28" spans="1:11">
      <c r="A28" s="26">
        <v>34422</v>
      </c>
      <c r="B28" s="112">
        <v>16.25</v>
      </c>
      <c r="C28" s="112">
        <v>15.9375</v>
      </c>
      <c r="D28" s="112">
        <f t="shared" si="0"/>
        <v>32.1875</v>
      </c>
      <c r="E28" s="112">
        <f t="shared" si="1"/>
        <v>16.09375</v>
      </c>
      <c r="F28" s="28"/>
      <c r="G28" s="28"/>
      <c r="H28" s="28"/>
      <c r="I28" s="28"/>
      <c r="J28" s="28"/>
      <c r="K28" s="54"/>
    </row>
    <row r="29" spans="1:11">
      <c r="A29" s="26">
        <v>34423</v>
      </c>
      <c r="B29" s="112">
        <v>16.0625</v>
      </c>
      <c r="C29" s="112">
        <v>15.375</v>
      </c>
      <c r="D29" s="112">
        <f t="shared" si="0"/>
        <v>31.4375</v>
      </c>
      <c r="E29" s="112">
        <f t="shared" si="1"/>
        <v>15.71875</v>
      </c>
      <c r="F29" s="28"/>
      <c r="G29" s="28"/>
      <c r="H29" s="28"/>
      <c r="I29" s="28"/>
      <c r="J29" s="28"/>
      <c r="K29" s="54"/>
    </row>
    <row r="30" spans="1:11">
      <c r="A30" s="27">
        <v>34424</v>
      </c>
      <c r="B30" s="111">
        <v>15.4375</v>
      </c>
      <c r="C30" s="111">
        <v>14.75</v>
      </c>
      <c r="D30" s="111">
        <f t="shared" si="0"/>
        <v>30.1875</v>
      </c>
      <c r="E30" s="111">
        <f t="shared" si="1"/>
        <v>15.09375</v>
      </c>
      <c r="F30" s="29"/>
      <c r="G30" s="29"/>
      <c r="H30" s="29"/>
      <c r="I30" s="29"/>
      <c r="J30" s="29"/>
      <c r="K30" s="57"/>
    </row>
    <row r="31" spans="1:11">
      <c r="A31" s="27">
        <v>34428</v>
      </c>
      <c r="B31" s="111">
        <v>15.375</v>
      </c>
      <c r="C31" s="111">
        <v>14.75</v>
      </c>
      <c r="D31" s="111">
        <f t="shared" si="0"/>
        <v>30.125</v>
      </c>
      <c r="E31" s="111">
        <f t="shared" si="1"/>
        <v>15.0625</v>
      </c>
      <c r="F31" s="29"/>
      <c r="G31" s="29"/>
      <c r="H31" s="29"/>
      <c r="I31" s="29"/>
      <c r="J31" s="29"/>
      <c r="K31" s="57"/>
    </row>
    <row r="32" spans="1:11">
      <c r="A32" s="26">
        <v>34429</v>
      </c>
      <c r="B32" s="112">
        <v>15.625</v>
      </c>
      <c r="C32" s="112">
        <v>15.3125</v>
      </c>
      <c r="D32" s="112">
        <f t="shared" si="0"/>
        <v>30.9375</v>
      </c>
      <c r="E32" s="112">
        <f t="shared" si="1"/>
        <v>15.46875</v>
      </c>
      <c r="F32" s="28"/>
      <c r="G32" s="28"/>
      <c r="H32" s="28"/>
      <c r="I32" s="28"/>
      <c r="J32" s="28"/>
      <c r="K32" s="54"/>
    </row>
    <row r="33" spans="1:11">
      <c r="A33" s="26">
        <v>34430</v>
      </c>
      <c r="B33" s="112">
        <v>15.625</v>
      </c>
      <c r="C33" s="112">
        <v>15.4375</v>
      </c>
      <c r="D33" s="112">
        <f t="shared" si="0"/>
        <v>31.0625</v>
      </c>
      <c r="E33" s="112">
        <f t="shared" si="1"/>
        <v>15.53125</v>
      </c>
      <c r="F33" s="28"/>
      <c r="G33" s="28"/>
      <c r="H33" s="28"/>
      <c r="I33" s="28"/>
      <c r="J33" s="28"/>
      <c r="K33" s="54"/>
    </row>
    <row r="34" spans="1:11">
      <c r="A34" s="27">
        <v>34431</v>
      </c>
      <c r="B34" s="111">
        <v>15.875</v>
      </c>
      <c r="C34" s="111">
        <v>15.5</v>
      </c>
      <c r="D34" s="111">
        <f t="shared" si="0"/>
        <v>31.375</v>
      </c>
      <c r="E34" s="111">
        <f t="shared" si="1"/>
        <v>15.6875</v>
      </c>
      <c r="F34" s="29"/>
      <c r="G34" s="29"/>
      <c r="H34" s="29"/>
      <c r="I34" s="29"/>
      <c r="J34" s="29"/>
      <c r="K34" s="57"/>
    </row>
    <row r="35" spans="1:11">
      <c r="A35" s="27">
        <v>34432</v>
      </c>
      <c r="B35" s="111">
        <v>16.0625</v>
      </c>
      <c r="C35" s="111">
        <v>15.75</v>
      </c>
      <c r="D35" s="111">
        <f t="shared" si="0"/>
        <v>31.8125</v>
      </c>
      <c r="E35" s="111">
        <f t="shared" si="1"/>
        <v>15.90625</v>
      </c>
      <c r="F35" s="29"/>
      <c r="G35" s="29"/>
      <c r="H35" s="29"/>
      <c r="I35" s="29"/>
      <c r="J35" s="29"/>
      <c r="K35" s="57"/>
    </row>
    <row r="36" spans="1:11">
      <c r="A36" s="26">
        <v>34435</v>
      </c>
      <c r="B36" s="112">
        <v>16.5625</v>
      </c>
      <c r="C36" s="112">
        <v>15.75</v>
      </c>
      <c r="D36" s="112">
        <f t="shared" si="0"/>
        <v>32.3125</v>
      </c>
      <c r="E36" s="112">
        <f t="shared" si="1"/>
        <v>16.15625</v>
      </c>
      <c r="F36" s="28"/>
      <c r="G36" s="28"/>
      <c r="H36" s="28"/>
      <c r="I36" s="28"/>
      <c r="J36" s="28"/>
      <c r="K36" s="54"/>
    </row>
    <row r="37" spans="1:11">
      <c r="A37" s="26">
        <v>34436</v>
      </c>
      <c r="B37" s="112">
        <v>16.625</v>
      </c>
      <c r="C37" s="112">
        <v>16.3125</v>
      </c>
      <c r="D37" s="112">
        <f t="shared" si="0"/>
        <v>32.9375</v>
      </c>
      <c r="E37" s="112">
        <f t="shared" si="1"/>
        <v>16.46875</v>
      </c>
      <c r="F37" s="28"/>
      <c r="G37" s="28"/>
      <c r="H37" s="28"/>
      <c r="I37" s="28"/>
      <c r="J37" s="28"/>
      <c r="K37" s="54"/>
    </row>
    <row r="38" spans="1:11">
      <c r="A38" s="27">
        <v>34437</v>
      </c>
      <c r="B38" s="111">
        <v>16.6875</v>
      </c>
      <c r="C38" s="111">
        <v>16.375</v>
      </c>
      <c r="D38" s="111">
        <f t="shared" si="0"/>
        <v>33.0625</v>
      </c>
      <c r="E38" s="111">
        <f t="shared" si="1"/>
        <v>16.53125</v>
      </c>
      <c r="F38" s="29"/>
      <c r="G38" s="29"/>
      <c r="H38" s="29"/>
      <c r="I38" s="29"/>
      <c r="J38" s="29"/>
      <c r="K38" s="57"/>
    </row>
    <row r="39" spans="1:11">
      <c r="A39" s="27">
        <v>34438</v>
      </c>
      <c r="B39" s="111">
        <v>16.5</v>
      </c>
      <c r="C39" s="111">
        <v>16.1875</v>
      </c>
      <c r="D39" s="111">
        <f t="shared" si="0"/>
        <v>32.6875</v>
      </c>
      <c r="E39" s="111">
        <f t="shared" si="1"/>
        <v>16.34375</v>
      </c>
      <c r="F39" s="29"/>
      <c r="G39" s="29"/>
      <c r="H39" s="29"/>
      <c r="I39" s="29"/>
      <c r="J39" s="29"/>
      <c r="K39" s="57"/>
    </row>
    <row r="40" spans="1:11">
      <c r="A40" s="26">
        <v>34439</v>
      </c>
      <c r="B40" s="112">
        <v>16.4375</v>
      </c>
      <c r="C40" s="112">
        <v>16.125</v>
      </c>
      <c r="D40" s="112">
        <f t="shared" si="0"/>
        <v>32.5625</v>
      </c>
      <c r="E40" s="112">
        <f t="shared" si="1"/>
        <v>16.28125</v>
      </c>
      <c r="F40" s="28"/>
      <c r="G40" s="28"/>
      <c r="H40" s="28"/>
      <c r="I40" s="28"/>
      <c r="J40" s="28"/>
      <c r="K40" s="54"/>
    </row>
    <row r="41" spans="1:11">
      <c r="A41" s="26">
        <v>34442</v>
      </c>
      <c r="B41" s="112">
        <v>16.375</v>
      </c>
      <c r="C41" s="112">
        <v>16.0625</v>
      </c>
      <c r="D41" s="112">
        <f t="shared" si="0"/>
        <v>32.4375</v>
      </c>
      <c r="E41" s="112">
        <f t="shared" si="1"/>
        <v>16.21875</v>
      </c>
      <c r="F41" s="28"/>
      <c r="G41" s="28"/>
      <c r="H41" s="28"/>
      <c r="I41" s="28"/>
      <c r="J41" s="28"/>
      <c r="K41" s="54"/>
    </row>
    <row r="42" spans="1:11">
      <c r="A42" s="27">
        <v>34443</v>
      </c>
      <c r="B42" s="111">
        <v>16.1875</v>
      </c>
      <c r="C42" s="111">
        <v>16.0625</v>
      </c>
      <c r="D42" s="111">
        <f t="shared" si="0"/>
        <v>32.25</v>
      </c>
      <c r="E42" s="111">
        <f t="shared" si="1"/>
        <v>16.125</v>
      </c>
      <c r="F42" s="29"/>
      <c r="G42" s="29"/>
      <c r="H42" s="29"/>
      <c r="I42" s="29"/>
      <c r="J42" s="29"/>
      <c r="K42" s="57"/>
    </row>
    <row r="43" spans="1:11">
      <c r="A43" s="27">
        <v>34444</v>
      </c>
      <c r="B43" s="111">
        <v>16.1875</v>
      </c>
      <c r="C43" s="111">
        <v>15.8125</v>
      </c>
      <c r="D43" s="111">
        <f t="shared" si="0"/>
        <v>32</v>
      </c>
      <c r="E43" s="111">
        <f t="shared" si="1"/>
        <v>16</v>
      </c>
      <c r="F43" s="29"/>
      <c r="G43" s="29"/>
      <c r="H43" s="29"/>
      <c r="I43" s="29"/>
      <c r="J43" s="29"/>
      <c r="K43" s="57"/>
    </row>
    <row r="44" spans="1:11">
      <c r="A44" s="26">
        <v>34445</v>
      </c>
      <c r="B44" s="112">
        <v>16.0625</v>
      </c>
      <c r="C44" s="112">
        <v>15.875</v>
      </c>
      <c r="D44" s="112">
        <f t="shared" si="0"/>
        <v>31.9375</v>
      </c>
      <c r="E44" s="112">
        <f t="shared" si="1"/>
        <v>15.96875</v>
      </c>
      <c r="F44" s="28"/>
      <c r="G44" s="28"/>
      <c r="H44" s="28"/>
      <c r="I44" s="28"/>
      <c r="J44" s="28"/>
      <c r="K44" s="54"/>
    </row>
    <row r="45" spans="1:11">
      <c r="A45" s="26">
        <v>34446</v>
      </c>
      <c r="B45" s="112">
        <v>16.125</v>
      </c>
      <c r="C45" s="112">
        <v>15.9375</v>
      </c>
      <c r="D45" s="112">
        <f t="shared" si="0"/>
        <v>32.0625</v>
      </c>
      <c r="E45" s="112">
        <f t="shared" si="1"/>
        <v>16.03125</v>
      </c>
      <c r="F45" s="28"/>
      <c r="G45" s="28"/>
      <c r="H45" s="28"/>
      <c r="I45" s="28"/>
      <c r="J45" s="28"/>
      <c r="K45" s="54"/>
    </row>
    <row r="46" spans="1:11">
      <c r="A46" s="27">
        <v>34449</v>
      </c>
      <c r="B46" s="111">
        <v>16.0625</v>
      </c>
      <c r="C46" s="111">
        <v>15.75</v>
      </c>
      <c r="D46" s="111">
        <f t="shared" si="0"/>
        <v>31.8125</v>
      </c>
      <c r="E46" s="111">
        <f t="shared" si="1"/>
        <v>15.90625</v>
      </c>
      <c r="F46" s="29"/>
      <c r="G46" s="29"/>
      <c r="H46" s="29"/>
      <c r="I46" s="29"/>
      <c r="J46" s="29"/>
      <c r="K46" s="57"/>
    </row>
    <row r="47" spans="1:11">
      <c r="A47" s="27">
        <v>34450</v>
      </c>
      <c r="B47" s="111">
        <v>15.875</v>
      </c>
      <c r="C47" s="111">
        <v>15.5625</v>
      </c>
      <c r="D47" s="111">
        <f t="shared" si="0"/>
        <v>31.4375</v>
      </c>
      <c r="E47" s="111">
        <f t="shared" si="1"/>
        <v>15.71875</v>
      </c>
      <c r="F47" s="29"/>
      <c r="G47" s="29"/>
      <c r="H47" s="29"/>
      <c r="I47" s="29"/>
      <c r="J47" s="29"/>
      <c r="K47" s="57"/>
    </row>
    <row r="48" spans="1:11">
      <c r="A48" s="26">
        <v>34452</v>
      </c>
      <c r="B48" s="112">
        <v>15.625</v>
      </c>
      <c r="C48" s="112">
        <v>15.375</v>
      </c>
      <c r="D48" s="112">
        <f t="shared" si="0"/>
        <v>31</v>
      </c>
      <c r="E48" s="112">
        <f t="shared" si="1"/>
        <v>15.5</v>
      </c>
      <c r="F48" s="28"/>
      <c r="G48" s="28"/>
      <c r="H48" s="28"/>
      <c r="I48" s="28"/>
      <c r="J48" s="28"/>
      <c r="K48" s="54"/>
    </row>
    <row r="49" spans="1:11">
      <c r="A49" s="26">
        <v>34453</v>
      </c>
      <c r="B49" s="112">
        <v>15.8125</v>
      </c>
      <c r="C49" s="112">
        <v>15.5</v>
      </c>
      <c r="D49" s="112">
        <f t="shared" si="0"/>
        <v>31.3125</v>
      </c>
      <c r="E49" s="112">
        <f t="shared" si="1"/>
        <v>15.65625</v>
      </c>
      <c r="F49" s="28"/>
      <c r="G49" s="28"/>
      <c r="H49" s="28"/>
      <c r="I49" s="28"/>
      <c r="J49" s="28"/>
      <c r="K49" s="54"/>
    </row>
    <row r="50" spans="1:11">
      <c r="A50" s="71"/>
      <c r="B50" s="29"/>
      <c r="C50" s="29"/>
      <c r="D50" s="29"/>
      <c r="E50" s="29"/>
      <c r="F50" s="29"/>
      <c r="G50" s="29"/>
      <c r="H50" s="29"/>
      <c r="I50" s="29"/>
      <c r="J50" s="29"/>
      <c r="K50" s="57"/>
    </row>
    <row r="52" spans="1:11" ht="15">
      <c r="A52" s="241" t="s">
        <v>399</v>
      </c>
    </row>
    <row r="53" spans="1:11" ht="15">
      <c r="A53" s="241" t="s">
        <v>400</v>
      </c>
    </row>
  </sheetData>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1267" r:id="rId3" name="Button 3">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11268"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1269"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1270"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enableFormatConditionsCalculation="0"/>
  <dimension ref="A1:N81"/>
  <sheetViews>
    <sheetView workbookViewId="0"/>
  </sheetViews>
  <sheetFormatPr baseColWidth="10" defaultColWidth="8.83203125" defaultRowHeight="12" x14ac:dyDescent="0"/>
  <cols>
    <col min="1" max="1" width="12.6640625" customWidth="1"/>
    <col min="2" max="2" width="9.5" customWidth="1"/>
    <col min="3" max="3" width="11.83203125" customWidth="1"/>
    <col min="4" max="5" width="13"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246</v>
      </c>
      <c r="C3" s="21"/>
      <c r="D3" s="21"/>
      <c r="E3" s="21"/>
      <c r="F3" s="21"/>
      <c r="G3" s="21"/>
      <c r="H3" s="21"/>
      <c r="I3" s="21"/>
      <c r="J3" s="21"/>
      <c r="K3" s="21"/>
    </row>
    <row r="4" spans="1:14" ht="45" customHeight="1">
      <c r="A4" s="118" t="s">
        <v>779</v>
      </c>
      <c r="B4" s="446" t="s">
        <v>1318</v>
      </c>
      <c r="C4" s="446"/>
      <c r="D4" s="446"/>
      <c r="E4" s="446"/>
      <c r="F4" s="446"/>
      <c r="G4" s="446"/>
      <c r="H4" s="446"/>
      <c r="I4" s="446"/>
      <c r="J4" s="446"/>
      <c r="K4" s="446"/>
    </row>
    <row r="5" spans="1:14" ht="30" customHeight="1">
      <c r="A5" s="21"/>
      <c r="B5" s="21"/>
      <c r="C5" s="21"/>
      <c r="D5" s="21"/>
      <c r="E5" s="21"/>
      <c r="F5" s="21"/>
      <c r="G5" s="21"/>
      <c r="H5" s="21"/>
      <c r="I5" s="21"/>
      <c r="J5" s="21"/>
      <c r="K5" s="21"/>
    </row>
    <row r="6" spans="1:14" ht="36">
      <c r="A6" s="22" t="s">
        <v>1090</v>
      </c>
      <c r="B6" s="22" t="s">
        <v>244</v>
      </c>
      <c r="C6" s="22" t="s">
        <v>245</v>
      </c>
      <c r="D6" s="31" t="s">
        <v>1202</v>
      </c>
      <c r="E6" s="31" t="s">
        <v>569</v>
      </c>
      <c r="F6" s="22"/>
      <c r="G6" s="22"/>
      <c r="H6" s="22"/>
      <c r="I6" s="22"/>
      <c r="J6" s="22"/>
      <c r="K6" s="22"/>
    </row>
    <row r="7" spans="1:14">
      <c r="A7" s="26">
        <v>35797</v>
      </c>
      <c r="B7" s="28">
        <v>195</v>
      </c>
      <c r="C7" s="91">
        <v>74.5</v>
      </c>
      <c r="D7" s="91">
        <f>B7-C7</f>
        <v>120.5</v>
      </c>
      <c r="E7" s="41">
        <f>D7/B7 * 100</f>
        <v>61.794871794871796</v>
      </c>
      <c r="F7" s="92"/>
      <c r="G7" s="28"/>
      <c r="H7" s="28"/>
      <c r="I7" s="28"/>
      <c r="J7" s="28"/>
      <c r="K7" s="54"/>
    </row>
    <row r="8" spans="1:14">
      <c r="A8" s="26">
        <v>35804</v>
      </c>
      <c r="B8" s="28">
        <v>310</v>
      </c>
      <c r="C8" s="91">
        <v>154.69999999999999</v>
      </c>
      <c r="D8" s="91">
        <f t="shared" ref="D8:D59" si="0">B8-C8</f>
        <v>155.30000000000001</v>
      </c>
      <c r="E8" s="41">
        <f t="shared" ref="E8:E59" si="1">D8/B8 * 100</f>
        <v>50.096774193548384</v>
      </c>
      <c r="F8" s="92"/>
      <c r="G8" s="28"/>
      <c r="H8" s="28"/>
      <c r="I8" s="28"/>
      <c r="J8" s="28"/>
      <c r="K8" s="54"/>
    </row>
    <row r="9" spans="1:14">
      <c r="A9" s="27">
        <v>35811</v>
      </c>
      <c r="B9" s="29">
        <v>324</v>
      </c>
      <c r="C9" s="90">
        <v>142.4</v>
      </c>
      <c r="D9" s="90">
        <f t="shared" si="0"/>
        <v>181.6</v>
      </c>
      <c r="E9" s="45">
        <f t="shared" si="1"/>
        <v>56.049382716049379</v>
      </c>
      <c r="F9" s="93"/>
      <c r="G9" s="29"/>
      <c r="H9" s="29"/>
      <c r="I9" s="29"/>
      <c r="J9" s="29"/>
      <c r="K9" s="57"/>
    </row>
    <row r="10" spans="1:14">
      <c r="A10" s="27">
        <v>35818</v>
      </c>
      <c r="B10" s="29">
        <v>263</v>
      </c>
      <c r="C10" s="90">
        <v>114.1</v>
      </c>
      <c r="D10" s="90">
        <f t="shared" si="0"/>
        <v>148.9</v>
      </c>
      <c r="E10" s="45">
        <f t="shared" si="1"/>
        <v>56.615969581749049</v>
      </c>
      <c r="F10" s="93"/>
      <c r="G10" s="29"/>
      <c r="H10" s="29"/>
      <c r="I10" s="29"/>
      <c r="J10" s="29"/>
      <c r="K10" s="57"/>
    </row>
    <row r="11" spans="1:14">
      <c r="A11" s="26">
        <v>35825</v>
      </c>
      <c r="B11" s="28">
        <v>337</v>
      </c>
      <c r="C11" s="91">
        <v>137.6</v>
      </c>
      <c r="D11" s="91">
        <f t="shared" si="0"/>
        <v>199.4</v>
      </c>
      <c r="E11" s="41">
        <f t="shared" si="1"/>
        <v>59.169139465875375</v>
      </c>
      <c r="F11" s="92"/>
      <c r="G11" s="28"/>
      <c r="H11" s="28"/>
      <c r="I11" s="28"/>
      <c r="J11" s="28"/>
      <c r="K11" s="54"/>
    </row>
    <row r="12" spans="1:14">
      <c r="A12" s="26">
        <v>35832</v>
      </c>
      <c r="B12" s="28">
        <v>398</v>
      </c>
      <c r="C12" s="91">
        <v>162.69999999999999</v>
      </c>
      <c r="D12" s="91">
        <f t="shared" si="0"/>
        <v>235.3</v>
      </c>
      <c r="E12" s="41">
        <f t="shared" si="1"/>
        <v>59.120603015075382</v>
      </c>
      <c r="F12" s="92"/>
      <c r="G12" s="28"/>
      <c r="H12" s="28"/>
      <c r="I12" s="28"/>
      <c r="J12" s="28"/>
      <c r="K12" s="54"/>
    </row>
    <row r="13" spans="1:14">
      <c r="A13" s="27">
        <v>35839</v>
      </c>
      <c r="B13" s="29">
        <v>350</v>
      </c>
      <c r="C13" s="90">
        <v>149.30000000000001</v>
      </c>
      <c r="D13" s="90">
        <f t="shared" si="0"/>
        <v>200.7</v>
      </c>
      <c r="E13" s="45">
        <f t="shared" si="1"/>
        <v>57.342857142857142</v>
      </c>
      <c r="F13" s="93"/>
      <c r="G13" s="29"/>
      <c r="H13" s="29"/>
      <c r="I13" s="29"/>
      <c r="J13" s="29"/>
      <c r="K13" s="57"/>
    </row>
    <row r="14" spans="1:14">
      <c r="A14" s="27">
        <v>35846</v>
      </c>
      <c r="B14" s="29">
        <v>256</v>
      </c>
      <c r="C14" s="90">
        <v>110.8</v>
      </c>
      <c r="D14" s="90">
        <f t="shared" si="0"/>
        <v>145.19999999999999</v>
      </c>
      <c r="E14" s="45">
        <f t="shared" si="1"/>
        <v>56.718749999999993</v>
      </c>
      <c r="F14" s="93"/>
      <c r="G14" s="29"/>
      <c r="H14" s="29"/>
      <c r="I14" s="29"/>
      <c r="J14" s="29"/>
      <c r="K14" s="57"/>
    </row>
    <row r="15" spans="1:14">
      <c r="A15" s="26">
        <v>35853</v>
      </c>
      <c r="B15" s="28">
        <v>312</v>
      </c>
      <c r="C15" s="91">
        <v>128.80000000000001</v>
      </c>
      <c r="D15" s="91">
        <f t="shared" si="0"/>
        <v>183.2</v>
      </c>
      <c r="E15" s="41">
        <f t="shared" si="1"/>
        <v>58.717948717948708</v>
      </c>
      <c r="F15" s="92"/>
      <c r="G15" s="28"/>
      <c r="H15" s="28"/>
      <c r="I15" s="28"/>
      <c r="J15" s="28"/>
      <c r="K15" s="54"/>
    </row>
    <row r="16" spans="1:14">
      <c r="A16" s="26">
        <v>35860</v>
      </c>
      <c r="B16" s="28">
        <v>340</v>
      </c>
      <c r="C16" s="91">
        <v>153.6</v>
      </c>
      <c r="D16" s="91">
        <f t="shared" si="0"/>
        <v>186.4</v>
      </c>
      <c r="E16" s="41">
        <f t="shared" si="1"/>
        <v>54.823529411764703</v>
      </c>
      <c r="F16" s="92"/>
      <c r="G16" s="28"/>
      <c r="H16" s="28"/>
      <c r="I16" s="28"/>
      <c r="J16" s="28"/>
      <c r="K16" s="54"/>
    </row>
    <row r="17" spans="1:11">
      <c r="A17" s="27">
        <v>35867</v>
      </c>
      <c r="B17" s="29">
        <v>338</v>
      </c>
      <c r="C17" s="90">
        <v>148.80000000000001</v>
      </c>
      <c r="D17" s="90">
        <f t="shared" si="0"/>
        <v>189.2</v>
      </c>
      <c r="E17" s="45">
        <f t="shared" si="1"/>
        <v>55.976331360946737</v>
      </c>
      <c r="F17" s="93"/>
      <c r="G17" s="29"/>
      <c r="H17" s="29"/>
      <c r="I17" s="29"/>
      <c r="J17" s="29"/>
      <c r="K17" s="57"/>
    </row>
    <row r="18" spans="1:11">
      <c r="A18" s="27">
        <v>35874</v>
      </c>
      <c r="B18" s="29">
        <v>343</v>
      </c>
      <c r="C18" s="90">
        <v>149.30000000000001</v>
      </c>
      <c r="D18" s="90">
        <f t="shared" si="0"/>
        <v>193.7</v>
      </c>
      <c r="E18" s="45">
        <f t="shared" si="1"/>
        <v>56.472303206997076</v>
      </c>
      <c r="F18" s="93"/>
      <c r="G18" s="29"/>
      <c r="H18" s="29"/>
      <c r="I18" s="29"/>
      <c r="J18" s="29"/>
      <c r="K18" s="57"/>
    </row>
    <row r="19" spans="1:11">
      <c r="A19" s="26">
        <v>35881</v>
      </c>
      <c r="B19" s="28">
        <v>325</v>
      </c>
      <c r="C19" s="91">
        <v>141.69999999999999</v>
      </c>
      <c r="D19" s="91">
        <f t="shared" si="0"/>
        <v>183.3</v>
      </c>
      <c r="E19" s="41">
        <f t="shared" si="1"/>
        <v>56.400000000000006</v>
      </c>
      <c r="F19" s="92"/>
      <c r="G19" s="28"/>
      <c r="H19" s="28"/>
      <c r="I19" s="28"/>
      <c r="J19" s="28"/>
      <c r="K19" s="54"/>
    </row>
    <row r="20" spans="1:11">
      <c r="A20" s="26">
        <v>35888</v>
      </c>
      <c r="B20" s="28">
        <v>349</v>
      </c>
      <c r="C20" s="91">
        <v>145.19999999999999</v>
      </c>
      <c r="D20" s="91">
        <f t="shared" si="0"/>
        <v>203.8</v>
      </c>
      <c r="E20" s="41">
        <f t="shared" si="1"/>
        <v>58.395415472779376</v>
      </c>
      <c r="F20" s="92"/>
      <c r="G20" s="28"/>
      <c r="H20" s="28"/>
      <c r="I20" s="28"/>
      <c r="J20" s="28"/>
      <c r="K20" s="54"/>
    </row>
    <row r="21" spans="1:11">
      <c r="A21" s="27">
        <v>35894</v>
      </c>
      <c r="B21" s="29">
        <v>261</v>
      </c>
      <c r="C21" s="90">
        <v>121.3</v>
      </c>
      <c r="D21" s="90">
        <f t="shared" si="0"/>
        <v>139.69999999999999</v>
      </c>
      <c r="E21" s="45">
        <f t="shared" si="1"/>
        <v>53.524904214559385</v>
      </c>
      <c r="F21" s="93"/>
      <c r="G21" s="29"/>
      <c r="H21" s="29"/>
      <c r="I21" s="29"/>
      <c r="J21" s="29"/>
      <c r="K21" s="57"/>
    </row>
    <row r="22" spans="1:11">
      <c r="A22" s="27">
        <v>35902</v>
      </c>
      <c r="B22" s="29">
        <v>317</v>
      </c>
      <c r="C22" s="90">
        <v>144.4</v>
      </c>
      <c r="D22" s="90">
        <f t="shared" si="0"/>
        <v>172.6</v>
      </c>
      <c r="E22" s="45">
        <f t="shared" si="1"/>
        <v>54.447949526813879</v>
      </c>
      <c r="F22" s="93"/>
      <c r="G22" s="29"/>
      <c r="H22" s="29"/>
      <c r="I22" s="29"/>
      <c r="J22" s="29"/>
      <c r="K22" s="57"/>
    </row>
    <row r="23" spans="1:11">
      <c r="A23" s="26">
        <v>35909</v>
      </c>
      <c r="B23" s="28">
        <v>325</v>
      </c>
      <c r="C23" s="91">
        <v>146.1</v>
      </c>
      <c r="D23" s="91">
        <f t="shared" si="0"/>
        <v>178.9</v>
      </c>
      <c r="E23" s="41">
        <f t="shared" si="1"/>
        <v>55.046153846153842</v>
      </c>
      <c r="F23" s="92"/>
      <c r="G23" s="28"/>
      <c r="H23" s="28"/>
      <c r="I23" s="28"/>
      <c r="J23" s="28"/>
      <c r="K23" s="54"/>
    </row>
    <row r="24" spans="1:11">
      <c r="A24" s="26">
        <v>35916</v>
      </c>
      <c r="B24" s="28">
        <v>340</v>
      </c>
      <c r="C24" s="91">
        <v>140.69999999999999</v>
      </c>
      <c r="D24" s="91">
        <f t="shared" si="0"/>
        <v>199.3</v>
      </c>
      <c r="E24" s="41">
        <f t="shared" si="1"/>
        <v>58.617647058823529</v>
      </c>
      <c r="F24" s="92"/>
      <c r="G24" s="28"/>
      <c r="H24" s="28"/>
      <c r="I24" s="28"/>
      <c r="J24" s="28"/>
      <c r="K24" s="54"/>
    </row>
    <row r="25" spans="1:11">
      <c r="A25" s="27">
        <v>35923</v>
      </c>
      <c r="B25" s="29">
        <v>297</v>
      </c>
      <c r="C25" s="90">
        <v>136.69999999999999</v>
      </c>
      <c r="D25" s="90">
        <f t="shared" si="0"/>
        <v>160.30000000000001</v>
      </c>
      <c r="E25" s="45">
        <f t="shared" si="1"/>
        <v>53.973063973063972</v>
      </c>
      <c r="F25" s="93"/>
      <c r="G25" s="29"/>
      <c r="H25" s="29"/>
      <c r="I25" s="29"/>
      <c r="J25" s="29"/>
      <c r="K25" s="57"/>
    </row>
    <row r="26" spans="1:11">
      <c r="A26" s="27">
        <v>35930</v>
      </c>
      <c r="B26" s="29">
        <v>292</v>
      </c>
      <c r="C26" s="90">
        <v>136.1</v>
      </c>
      <c r="D26" s="90">
        <f t="shared" si="0"/>
        <v>155.9</v>
      </c>
      <c r="E26" s="45">
        <f t="shared" si="1"/>
        <v>53.390410958904113</v>
      </c>
      <c r="F26" s="93"/>
      <c r="G26" s="29"/>
      <c r="H26" s="29"/>
      <c r="I26" s="29"/>
      <c r="J26" s="29"/>
      <c r="K26" s="57"/>
    </row>
    <row r="27" spans="1:11">
      <c r="A27" s="26">
        <v>35937</v>
      </c>
      <c r="B27" s="28">
        <v>263</v>
      </c>
      <c r="C27" s="91">
        <v>121.1</v>
      </c>
      <c r="D27" s="91">
        <f t="shared" si="0"/>
        <v>141.9</v>
      </c>
      <c r="E27" s="41">
        <f t="shared" si="1"/>
        <v>53.954372623574145</v>
      </c>
      <c r="F27" s="92"/>
      <c r="G27" s="28"/>
      <c r="H27" s="28"/>
      <c r="I27" s="28"/>
      <c r="J27" s="28"/>
      <c r="K27" s="54"/>
    </row>
    <row r="28" spans="1:11">
      <c r="A28" s="26">
        <v>35944</v>
      </c>
      <c r="B28" s="28">
        <v>228</v>
      </c>
      <c r="C28" s="91">
        <v>111.2</v>
      </c>
      <c r="D28" s="91">
        <f t="shared" si="0"/>
        <v>116.8</v>
      </c>
      <c r="E28" s="41">
        <f t="shared" si="1"/>
        <v>51.228070175438603</v>
      </c>
      <c r="F28" s="92"/>
      <c r="G28" s="28"/>
      <c r="H28" s="28"/>
      <c r="I28" s="28"/>
      <c r="J28" s="28"/>
      <c r="K28" s="54"/>
    </row>
    <row r="29" spans="1:11">
      <c r="A29" s="27">
        <v>35951</v>
      </c>
      <c r="B29" s="29">
        <v>305</v>
      </c>
      <c r="C29" s="90">
        <v>145.30000000000001</v>
      </c>
      <c r="D29" s="90">
        <f t="shared" si="0"/>
        <v>159.69999999999999</v>
      </c>
      <c r="E29" s="45">
        <f t="shared" si="1"/>
        <v>52.360655737704917</v>
      </c>
      <c r="F29" s="93"/>
      <c r="G29" s="29"/>
      <c r="H29" s="29"/>
      <c r="I29" s="29"/>
      <c r="J29" s="29"/>
      <c r="K29" s="57"/>
    </row>
    <row r="30" spans="1:11">
      <c r="A30" s="27">
        <v>35958</v>
      </c>
      <c r="B30" s="29">
        <v>331</v>
      </c>
      <c r="C30" s="90">
        <v>174.8</v>
      </c>
      <c r="D30" s="90">
        <f t="shared" si="0"/>
        <v>156.19999999999999</v>
      </c>
      <c r="E30" s="45">
        <f t="shared" si="1"/>
        <v>47.190332326283986</v>
      </c>
      <c r="F30" s="93"/>
      <c r="G30" s="29"/>
      <c r="H30" s="29"/>
      <c r="I30" s="29"/>
      <c r="J30" s="29"/>
      <c r="K30" s="57"/>
    </row>
    <row r="31" spans="1:11">
      <c r="A31" s="26">
        <v>35965</v>
      </c>
      <c r="B31" s="28">
        <v>335</v>
      </c>
      <c r="C31" s="91">
        <v>163.30000000000001</v>
      </c>
      <c r="D31" s="91">
        <f t="shared" si="0"/>
        <v>171.7</v>
      </c>
      <c r="E31" s="41">
        <f t="shared" si="1"/>
        <v>51.253731343283583</v>
      </c>
      <c r="F31" s="92"/>
      <c r="G31" s="28"/>
      <c r="H31" s="28"/>
      <c r="I31" s="28"/>
      <c r="J31" s="28"/>
      <c r="K31" s="54"/>
    </row>
    <row r="32" spans="1:11">
      <c r="A32" s="26">
        <v>35972</v>
      </c>
      <c r="B32" s="28">
        <v>349</v>
      </c>
      <c r="C32" s="91">
        <v>167.7</v>
      </c>
      <c r="D32" s="91">
        <f t="shared" si="0"/>
        <v>181.3</v>
      </c>
      <c r="E32" s="41">
        <f t="shared" si="1"/>
        <v>51.948424068767906</v>
      </c>
      <c r="F32" s="92"/>
      <c r="G32" s="28"/>
      <c r="H32" s="28"/>
      <c r="I32" s="28"/>
      <c r="J32" s="28"/>
      <c r="K32" s="54"/>
    </row>
    <row r="33" spans="1:11">
      <c r="A33" s="27">
        <v>35978</v>
      </c>
      <c r="B33" s="29">
        <v>291</v>
      </c>
      <c r="C33" s="90">
        <v>132.69999999999999</v>
      </c>
      <c r="D33" s="90">
        <f t="shared" si="0"/>
        <v>158.30000000000001</v>
      </c>
      <c r="E33" s="45">
        <f t="shared" si="1"/>
        <v>54.39862542955327</v>
      </c>
      <c r="F33" s="93"/>
      <c r="G33" s="29"/>
      <c r="H33" s="29"/>
      <c r="I33" s="29"/>
      <c r="J33" s="29"/>
      <c r="K33" s="57"/>
    </row>
    <row r="34" spans="1:11">
      <c r="A34" s="27">
        <v>35986</v>
      </c>
      <c r="B34" s="29">
        <v>361</v>
      </c>
      <c r="C34" s="90">
        <v>178.1</v>
      </c>
      <c r="D34" s="90">
        <f t="shared" si="0"/>
        <v>182.9</v>
      </c>
      <c r="E34" s="45">
        <f t="shared" si="1"/>
        <v>50.664819944598335</v>
      </c>
      <c r="F34" s="93"/>
      <c r="G34" s="29"/>
      <c r="H34" s="29"/>
      <c r="I34" s="29"/>
      <c r="J34" s="29"/>
      <c r="K34" s="57"/>
    </row>
    <row r="35" spans="1:11">
      <c r="A35" s="26">
        <v>35993</v>
      </c>
      <c r="B35" s="28">
        <v>338</v>
      </c>
      <c r="C35" s="91">
        <v>151.80000000000001</v>
      </c>
      <c r="D35" s="91">
        <f t="shared" si="0"/>
        <v>186.2</v>
      </c>
      <c r="E35" s="41">
        <f t="shared" si="1"/>
        <v>55.088757396449708</v>
      </c>
      <c r="F35" s="92"/>
      <c r="G35" s="28"/>
      <c r="H35" s="28"/>
      <c r="I35" s="28"/>
      <c r="J35" s="28"/>
      <c r="K35" s="54"/>
    </row>
    <row r="36" spans="1:11">
      <c r="A36" s="26">
        <v>36000</v>
      </c>
      <c r="B36" s="28">
        <v>308</v>
      </c>
      <c r="C36" s="91">
        <v>147.4</v>
      </c>
      <c r="D36" s="91">
        <f t="shared" si="0"/>
        <v>160.6</v>
      </c>
      <c r="E36" s="41">
        <f t="shared" si="1"/>
        <v>52.142857142857146</v>
      </c>
      <c r="F36" s="92"/>
      <c r="G36" s="28"/>
      <c r="H36" s="28"/>
      <c r="I36" s="28"/>
      <c r="J36" s="28"/>
      <c r="K36" s="54"/>
    </row>
    <row r="37" spans="1:11">
      <c r="A37" s="27">
        <v>36007</v>
      </c>
      <c r="B37" s="29">
        <v>317</v>
      </c>
      <c r="C37" s="90">
        <v>142.5</v>
      </c>
      <c r="D37" s="90">
        <f t="shared" si="0"/>
        <v>174.5</v>
      </c>
      <c r="E37" s="45">
        <f t="shared" si="1"/>
        <v>55.047318611987386</v>
      </c>
      <c r="F37" s="93"/>
      <c r="G37" s="29"/>
      <c r="H37" s="29"/>
      <c r="I37" s="29"/>
      <c r="J37" s="29"/>
      <c r="K37" s="57"/>
    </row>
    <row r="38" spans="1:11">
      <c r="A38" s="27">
        <v>36014</v>
      </c>
      <c r="B38" s="29">
        <v>376</v>
      </c>
      <c r="C38" s="90">
        <v>175.8</v>
      </c>
      <c r="D38" s="90">
        <f t="shared" si="0"/>
        <v>200.2</v>
      </c>
      <c r="E38" s="45">
        <f t="shared" si="1"/>
        <v>53.244680851063833</v>
      </c>
      <c r="F38" s="93"/>
      <c r="G38" s="29"/>
      <c r="H38" s="29"/>
      <c r="I38" s="29"/>
      <c r="J38" s="29"/>
      <c r="K38" s="57"/>
    </row>
    <row r="39" spans="1:11">
      <c r="A39" s="26">
        <v>36021</v>
      </c>
      <c r="B39" s="28">
        <v>346</v>
      </c>
      <c r="C39" s="91">
        <v>173.5</v>
      </c>
      <c r="D39" s="91">
        <f t="shared" si="0"/>
        <v>172.5</v>
      </c>
      <c r="E39" s="41">
        <f t="shared" si="1"/>
        <v>49.855491329479769</v>
      </c>
      <c r="F39" s="92"/>
      <c r="G39" s="28"/>
      <c r="H39" s="28"/>
      <c r="I39" s="28"/>
      <c r="J39" s="28"/>
      <c r="K39" s="54"/>
    </row>
    <row r="40" spans="1:11">
      <c r="A40" s="26">
        <v>36028</v>
      </c>
      <c r="B40" s="28">
        <v>346</v>
      </c>
      <c r="C40" s="91">
        <v>163.80000000000001</v>
      </c>
      <c r="D40" s="91">
        <f t="shared" si="0"/>
        <v>182.2</v>
      </c>
      <c r="E40" s="41">
        <f t="shared" si="1"/>
        <v>52.658959537572244</v>
      </c>
      <c r="F40" s="92"/>
      <c r="G40" s="28"/>
      <c r="H40" s="28"/>
      <c r="I40" s="28"/>
      <c r="J40" s="28"/>
      <c r="K40" s="54"/>
    </row>
    <row r="41" spans="1:11">
      <c r="A41" s="27">
        <v>36035</v>
      </c>
      <c r="B41" s="29">
        <v>378</v>
      </c>
      <c r="C41" s="90">
        <v>198.5</v>
      </c>
      <c r="D41" s="90">
        <f t="shared" si="0"/>
        <v>179.5</v>
      </c>
      <c r="E41" s="45">
        <f t="shared" si="1"/>
        <v>47.486772486772487</v>
      </c>
      <c r="F41" s="93"/>
      <c r="G41" s="29"/>
      <c r="H41" s="29"/>
      <c r="I41" s="29"/>
      <c r="J41" s="29"/>
      <c r="K41" s="57"/>
    </row>
    <row r="42" spans="1:11">
      <c r="A42" s="27">
        <v>36042</v>
      </c>
      <c r="B42" s="29">
        <v>464</v>
      </c>
      <c r="C42" s="90">
        <v>227.4</v>
      </c>
      <c r="D42" s="90">
        <f t="shared" si="0"/>
        <v>236.6</v>
      </c>
      <c r="E42" s="45">
        <f t="shared" si="1"/>
        <v>50.991379310344833</v>
      </c>
      <c r="F42" s="93"/>
      <c r="G42" s="29"/>
      <c r="H42" s="29"/>
      <c r="I42" s="29"/>
      <c r="J42" s="29"/>
      <c r="K42" s="57"/>
    </row>
    <row r="43" spans="1:11">
      <c r="A43" s="26">
        <v>36049</v>
      </c>
      <c r="B43" s="28">
        <v>360</v>
      </c>
      <c r="C43" s="91">
        <v>163.19999999999999</v>
      </c>
      <c r="D43" s="91">
        <f t="shared" si="0"/>
        <v>196.8</v>
      </c>
      <c r="E43" s="41">
        <f t="shared" si="1"/>
        <v>54.666666666666671</v>
      </c>
      <c r="F43" s="92"/>
      <c r="G43" s="28"/>
      <c r="H43" s="28"/>
      <c r="I43" s="28"/>
      <c r="J43" s="28"/>
      <c r="K43" s="54"/>
    </row>
    <row r="44" spans="1:11">
      <c r="A44" s="26">
        <v>36056</v>
      </c>
      <c r="B44" s="28">
        <v>419</v>
      </c>
      <c r="C44" s="91">
        <v>190.8</v>
      </c>
      <c r="D44" s="91">
        <f t="shared" si="0"/>
        <v>228.2</v>
      </c>
      <c r="E44" s="41">
        <f t="shared" si="1"/>
        <v>54.463007159904528</v>
      </c>
      <c r="F44" s="92"/>
      <c r="G44" s="28"/>
      <c r="H44" s="28"/>
      <c r="I44" s="28"/>
      <c r="J44" s="28"/>
      <c r="K44" s="54"/>
    </row>
    <row r="45" spans="1:11">
      <c r="A45" s="27">
        <v>36063</v>
      </c>
      <c r="B45" s="29">
        <v>406</v>
      </c>
      <c r="C45" s="90">
        <v>181.6</v>
      </c>
      <c r="D45" s="90">
        <f t="shared" si="0"/>
        <v>224.4</v>
      </c>
      <c r="E45" s="45">
        <f t="shared" si="1"/>
        <v>55.270935960591139</v>
      </c>
      <c r="F45" s="93"/>
      <c r="G45" s="29"/>
      <c r="H45" s="29"/>
      <c r="I45" s="29"/>
      <c r="J45" s="29"/>
      <c r="K45" s="57"/>
    </row>
    <row r="46" spans="1:11">
      <c r="A46" s="27">
        <v>36070</v>
      </c>
      <c r="B46" s="29">
        <v>395</v>
      </c>
      <c r="C46" s="90">
        <v>193.6</v>
      </c>
      <c r="D46" s="90">
        <f t="shared" si="0"/>
        <v>201.4</v>
      </c>
      <c r="E46" s="45">
        <f t="shared" si="1"/>
        <v>50.987341772151893</v>
      </c>
      <c r="F46" s="93"/>
      <c r="G46" s="29"/>
      <c r="H46" s="29"/>
      <c r="I46" s="29"/>
      <c r="J46" s="29"/>
      <c r="K46" s="57"/>
    </row>
    <row r="47" spans="1:11">
      <c r="A47" s="26">
        <v>36077</v>
      </c>
      <c r="B47" s="28">
        <v>453</v>
      </c>
      <c r="C47" s="91">
        <v>213.5</v>
      </c>
      <c r="D47" s="91">
        <f t="shared" si="0"/>
        <v>239.5</v>
      </c>
      <c r="E47" s="41">
        <f t="shared" si="1"/>
        <v>52.869757174392937</v>
      </c>
      <c r="F47" s="92"/>
      <c r="G47" s="28"/>
      <c r="H47" s="28"/>
      <c r="I47" s="28"/>
      <c r="J47" s="28"/>
      <c r="K47" s="54"/>
    </row>
    <row r="48" spans="1:11">
      <c r="A48" s="26">
        <v>36084</v>
      </c>
      <c r="B48" s="28">
        <v>446</v>
      </c>
      <c r="C48" s="91">
        <v>174.3</v>
      </c>
      <c r="D48" s="91">
        <f t="shared" si="0"/>
        <v>271.7</v>
      </c>
      <c r="E48" s="41">
        <f t="shared" si="1"/>
        <v>60.91928251121076</v>
      </c>
      <c r="F48" s="92"/>
      <c r="G48" s="28"/>
      <c r="H48" s="28"/>
      <c r="I48" s="28"/>
      <c r="J48" s="28"/>
      <c r="K48" s="54"/>
    </row>
    <row r="49" spans="1:11">
      <c r="A49" s="27">
        <v>36091</v>
      </c>
      <c r="B49" s="29">
        <v>414</v>
      </c>
      <c r="C49" s="90">
        <v>156.1</v>
      </c>
      <c r="D49" s="90">
        <f t="shared" si="0"/>
        <v>257.89999999999998</v>
      </c>
      <c r="E49" s="45">
        <f t="shared" si="1"/>
        <v>62.294685990338159</v>
      </c>
      <c r="F49" s="93"/>
      <c r="G49" s="29"/>
      <c r="H49" s="29"/>
      <c r="I49" s="29"/>
      <c r="J49" s="29"/>
      <c r="K49" s="57"/>
    </row>
    <row r="50" spans="1:11">
      <c r="A50" s="27">
        <v>36098</v>
      </c>
      <c r="B50" s="29">
        <v>393</v>
      </c>
      <c r="C50" s="90">
        <v>165.4</v>
      </c>
      <c r="D50" s="90">
        <f t="shared" si="0"/>
        <v>227.6</v>
      </c>
      <c r="E50" s="45">
        <f t="shared" si="1"/>
        <v>57.913486005089055</v>
      </c>
      <c r="F50" s="93"/>
      <c r="G50" s="29"/>
      <c r="H50" s="29"/>
      <c r="I50" s="29"/>
      <c r="J50" s="29"/>
      <c r="K50" s="57"/>
    </row>
    <row r="51" spans="1:11">
      <c r="A51" s="26">
        <v>36105</v>
      </c>
      <c r="B51" s="28">
        <v>471</v>
      </c>
      <c r="C51" s="91">
        <v>196.4</v>
      </c>
      <c r="D51" s="91">
        <f t="shared" si="0"/>
        <v>274.60000000000002</v>
      </c>
      <c r="E51" s="41">
        <f t="shared" si="1"/>
        <v>58.301486199575379</v>
      </c>
      <c r="F51" s="92"/>
      <c r="G51" s="28"/>
      <c r="H51" s="28"/>
      <c r="I51" s="28"/>
      <c r="J51" s="28"/>
      <c r="K51" s="54"/>
    </row>
    <row r="52" spans="1:11">
      <c r="A52" s="26">
        <v>36112</v>
      </c>
      <c r="B52" s="28">
        <v>348</v>
      </c>
      <c r="C52" s="91">
        <v>152.80000000000001</v>
      </c>
      <c r="D52" s="91">
        <f t="shared" si="0"/>
        <v>195.2</v>
      </c>
      <c r="E52" s="41">
        <f t="shared" si="1"/>
        <v>56.091954022988503</v>
      </c>
      <c r="F52" s="92"/>
      <c r="G52" s="28"/>
      <c r="H52" s="28"/>
      <c r="I52" s="28"/>
      <c r="J52" s="28"/>
      <c r="K52" s="54"/>
    </row>
    <row r="53" spans="1:11">
      <c r="A53" s="27">
        <v>36119</v>
      </c>
      <c r="B53" s="29">
        <v>397</v>
      </c>
      <c r="C53" s="90">
        <v>171.2</v>
      </c>
      <c r="D53" s="90">
        <f t="shared" si="0"/>
        <v>225.8</v>
      </c>
      <c r="E53" s="45">
        <f t="shared" si="1"/>
        <v>56.876574307304786</v>
      </c>
      <c r="F53" s="93"/>
      <c r="G53" s="29"/>
      <c r="H53" s="29"/>
      <c r="I53" s="29"/>
      <c r="J53" s="29"/>
      <c r="K53" s="57"/>
    </row>
    <row r="54" spans="1:11">
      <c r="A54" s="27">
        <v>36126</v>
      </c>
      <c r="B54" s="29">
        <v>272</v>
      </c>
      <c r="C54" s="90">
        <v>109.8</v>
      </c>
      <c r="D54" s="90">
        <f t="shared" si="0"/>
        <v>162.19999999999999</v>
      </c>
      <c r="E54" s="45">
        <f t="shared" si="1"/>
        <v>59.632352941176471</v>
      </c>
      <c r="F54" s="93"/>
      <c r="G54" s="29"/>
      <c r="H54" s="29"/>
      <c r="I54" s="29"/>
      <c r="J54" s="29"/>
      <c r="K54" s="57"/>
    </row>
    <row r="55" spans="1:11">
      <c r="A55" s="26">
        <v>36133</v>
      </c>
      <c r="B55" s="28">
        <v>370</v>
      </c>
      <c r="C55" s="91">
        <v>168.7</v>
      </c>
      <c r="D55" s="91">
        <f t="shared" si="0"/>
        <v>201.3</v>
      </c>
      <c r="E55" s="41">
        <f t="shared" si="1"/>
        <v>54.405405405405403</v>
      </c>
      <c r="F55" s="92"/>
      <c r="G55" s="28"/>
      <c r="H55" s="28"/>
      <c r="I55" s="28"/>
      <c r="J55" s="28"/>
      <c r="K55" s="54"/>
    </row>
    <row r="56" spans="1:11">
      <c r="A56" s="26">
        <v>36140</v>
      </c>
      <c r="B56" s="28">
        <v>324</v>
      </c>
      <c r="C56" s="91">
        <v>143.5</v>
      </c>
      <c r="D56" s="91">
        <f t="shared" si="0"/>
        <v>180.5</v>
      </c>
      <c r="E56" s="41">
        <f t="shared" si="1"/>
        <v>55.70987654320988</v>
      </c>
      <c r="F56" s="92"/>
      <c r="G56" s="28"/>
      <c r="H56" s="28"/>
      <c r="I56" s="28"/>
      <c r="J56" s="28"/>
      <c r="K56" s="54"/>
    </row>
    <row r="57" spans="1:11">
      <c r="A57" s="27">
        <v>36147</v>
      </c>
      <c r="B57" s="29">
        <v>362</v>
      </c>
      <c r="C57" s="90">
        <v>157</v>
      </c>
      <c r="D57" s="90">
        <f t="shared" si="0"/>
        <v>205</v>
      </c>
      <c r="E57" s="45">
        <f t="shared" si="1"/>
        <v>56.629834254143653</v>
      </c>
      <c r="F57" s="93"/>
      <c r="G57" s="29"/>
      <c r="H57" s="29"/>
      <c r="I57" s="29"/>
      <c r="J57" s="29"/>
      <c r="K57" s="57"/>
    </row>
    <row r="58" spans="1:11">
      <c r="A58" s="27">
        <v>36153</v>
      </c>
      <c r="B58" s="29">
        <v>251</v>
      </c>
      <c r="C58" s="90">
        <v>97.2</v>
      </c>
      <c r="D58" s="90">
        <f t="shared" si="0"/>
        <v>153.80000000000001</v>
      </c>
      <c r="E58" s="45">
        <f t="shared" si="1"/>
        <v>61.274900398406388</v>
      </c>
      <c r="F58" s="93"/>
      <c r="G58" s="29"/>
      <c r="H58" s="29"/>
      <c r="I58" s="29"/>
      <c r="J58" s="29"/>
      <c r="K58" s="57"/>
    </row>
    <row r="59" spans="1:11">
      <c r="A59" s="26">
        <v>36160</v>
      </c>
      <c r="B59" s="28">
        <v>243</v>
      </c>
      <c r="C59" s="91">
        <v>99.6</v>
      </c>
      <c r="D59" s="91">
        <f t="shared" si="0"/>
        <v>143.4</v>
      </c>
      <c r="E59" s="41">
        <f t="shared" si="1"/>
        <v>59.012345679012348</v>
      </c>
      <c r="F59" s="92"/>
      <c r="G59" s="28"/>
      <c r="H59" s="28"/>
      <c r="I59" s="28"/>
      <c r="J59" s="28"/>
      <c r="K59" s="54"/>
    </row>
    <row r="60" spans="1:11">
      <c r="F60" s="8"/>
    </row>
    <row r="61" spans="1:11" ht="15">
      <c r="A61" s="241" t="s">
        <v>401</v>
      </c>
      <c r="F61" s="8"/>
    </row>
    <row r="62" spans="1:11" ht="15">
      <c r="A62" s="241" t="s">
        <v>402</v>
      </c>
      <c r="F62" s="8"/>
    </row>
    <row r="63" spans="1:11">
      <c r="F63" s="8"/>
    </row>
    <row r="64" spans="1:11">
      <c r="F64" s="8"/>
    </row>
    <row r="65" spans="6:6">
      <c r="F65" s="8"/>
    </row>
    <row r="66" spans="6:6">
      <c r="F66" s="8"/>
    </row>
    <row r="67" spans="6:6">
      <c r="F67" s="8"/>
    </row>
    <row r="68" spans="6:6">
      <c r="F68" s="8"/>
    </row>
    <row r="69" spans="6:6">
      <c r="F69" s="8"/>
    </row>
    <row r="70" spans="6:6">
      <c r="F70" s="8"/>
    </row>
    <row r="71" spans="6:6">
      <c r="F71" s="8"/>
    </row>
    <row r="72" spans="6:6">
      <c r="F72" s="8"/>
    </row>
    <row r="73" spans="6:6">
      <c r="F73" s="8"/>
    </row>
    <row r="74" spans="6:6">
      <c r="F74" s="8"/>
    </row>
    <row r="75" spans="6:6">
      <c r="F75" s="8"/>
    </row>
    <row r="76" spans="6:6">
      <c r="F76" s="8"/>
    </row>
    <row r="77" spans="6:6">
      <c r="F77" s="8"/>
    </row>
    <row r="78" spans="6:6">
      <c r="F78" s="8"/>
    </row>
    <row r="79" spans="6:6">
      <c r="F79" s="8"/>
    </row>
    <row r="80" spans="6:6">
      <c r="F80" s="8"/>
    </row>
    <row r="81" spans="6:6">
      <c r="F81" s="8"/>
    </row>
  </sheetData>
  <mergeCells count="1">
    <mergeCell ref="B4:K4"/>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9940" r:id="rId3" name="Button 4">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39941"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39942"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39943"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N234"/>
  <sheetViews>
    <sheetView workbookViewId="0"/>
  </sheetViews>
  <sheetFormatPr baseColWidth="10" defaultColWidth="8.83203125" defaultRowHeight="12" x14ac:dyDescent="0"/>
  <cols>
    <col min="1" max="1" width="11.1640625" customWidth="1"/>
    <col min="3" max="3" width="11.83203125" customWidth="1"/>
    <col min="4" max="4" width="13.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811</v>
      </c>
      <c r="C3" s="20"/>
      <c r="D3" s="20"/>
      <c r="E3" s="21"/>
      <c r="F3" s="21"/>
      <c r="G3" s="21"/>
      <c r="H3" s="21"/>
      <c r="I3" s="21"/>
      <c r="J3" s="21"/>
      <c r="K3" s="21"/>
    </row>
    <row r="4" spans="1:14">
      <c r="A4" s="19" t="s">
        <v>774</v>
      </c>
      <c r="B4" s="20" t="s">
        <v>247</v>
      </c>
      <c r="C4" s="20"/>
      <c r="D4" s="20"/>
      <c r="E4" s="21"/>
      <c r="F4" s="21"/>
      <c r="G4" s="21"/>
      <c r="H4" s="21"/>
      <c r="I4" s="21"/>
      <c r="J4" s="21"/>
      <c r="K4" s="21"/>
    </row>
    <row r="5" spans="1:14" ht="15">
      <c r="A5" s="118" t="s">
        <v>779</v>
      </c>
      <c r="B5" s="127" t="s">
        <v>403</v>
      </c>
      <c r="C5" s="20"/>
      <c r="D5" s="20"/>
      <c r="E5" s="21"/>
      <c r="F5" s="21"/>
      <c r="G5" s="21"/>
      <c r="H5" s="21"/>
      <c r="I5" s="21"/>
      <c r="J5" s="21"/>
      <c r="K5" s="21"/>
    </row>
    <row r="6" spans="1:14" ht="33.75" customHeight="1">
      <c r="A6" s="21"/>
      <c r="B6" s="21"/>
      <c r="C6" s="21"/>
      <c r="D6" s="21"/>
      <c r="E6" s="21"/>
      <c r="F6" s="21"/>
      <c r="G6" s="21"/>
      <c r="H6" s="21"/>
      <c r="I6" s="21"/>
      <c r="J6" s="21"/>
      <c r="K6" s="21"/>
    </row>
    <row r="7" spans="1:14">
      <c r="A7" s="19" t="s">
        <v>635</v>
      </c>
      <c r="B7" s="21" t="s">
        <v>785</v>
      </c>
      <c r="C7" s="21"/>
      <c r="D7" s="21"/>
      <c r="E7" s="21"/>
      <c r="F7" s="21"/>
      <c r="G7" s="21"/>
      <c r="H7" s="21"/>
      <c r="I7" s="21"/>
      <c r="J7" s="21"/>
      <c r="K7" s="21"/>
    </row>
    <row r="8" spans="1:14" ht="32.25" customHeight="1">
      <c r="A8" s="22" t="s">
        <v>1090</v>
      </c>
      <c r="B8" s="22" t="s">
        <v>1098</v>
      </c>
      <c r="C8" s="31" t="s">
        <v>340</v>
      </c>
      <c r="D8" s="31" t="s">
        <v>183</v>
      </c>
      <c r="E8" s="22"/>
      <c r="F8" s="22"/>
      <c r="G8" s="22"/>
      <c r="H8" s="22"/>
      <c r="I8" s="22"/>
      <c r="J8" s="22"/>
      <c r="K8" s="22"/>
    </row>
    <row r="9" spans="1:14">
      <c r="A9" s="26">
        <v>33910</v>
      </c>
      <c r="B9" s="112">
        <v>13</v>
      </c>
      <c r="C9" s="112"/>
      <c r="D9" s="112"/>
      <c r="E9" s="92"/>
      <c r="F9" s="28"/>
      <c r="G9" s="28"/>
      <c r="H9" s="28"/>
      <c r="I9" s="28"/>
      <c r="J9" s="28"/>
      <c r="K9" s="54"/>
    </row>
    <row r="10" spans="1:14">
      <c r="A10" s="26">
        <v>33911</v>
      </c>
      <c r="B10" s="112">
        <v>12.666700000000001</v>
      </c>
      <c r="C10" s="112"/>
      <c r="D10" s="112"/>
      <c r="E10" s="92"/>
      <c r="F10" s="28"/>
      <c r="G10" s="28"/>
      <c r="H10" s="28"/>
      <c r="I10" s="28"/>
      <c r="J10" s="28"/>
      <c r="K10" s="54"/>
    </row>
    <row r="11" spans="1:14">
      <c r="A11" s="27">
        <v>33912</v>
      </c>
      <c r="B11" s="111">
        <v>12.666700000000001</v>
      </c>
      <c r="C11" s="111"/>
      <c r="D11" s="111"/>
      <c r="E11" s="93"/>
      <c r="F11" s="29"/>
      <c r="G11" s="29"/>
      <c r="H11" s="29"/>
      <c r="I11" s="29"/>
      <c r="J11" s="29"/>
      <c r="K11" s="57"/>
    </row>
    <row r="12" spans="1:14">
      <c r="A12" s="27">
        <v>33913</v>
      </c>
      <c r="B12" s="111">
        <v>12.666700000000001</v>
      </c>
      <c r="C12" s="111"/>
      <c r="D12" s="111"/>
      <c r="E12" s="93"/>
      <c r="F12" s="29"/>
      <c r="G12" s="29"/>
      <c r="H12" s="29"/>
      <c r="I12" s="29"/>
      <c r="J12" s="29"/>
      <c r="K12" s="57"/>
    </row>
    <row r="13" spans="1:14">
      <c r="A13" s="26">
        <v>33914</v>
      </c>
      <c r="B13" s="112">
        <v>13.083299999999999</v>
      </c>
      <c r="C13" s="112"/>
      <c r="D13" s="112"/>
      <c r="E13" s="92"/>
      <c r="F13" s="28"/>
      <c r="G13" s="28"/>
      <c r="H13" s="28"/>
      <c r="I13" s="28"/>
      <c r="J13" s="28"/>
      <c r="K13" s="54"/>
    </row>
    <row r="14" spans="1:14">
      <c r="A14" s="26">
        <v>33917</v>
      </c>
      <c r="B14" s="112">
        <v>14</v>
      </c>
      <c r="C14" s="112"/>
      <c r="D14" s="112"/>
      <c r="E14" s="92"/>
      <c r="F14" s="28"/>
      <c r="G14" s="28"/>
      <c r="H14" s="28"/>
      <c r="I14" s="28"/>
      <c r="J14" s="28"/>
      <c r="K14" s="54"/>
    </row>
    <row r="15" spans="1:14">
      <c r="A15" s="27">
        <v>33918</v>
      </c>
      <c r="B15" s="111">
        <v>14.166700000000001</v>
      </c>
      <c r="C15" s="111"/>
      <c r="D15" s="111"/>
      <c r="E15" s="93"/>
      <c r="F15" s="29"/>
      <c r="G15" s="29"/>
      <c r="H15" s="29"/>
      <c r="I15" s="29"/>
      <c r="J15" s="29"/>
      <c r="K15" s="57"/>
    </row>
    <row r="16" spans="1:14">
      <c r="A16" s="27">
        <v>33919</v>
      </c>
      <c r="B16" s="111">
        <v>15.333299999999999</v>
      </c>
      <c r="C16" s="111"/>
      <c r="D16" s="111"/>
      <c r="E16" s="93"/>
      <c r="F16" s="29"/>
      <c r="G16" s="29"/>
      <c r="H16" s="29"/>
      <c r="I16" s="29"/>
      <c r="J16" s="29"/>
      <c r="K16" s="57"/>
    </row>
    <row r="17" spans="1:11">
      <c r="A17" s="26">
        <v>33920</v>
      </c>
      <c r="B17" s="112">
        <v>15.25</v>
      </c>
      <c r="C17" s="112"/>
      <c r="D17" s="112"/>
      <c r="E17" s="92"/>
      <c r="F17" s="28"/>
      <c r="G17" s="28"/>
      <c r="H17" s="28"/>
      <c r="I17" s="28"/>
      <c r="J17" s="28"/>
      <c r="K17" s="54"/>
    </row>
    <row r="18" spans="1:11">
      <c r="A18" s="26">
        <v>33921</v>
      </c>
      <c r="B18" s="112">
        <v>14.166700000000001</v>
      </c>
      <c r="C18" s="112"/>
      <c r="D18" s="112"/>
      <c r="E18" s="92"/>
      <c r="F18" s="28"/>
      <c r="G18" s="28"/>
      <c r="H18" s="28"/>
      <c r="I18" s="28"/>
      <c r="J18" s="28"/>
      <c r="K18" s="54"/>
    </row>
    <row r="19" spans="1:11">
      <c r="A19" s="27">
        <v>33924</v>
      </c>
      <c r="B19" s="111">
        <v>14.166700000000001</v>
      </c>
      <c r="C19" s="111"/>
      <c r="D19" s="111"/>
      <c r="E19" s="93"/>
      <c r="F19" s="29"/>
      <c r="G19" s="29"/>
      <c r="H19" s="29"/>
      <c r="I19" s="29"/>
      <c r="J19" s="29"/>
      <c r="K19" s="57"/>
    </row>
    <row r="20" spans="1:11">
      <c r="A20" s="27">
        <v>33925</v>
      </c>
      <c r="B20" s="111">
        <v>14</v>
      </c>
      <c r="C20" s="111"/>
      <c r="D20" s="111"/>
      <c r="E20" s="93"/>
      <c r="F20" s="29"/>
      <c r="G20" s="29"/>
      <c r="H20" s="29"/>
      <c r="I20" s="29"/>
      <c r="J20" s="29"/>
      <c r="K20" s="57"/>
    </row>
    <row r="21" spans="1:11">
      <c r="A21" s="26">
        <v>33926</v>
      </c>
      <c r="B21" s="112">
        <v>13.833299999999999</v>
      </c>
      <c r="C21" s="112">
        <f>B9</f>
        <v>13</v>
      </c>
      <c r="D21" s="112">
        <f>B21/C21*100</f>
        <v>106.41000000000001</v>
      </c>
      <c r="E21" s="92"/>
      <c r="F21" s="28"/>
      <c r="G21" s="28"/>
      <c r="H21" s="28"/>
      <c r="I21" s="28"/>
      <c r="J21" s="28"/>
      <c r="K21" s="54"/>
    </row>
    <row r="22" spans="1:11">
      <c r="A22" s="26">
        <v>33927</v>
      </c>
      <c r="B22" s="112">
        <v>13.833299999999999</v>
      </c>
      <c r="C22" s="112">
        <f t="shared" ref="C22:C64" si="0">B10</f>
        <v>12.666700000000001</v>
      </c>
      <c r="D22" s="112">
        <f t="shared" ref="D22:D64" si="1">B22/C22*100</f>
        <v>109.20997576322166</v>
      </c>
      <c r="E22" s="92"/>
      <c r="F22" s="28"/>
      <c r="G22" s="28"/>
      <c r="H22" s="28"/>
      <c r="I22" s="28"/>
      <c r="J22" s="28"/>
      <c r="K22" s="54"/>
    </row>
    <row r="23" spans="1:11">
      <c r="A23" s="27">
        <v>33928</v>
      </c>
      <c r="B23" s="111">
        <v>14.333299999999999</v>
      </c>
      <c r="C23" s="111">
        <f t="shared" si="0"/>
        <v>12.666700000000001</v>
      </c>
      <c r="D23" s="111">
        <f t="shared" si="1"/>
        <v>113.15733379649001</v>
      </c>
      <c r="E23" s="93"/>
      <c r="F23" s="29"/>
      <c r="G23" s="29"/>
      <c r="H23" s="29"/>
      <c r="I23" s="29"/>
      <c r="J23" s="29"/>
      <c r="K23" s="57"/>
    </row>
    <row r="24" spans="1:11">
      <c r="A24" s="27">
        <v>33931</v>
      </c>
      <c r="B24" s="111">
        <v>15.166700000000001</v>
      </c>
      <c r="C24" s="111">
        <f t="shared" si="0"/>
        <v>12.666700000000001</v>
      </c>
      <c r="D24" s="111">
        <f t="shared" si="1"/>
        <v>119.73679016634166</v>
      </c>
      <c r="E24" s="93"/>
      <c r="F24" s="29"/>
      <c r="G24" s="29"/>
      <c r="H24" s="29"/>
      <c r="I24" s="29"/>
      <c r="J24" s="29"/>
      <c r="K24" s="57"/>
    </row>
    <row r="25" spans="1:11">
      <c r="A25" s="26">
        <v>33932</v>
      </c>
      <c r="B25" s="112">
        <v>15.5</v>
      </c>
      <c r="C25" s="112">
        <f t="shared" si="0"/>
        <v>13.083299999999999</v>
      </c>
      <c r="D25" s="112">
        <f t="shared" si="1"/>
        <v>118.47163941818961</v>
      </c>
      <c r="E25" s="92"/>
      <c r="F25" s="28"/>
      <c r="G25" s="28"/>
      <c r="H25" s="28"/>
      <c r="I25" s="28"/>
      <c r="J25" s="28"/>
      <c r="K25" s="54"/>
    </row>
    <row r="26" spans="1:11">
      <c r="A26" s="26">
        <v>33933</v>
      </c>
      <c r="B26" s="112">
        <v>16</v>
      </c>
      <c r="C26" s="112">
        <f t="shared" si="0"/>
        <v>14</v>
      </c>
      <c r="D26" s="112">
        <f t="shared" si="1"/>
        <v>114.28571428571428</v>
      </c>
      <c r="E26" s="92"/>
      <c r="F26" s="28"/>
      <c r="G26" s="28"/>
      <c r="H26" s="28"/>
      <c r="I26" s="28"/>
      <c r="J26" s="28"/>
      <c r="K26" s="54"/>
    </row>
    <row r="27" spans="1:11">
      <c r="A27" s="27">
        <v>33935</v>
      </c>
      <c r="B27" s="111">
        <v>17</v>
      </c>
      <c r="C27" s="111">
        <f t="shared" si="0"/>
        <v>14.166700000000001</v>
      </c>
      <c r="D27" s="111">
        <f t="shared" si="1"/>
        <v>119.99971764772317</v>
      </c>
      <c r="E27" s="93"/>
      <c r="F27" s="29"/>
      <c r="G27" s="29"/>
      <c r="H27" s="29"/>
      <c r="I27" s="29"/>
      <c r="J27" s="29"/>
      <c r="K27" s="57"/>
    </row>
    <row r="28" spans="1:11">
      <c r="A28" s="27">
        <v>33938</v>
      </c>
      <c r="B28" s="111">
        <v>16.5</v>
      </c>
      <c r="C28" s="111">
        <f t="shared" si="0"/>
        <v>15.333299999999999</v>
      </c>
      <c r="D28" s="111">
        <f t="shared" si="1"/>
        <v>107.60892958462954</v>
      </c>
      <c r="E28" s="93"/>
      <c r="F28" s="29"/>
      <c r="G28" s="29"/>
      <c r="H28" s="29"/>
      <c r="I28" s="29"/>
      <c r="J28" s="29"/>
      <c r="K28" s="57"/>
    </row>
    <row r="29" spans="1:11">
      <c r="A29" s="26">
        <v>33939</v>
      </c>
      <c r="B29" s="112">
        <v>16.083300000000001</v>
      </c>
      <c r="C29" s="112">
        <f t="shared" si="0"/>
        <v>15.25</v>
      </c>
      <c r="D29" s="112">
        <f t="shared" si="1"/>
        <v>105.46426229508197</v>
      </c>
      <c r="E29" s="92"/>
      <c r="F29" s="28"/>
      <c r="G29" s="28"/>
      <c r="H29" s="28"/>
      <c r="I29" s="28"/>
      <c r="J29" s="28"/>
      <c r="K29" s="54"/>
    </row>
    <row r="30" spans="1:11">
      <c r="A30" s="26">
        <v>33940</v>
      </c>
      <c r="B30" s="112">
        <v>16.333300000000001</v>
      </c>
      <c r="C30" s="112">
        <f t="shared" si="0"/>
        <v>14.166700000000001</v>
      </c>
      <c r="D30" s="112">
        <f t="shared" si="1"/>
        <v>115.2936110738563</v>
      </c>
      <c r="E30" s="92"/>
      <c r="F30" s="28"/>
      <c r="G30" s="28"/>
      <c r="H30" s="28"/>
      <c r="I30" s="28"/>
      <c r="J30" s="28"/>
      <c r="K30" s="54"/>
    </row>
    <row r="31" spans="1:11">
      <c r="A31" s="27">
        <v>33941</v>
      </c>
      <c r="B31" s="111">
        <v>16.333300000000001</v>
      </c>
      <c r="C31" s="111">
        <f t="shared" si="0"/>
        <v>14.166700000000001</v>
      </c>
      <c r="D31" s="111">
        <f t="shared" si="1"/>
        <v>115.2936110738563</v>
      </c>
      <c r="E31" s="93"/>
      <c r="F31" s="29"/>
      <c r="G31" s="29"/>
      <c r="H31" s="29"/>
      <c r="I31" s="29"/>
      <c r="J31" s="29"/>
      <c r="K31" s="57"/>
    </row>
    <row r="32" spans="1:11">
      <c r="A32" s="27">
        <v>33942</v>
      </c>
      <c r="B32" s="111">
        <v>16</v>
      </c>
      <c r="C32" s="111">
        <f t="shared" si="0"/>
        <v>14</v>
      </c>
      <c r="D32" s="111">
        <f t="shared" si="1"/>
        <v>114.28571428571428</v>
      </c>
      <c r="E32" s="93"/>
      <c r="F32" s="29"/>
      <c r="G32" s="29"/>
      <c r="H32" s="29"/>
      <c r="I32" s="29"/>
      <c r="J32" s="29"/>
      <c r="K32" s="57"/>
    </row>
    <row r="33" spans="1:11">
      <c r="A33" s="26">
        <v>33945</v>
      </c>
      <c r="B33" s="112">
        <v>15.333299999999999</v>
      </c>
      <c r="C33" s="112">
        <f t="shared" si="0"/>
        <v>13.833299999999999</v>
      </c>
      <c r="D33" s="112">
        <f t="shared" si="1"/>
        <v>110.84339962264968</v>
      </c>
      <c r="E33" s="92"/>
      <c r="F33" s="28"/>
      <c r="G33" s="28"/>
      <c r="H33" s="28"/>
      <c r="I33" s="28"/>
      <c r="J33" s="28"/>
      <c r="K33" s="54"/>
    </row>
    <row r="34" spans="1:11">
      <c r="A34" s="26">
        <v>33946</v>
      </c>
      <c r="B34" s="112">
        <v>16.166699999999999</v>
      </c>
      <c r="C34" s="112">
        <f t="shared" si="0"/>
        <v>13.833299999999999</v>
      </c>
      <c r="D34" s="112">
        <f t="shared" si="1"/>
        <v>116.86799245299386</v>
      </c>
      <c r="E34" s="92"/>
      <c r="F34" s="28"/>
      <c r="G34" s="28"/>
      <c r="H34" s="28"/>
      <c r="I34" s="28"/>
      <c r="J34" s="28"/>
      <c r="K34" s="54"/>
    </row>
    <row r="35" spans="1:11">
      <c r="A35" s="27">
        <v>33947</v>
      </c>
      <c r="B35" s="111">
        <v>15.916700000000001</v>
      </c>
      <c r="C35" s="111">
        <f t="shared" si="0"/>
        <v>14.333299999999999</v>
      </c>
      <c r="D35" s="111">
        <f t="shared" si="1"/>
        <v>111.04700243488938</v>
      </c>
      <c r="E35" s="93"/>
      <c r="F35" s="29"/>
      <c r="G35" s="29"/>
      <c r="H35" s="29"/>
      <c r="I35" s="29"/>
      <c r="J35" s="29"/>
      <c r="K35" s="57"/>
    </row>
    <row r="36" spans="1:11">
      <c r="A36" s="27">
        <v>33948</v>
      </c>
      <c r="B36" s="111">
        <v>15.666700000000001</v>
      </c>
      <c r="C36" s="111">
        <f t="shared" si="0"/>
        <v>15.166700000000001</v>
      </c>
      <c r="D36" s="111">
        <f t="shared" si="1"/>
        <v>103.29669605121748</v>
      </c>
      <c r="E36" s="93"/>
      <c r="F36" s="29"/>
      <c r="G36" s="29"/>
      <c r="H36" s="29"/>
      <c r="I36" s="29"/>
      <c r="J36" s="29"/>
      <c r="K36" s="57"/>
    </row>
    <row r="37" spans="1:11">
      <c r="A37" s="26">
        <v>33949</v>
      </c>
      <c r="B37" s="112">
        <v>15.666700000000001</v>
      </c>
      <c r="C37" s="112">
        <f t="shared" si="0"/>
        <v>15.5</v>
      </c>
      <c r="D37" s="112">
        <f t="shared" si="1"/>
        <v>101.07548387096774</v>
      </c>
      <c r="E37" s="92"/>
      <c r="F37" s="28"/>
      <c r="G37" s="28"/>
      <c r="H37" s="28"/>
      <c r="I37" s="28"/>
      <c r="J37" s="28"/>
      <c r="K37" s="54"/>
    </row>
    <row r="38" spans="1:11">
      <c r="A38" s="26">
        <v>33952</v>
      </c>
      <c r="B38" s="112">
        <v>16.666699999999999</v>
      </c>
      <c r="C38" s="112">
        <f t="shared" si="0"/>
        <v>16</v>
      </c>
      <c r="D38" s="112">
        <f t="shared" si="1"/>
        <v>104.16687499999999</v>
      </c>
      <c r="E38" s="92"/>
      <c r="F38" s="28"/>
      <c r="G38" s="28"/>
      <c r="H38" s="28"/>
      <c r="I38" s="28"/>
      <c r="J38" s="28"/>
      <c r="K38" s="54"/>
    </row>
    <row r="39" spans="1:11">
      <c r="A39" s="27">
        <v>33953</v>
      </c>
      <c r="B39" s="111">
        <v>15.833299999999999</v>
      </c>
      <c r="C39" s="111">
        <f t="shared" si="0"/>
        <v>17</v>
      </c>
      <c r="D39" s="111">
        <f t="shared" si="1"/>
        <v>93.137058823529401</v>
      </c>
      <c r="E39" s="93"/>
      <c r="F39" s="29"/>
      <c r="G39" s="29"/>
      <c r="H39" s="29"/>
      <c r="I39" s="29"/>
      <c r="J39" s="29"/>
      <c r="K39" s="57"/>
    </row>
    <row r="40" spans="1:11">
      <c r="A40" s="27">
        <v>33954</v>
      </c>
      <c r="B40" s="111">
        <v>15.833299999999999</v>
      </c>
      <c r="C40" s="111">
        <f t="shared" si="0"/>
        <v>16.5</v>
      </c>
      <c r="D40" s="111">
        <f t="shared" si="1"/>
        <v>95.959393939393934</v>
      </c>
      <c r="E40" s="93"/>
      <c r="F40" s="29"/>
      <c r="G40" s="29"/>
      <c r="H40" s="29"/>
      <c r="I40" s="29"/>
      <c r="J40" s="29"/>
      <c r="K40" s="57"/>
    </row>
    <row r="41" spans="1:11">
      <c r="A41" s="26">
        <v>33955</v>
      </c>
      <c r="B41" s="112">
        <v>16.583300000000001</v>
      </c>
      <c r="C41" s="112">
        <f t="shared" si="0"/>
        <v>16.083300000000001</v>
      </c>
      <c r="D41" s="112">
        <f t="shared" si="1"/>
        <v>103.10881473329478</v>
      </c>
      <c r="E41" s="92"/>
      <c r="F41" s="28"/>
      <c r="G41" s="28"/>
      <c r="H41" s="28"/>
      <c r="I41" s="28"/>
      <c r="J41" s="28"/>
      <c r="K41" s="54"/>
    </row>
    <row r="42" spans="1:11">
      <c r="A42" s="26">
        <v>33956</v>
      </c>
      <c r="B42" s="112">
        <v>16.833300000000001</v>
      </c>
      <c r="C42" s="112">
        <f t="shared" si="0"/>
        <v>16.333300000000001</v>
      </c>
      <c r="D42" s="112">
        <f t="shared" si="1"/>
        <v>103.06123073720559</v>
      </c>
      <c r="E42" s="92"/>
      <c r="F42" s="28"/>
      <c r="G42" s="28"/>
      <c r="H42" s="28"/>
      <c r="I42" s="28"/>
      <c r="J42" s="28"/>
      <c r="K42" s="54"/>
    </row>
    <row r="43" spans="1:11">
      <c r="A43" s="27">
        <v>33959</v>
      </c>
      <c r="B43" s="111">
        <v>17.333300000000001</v>
      </c>
      <c r="C43" s="111">
        <f t="shared" si="0"/>
        <v>16.333300000000001</v>
      </c>
      <c r="D43" s="111">
        <f t="shared" si="1"/>
        <v>106.12246147441118</v>
      </c>
      <c r="E43" s="93"/>
      <c r="F43" s="29"/>
      <c r="G43" s="29"/>
      <c r="H43" s="29"/>
      <c r="I43" s="29"/>
      <c r="J43" s="29"/>
      <c r="K43" s="57"/>
    </row>
    <row r="44" spans="1:11">
      <c r="A44" s="27">
        <v>33960</v>
      </c>
      <c r="B44" s="111">
        <v>17.333300000000001</v>
      </c>
      <c r="C44" s="111">
        <f t="shared" si="0"/>
        <v>16</v>
      </c>
      <c r="D44" s="111">
        <f t="shared" si="1"/>
        <v>108.33312500000001</v>
      </c>
      <c r="E44" s="93"/>
      <c r="F44" s="29"/>
      <c r="G44" s="29"/>
      <c r="H44" s="29"/>
      <c r="I44" s="29"/>
      <c r="J44" s="29"/>
      <c r="K44" s="57"/>
    </row>
    <row r="45" spans="1:11">
      <c r="A45" s="26">
        <v>33961</v>
      </c>
      <c r="B45" s="112">
        <v>17.166699999999999</v>
      </c>
      <c r="C45" s="112">
        <f t="shared" si="0"/>
        <v>15.333299999999999</v>
      </c>
      <c r="D45" s="112">
        <f t="shared" si="1"/>
        <v>111.95698251517938</v>
      </c>
      <c r="E45" s="92"/>
      <c r="F45" s="28"/>
      <c r="G45" s="28"/>
      <c r="H45" s="28"/>
      <c r="I45" s="28"/>
      <c r="J45" s="28"/>
      <c r="K45" s="54"/>
    </row>
    <row r="46" spans="1:11">
      <c r="A46" s="26">
        <v>33962</v>
      </c>
      <c r="B46" s="112">
        <v>17.333300000000001</v>
      </c>
      <c r="C46" s="112">
        <f t="shared" si="0"/>
        <v>16.166699999999999</v>
      </c>
      <c r="D46" s="112">
        <f t="shared" si="1"/>
        <v>107.21606759573694</v>
      </c>
      <c r="E46" s="92"/>
      <c r="F46" s="28"/>
      <c r="G46" s="28"/>
      <c r="H46" s="28"/>
      <c r="I46" s="28"/>
      <c r="J46" s="28"/>
      <c r="K46" s="54"/>
    </row>
    <row r="47" spans="1:11">
      <c r="A47" s="27">
        <v>33966</v>
      </c>
      <c r="B47" s="111">
        <v>18.666699999999999</v>
      </c>
      <c r="C47" s="111">
        <f t="shared" si="0"/>
        <v>15.916700000000001</v>
      </c>
      <c r="D47" s="111">
        <f t="shared" si="1"/>
        <v>117.27745072785187</v>
      </c>
      <c r="E47" s="93"/>
      <c r="F47" s="29"/>
      <c r="G47" s="29"/>
      <c r="H47" s="29"/>
      <c r="I47" s="29"/>
      <c r="J47" s="29"/>
      <c r="K47" s="57"/>
    </row>
    <row r="48" spans="1:11">
      <c r="A48" s="27">
        <v>33967</v>
      </c>
      <c r="B48" s="111">
        <v>20</v>
      </c>
      <c r="C48" s="111">
        <f t="shared" si="0"/>
        <v>15.666700000000001</v>
      </c>
      <c r="D48" s="111">
        <f t="shared" si="1"/>
        <v>127.65930285254711</v>
      </c>
      <c r="E48" s="93"/>
      <c r="F48" s="29"/>
      <c r="G48" s="29"/>
      <c r="H48" s="29"/>
      <c r="I48" s="29"/>
      <c r="J48" s="29"/>
      <c r="K48" s="57"/>
    </row>
    <row r="49" spans="1:11">
      <c r="A49" s="26">
        <v>33968</v>
      </c>
      <c r="B49" s="112">
        <v>19.833300000000001</v>
      </c>
      <c r="C49" s="112">
        <f t="shared" si="0"/>
        <v>15.666700000000001</v>
      </c>
      <c r="D49" s="112">
        <f t="shared" si="1"/>
        <v>126.59526256327113</v>
      </c>
      <c r="E49" s="92"/>
      <c r="F49" s="28"/>
      <c r="G49" s="28"/>
      <c r="H49" s="28"/>
      <c r="I49" s="28"/>
      <c r="J49" s="28"/>
      <c r="K49" s="54"/>
    </row>
    <row r="50" spans="1:11">
      <c r="A50" s="26">
        <v>33969</v>
      </c>
      <c r="B50" s="112">
        <v>19.5</v>
      </c>
      <c r="C50" s="112">
        <f t="shared" si="0"/>
        <v>16.666699999999999</v>
      </c>
      <c r="D50" s="112">
        <f t="shared" si="1"/>
        <v>116.999766000468</v>
      </c>
      <c r="E50" s="92"/>
      <c r="F50" s="28"/>
      <c r="G50" s="28"/>
      <c r="H50" s="28"/>
      <c r="I50" s="28"/>
      <c r="J50" s="28"/>
      <c r="K50" s="54"/>
    </row>
    <row r="51" spans="1:11">
      <c r="A51" s="27">
        <v>33973</v>
      </c>
      <c r="B51" s="111">
        <v>19.375</v>
      </c>
      <c r="C51" s="111">
        <f t="shared" si="0"/>
        <v>15.833299999999999</v>
      </c>
      <c r="D51" s="111">
        <f t="shared" si="1"/>
        <v>122.36867867090247</v>
      </c>
      <c r="E51" s="93"/>
      <c r="F51" s="29"/>
      <c r="G51" s="29"/>
      <c r="H51" s="29"/>
      <c r="I51" s="29"/>
      <c r="J51" s="29"/>
      <c r="K51" s="57"/>
    </row>
    <row r="52" spans="1:11">
      <c r="A52" s="27">
        <v>33974</v>
      </c>
      <c r="B52" s="111">
        <v>19</v>
      </c>
      <c r="C52" s="111">
        <f t="shared" si="0"/>
        <v>15.833299999999999</v>
      </c>
      <c r="D52" s="111">
        <f t="shared" si="1"/>
        <v>120.0002526321108</v>
      </c>
      <c r="E52" s="93"/>
      <c r="F52" s="29"/>
      <c r="G52" s="29"/>
      <c r="H52" s="29"/>
      <c r="I52" s="29"/>
      <c r="J52" s="29"/>
      <c r="K52" s="57"/>
    </row>
    <row r="53" spans="1:11">
      <c r="A53" s="26">
        <v>33975</v>
      </c>
      <c r="B53" s="112">
        <v>19.25</v>
      </c>
      <c r="C53" s="112">
        <f t="shared" si="0"/>
        <v>16.583300000000001</v>
      </c>
      <c r="D53" s="112">
        <f t="shared" si="1"/>
        <v>116.08063533796047</v>
      </c>
      <c r="E53" s="92"/>
      <c r="F53" s="28"/>
      <c r="G53" s="28"/>
      <c r="H53" s="28"/>
      <c r="I53" s="28"/>
      <c r="J53" s="28"/>
      <c r="K53" s="54"/>
    </row>
    <row r="54" spans="1:11">
      <c r="A54" s="26">
        <v>33976</v>
      </c>
      <c r="B54" s="112">
        <v>19</v>
      </c>
      <c r="C54" s="112">
        <f t="shared" si="0"/>
        <v>16.833300000000001</v>
      </c>
      <c r="D54" s="112">
        <f t="shared" si="1"/>
        <v>112.87151063665473</v>
      </c>
      <c r="E54" s="92"/>
      <c r="F54" s="28"/>
      <c r="G54" s="28"/>
      <c r="H54" s="28"/>
      <c r="I54" s="28"/>
      <c r="J54" s="28"/>
      <c r="K54" s="54"/>
    </row>
    <row r="55" spans="1:11">
      <c r="A55" s="27">
        <v>33977</v>
      </c>
      <c r="B55" s="111">
        <v>18.25</v>
      </c>
      <c r="C55" s="111">
        <f t="shared" si="0"/>
        <v>17.333300000000001</v>
      </c>
      <c r="D55" s="111">
        <f t="shared" si="1"/>
        <v>105.28866401666157</v>
      </c>
      <c r="E55" s="93"/>
      <c r="F55" s="29"/>
      <c r="G55" s="29"/>
      <c r="H55" s="29"/>
      <c r="I55" s="29"/>
      <c r="J55" s="29"/>
      <c r="K55" s="57"/>
    </row>
    <row r="56" spans="1:11">
      <c r="A56" s="27">
        <v>33980</v>
      </c>
      <c r="B56" s="111">
        <v>17.625</v>
      </c>
      <c r="C56" s="111">
        <f t="shared" si="0"/>
        <v>17.333300000000001</v>
      </c>
      <c r="D56" s="111">
        <f t="shared" si="1"/>
        <v>101.68288785170741</v>
      </c>
      <c r="E56" s="93"/>
      <c r="F56" s="29"/>
      <c r="G56" s="29"/>
      <c r="H56" s="29"/>
      <c r="I56" s="29"/>
      <c r="J56" s="29"/>
      <c r="K56" s="57"/>
    </row>
    <row r="57" spans="1:11">
      <c r="A57" s="26">
        <v>33981</v>
      </c>
      <c r="B57" s="112">
        <v>17</v>
      </c>
      <c r="C57" s="112">
        <f t="shared" si="0"/>
        <v>17.166699999999999</v>
      </c>
      <c r="D57" s="112">
        <f t="shared" si="1"/>
        <v>99.02893392440015</v>
      </c>
      <c r="E57" s="92"/>
      <c r="F57" s="28"/>
      <c r="G57" s="28"/>
      <c r="H57" s="28"/>
      <c r="I57" s="28"/>
      <c r="J57" s="28"/>
      <c r="K57" s="54"/>
    </row>
    <row r="58" spans="1:11">
      <c r="A58" s="26">
        <v>33982</v>
      </c>
      <c r="B58" s="112">
        <v>19</v>
      </c>
      <c r="C58" s="112">
        <f t="shared" si="0"/>
        <v>17.333300000000001</v>
      </c>
      <c r="D58" s="112">
        <f t="shared" si="1"/>
        <v>109.61559541460655</v>
      </c>
      <c r="E58" s="92"/>
      <c r="F58" s="28"/>
      <c r="G58" s="28"/>
      <c r="H58" s="28"/>
      <c r="I58" s="28"/>
      <c r="J58" s="28"/>
      <c r="K58" s="54"/>
    </row>
    <row r="59" spans="1:11">
      <c r="A59" s="27">
        <v>33983</v>
      </c>
      <c r="B59" s="111">
        <v>19.25</v>
      </c>
      <c r="C59" s="111">
        <f t="shared" si="0"/>
        <v>18.666699999999999</v>
      </c>
      <c r="D59" s="111">
        <f t="shared" si="1"/>
        <v>103.12481584854314</v>
      </c>
      <c r="E59" s="93"/>
      <c r="F59" s="29"/>
      <c r="G59" s="29"/>
      <c r="H59" s="29"/>
      <c r="I59" s="29"/>
      <c r="J59" s="29"/>
      <c r="K59" s="57"/>
    </row>
    <row r="60" spans="1:11">
      <c r="A60" s="27">
        <v>33984</v>
      </c>
      <c r="B60" s="111">
        <v>19.5</v>
      </c>
      <c r="C60" s="111">
        <f t="shared" si="0"/>
        <v>20</v>
      </c>
      <c r="D60" s="111">
        <f t="shared" si="1"/>
        <v>97.5</v>
      </c>
      <c r="E60" s="93"/>
      <c r="F60" s="29"/>
      <c r="G60" s="29"/>
      <c r="H60" s="29"/>
      <c r="I60" s="29"/>
      <c r="J60" s="29"/>
      <c r="K60" s="57"/>
    </row>
    <row r="61" spans="1:11">
      <c r="A61" s="26">
        <v>33987</v>
      </c>
      <c r="B61" s="112">
        <v>19.5</v>
      </c>
      <c r="C61" s="112">
        <f t="shared" si="0"/>
        <v>19.833300000000001</v>
      </c>
      <c r="D61" s="112">
        <f t="shared" si="1"/>
        <v>98.319492973937756</v>
      </c>
      <c r="E61" s="92"/>
      <c r="F61" s="28"/>
      <c r="G61" s="28"/>
      <c r="H61" s="28"/>
      <c r="I61" s="28"/>
      <c r="J61" s="28"/>
      <c r="K61" s="54"/>
    </row>
    <row r="62" spans="1:11">
      <c r="A62" s="26">
        <v>33988</v>
      </c>
      <c r="B62" s="112">
        <v>19.375</v>
      </c>
      <c r="C62" s="112">
        <f t="shared" si="0"/>
        <v>19.5</v>
      </c>
      <c r="D62" s="112">
        <f t="shared" si="1"/>
        <v>99.358974358974365</v>
      </c>
      <c r="E62" s="92"/>
      <c r="F62" s="28"/>
      <c r="G62" s="28"/>
      <c r="H62" s="28"/>
      <c r="I62" s="28"/>
      <c r="J62" s="28"/>
      <c r="K62" s="54"/>
    </row>
    <row r="63" spans="1:11">
      <c r="A63" s="27">
        <v>33989</v>
      </c>
      <c r="B63" s="111">
        <v>19.5</v>
      </c>
      <c r="C63" s="111">
        <f t="shared" si="0"/>
        <v>19.375</v>
      </c>
      <c r="D63" s="111">
        <f t="shared" si="1"/>
        <v>100.64516129032258</v>
      </c>
      <c r="E63" s="93"/>
      <c r="F63" s="29"/>
      <c r="G63" s="29"/>
      <c r="H63" s="29"/>
      <c r="I63" s="29"/>
      <c r="J63" s="29"/>
      <c r="K63" s="57"/>
    </row>
    <row r="64" spans="1:11">
      <c r="A64" s="27">
        <v>33990</v>
      </c>
      <c r="B64" s="111">
        <v>19.5</v>
      </c>
      <c r="C64" s="111">
        <f t="shared" si="0"/>
        <v>19</v>
      </c>
      <c r="D64" s="111">
        <f t="shared" si="1"/>
        <v>102.63157894736842</v>
      </c>
      <c r="E64" s="93"/>
      <c r="F64" s="29"/>
      <c r="G64" s="29"/>
      <c r="H64" s="29"/>
      <c r="I64" s="29"/>
      <c r="J64" s="29"/>
      <c r="K64" s="57"/>
    </row>
    <row r="65" spans="1:5">
      <c r="A65" s="8"/>
      <c r="E65" s="8"/>
    </row>
    <row r="66" spans="1:5" ht="15">
      <c r="A66" s="241" t="s">
        <v>404</v>
      </c>
      <c r="E66" s="8"/>
    </row>
    <row r="67" spans="1:5" ht="15">
      <c r="A67" s="241" t="s">
        <v>182</v>
      </c>
      <c r="E67" s="8"/>
    </row>
    <row r="68" spans="1:5">
      <c r="A68" s="8"/>
      <c r="E68" s="8"/>
    </row>
    <row r="69" spans="1:5">
      <c r="A69" s="8"/>
      <c r="E69" s="8"/>
    </row>
    <row r="70" spans="1:5">
      <c r="A70" s="8"/>
      <c r="E70" s="8"/>
    </row>
    <row r="71" spans="1:5">
      <c r="A71" s="8"/>
      <c r="E71" s="8"/>
    </row>
    <row r="72" spans="1:5">
      <c r="A72" s="8"/>
      <c r="E72" s="8"/>
    </row>
    <row r="73" spans="1:5">
      <c r="A73" s="8"/>
      <c r="E73" s="8"/>
    </row>
    <row r="74" spans="1:5">
      <c r="A74" s="8"/>
      <c r="E74" s="8"/>
    </row>
    <row r="75" spans="1:5">
      <c r="A75" s="8"/>
      <c r="E75" s="8"/>
    </row>
    <row r="76" spans="1:5">
      <c r="A76" s="8"/>
      <c r="E76" s="8"/>
    </row>
    <row r="77" spans="1:5">
      <c r="A77" s="8"/>
      <c r="E77" s="8"/>
    </row>
    <row r="78" spans="1:5">
      <c r="A78" s="8"/>
      <c r="E78" s="8"/>
    </row>
    <row r="79" spans="1:5">
      <c r="A79" s="8"/>
      <c r="E79" s="8"/>
    </row>
    <row r="80" spans="1:5">
      <c r="A80" s="8"/>
      <c r="E80" s="8"/>
    </row>
    <row r="81" spans="1:5">
      <c r="A81" s="8"/>
      <c r="E81" s="8"/>
    </row>
    <row r="82" spans="1:5">
      <c r="A82" s="8"/>
      <c r="E82" s="8"/>
    </row>
    <row r="83" spans="1:5">
      <c r="A83" s="8"/>
      <c r="E83" s="8"/>
    </row>
    <row r="84" spans="1:5">
      <c r="A84" s="8"/>
      <c r="E84" s="8"/>
    </row>
    <row r="85" spans="1:5">
      <c r="A85" s="8"/>
      <c r="E85" s="8"/>
    </row>
    <row r="86" spans="1:5">
      <c r="A86" s="8"/>
      <c r="E86" s="8"/>
    </row>
    <row r="87" spans="1:5">
      <c r="A87" s="8"/>
      <c r="E87" s="8"/>
    </row>
    <row r="88" spans="1:5">
      <c r="A88" s="8"/>
      <c r="E88" s="8"/>
    </row>
    <row r="89" spans="1:5">
      <c r="A89" s="8"/>
      <c r="E89" s="8"/>
    </row>
    <row r="90" spans="1:5">
      <c r="A90" s="8"/>
      <c r="E90" s="8"/>
    </row>
    <row r="91" spans="1:5">
      <c r="A91" s="8"/>
      <c r="E91" s="8"/>
    </row>
    <row r="92" spans="1:5">
      <c r="A92" s="8"/>
      <c r="E92" s="8"/>
    </row>
    <row r="93" spans="1:5">
      <c r="A93" s="8"/>
      <c r="E93" s="8"/>
    </row>
    <row r="94" spans="1:5">
      <c r="A94" s="8"/>
      <c r="E94" s="8"/>
    </row>
    <row r="95" spans="1:5">
      <c r="A95" s="8"/>
      <c r="E95" s="8"/>
    </row>
    <row r="96" spans="1:5">
      <c r="A96" s="8"/>
      <c r="E96" s="8"/>
    </row>
    <row r="97" spans="1:5">
      <c r="A97" s="8"/>
      <c r="E97" s="8"/>
    </row>
    <row r="98" spans="1:5">
      <c r="A98" s="8"/>
      <c r="E98" s="8"/>
    </row>
    <row r="99" spans="1:5">
      <c r="A99" s="8"/>
      <c r="E99" s="8"/>
    </row>
    <row r="100" spans="1:5">
      <c r="A100" s="8"/>
      <c r="E100" s="8"/>
    </row>
    <row r="101" spans="1:5">
      <c r="A101" s="8"/>
      <c r="E101" s="8"/>
    </row>
    <row r="102" spans="1:5">
      <c r="A102" s="8"/>
      <c r="E102" s="8"/>
    </row>
    <row r="103" spans="1:5">
      <c r="A103" s="8"/>
      <c r="E103" s="8"/>
    </row>
    <row r="104" spans="1:5">
      <c r="A104" s="8"/>
      <c r="E104" s="8"/>
    </row>
    <row r="105" spans="1:5">
      <c r="A105" s="8"/>
      <c r="E105" s="8"/>
    </row>
    <row r="106" spans="1:5">
      <c r="A106" s="8"/>
      <c r="E106" s="8"/>
    </row>
    <row r="107" spans="1:5">
      <c r="A107" s="8"/>
      <c r="E107" s="8"/>
    </row>
    <row r="108" spans="1:5">
      <c r="A108" s="8"/>
      <c r="E108" s="8"/>
    </row>
    <row r="109" spans="1:5">
      <c r="A109" s="8"/>
      <c r="E109" s="8"/>
    </row>
    <row r="110" spans="1:5">
      <c r="A110" s="8"/>
      <c r="E110" s="8"/>
    </row>
    <row r="111" spans="1:5">
      <c r="A111" s="8"/>
      <c r="E111" s="8"/>
    </row>
    <row r="112" spans="1:5">
      <c r="A112" s="8"/>
      <c r="E112" s="8"/>
    </row>
    <row r="113" spans="1:5">
      <c r="A113" s="8"/>
      <c r="E113" s="8"/>
    </row>
    <row r="114" spans="1:5">
      <c r="A114" s="8"/>
      <c r="E114" s="8"/>
    </row>
    <row r="115" spans="1:5">
      <c r="A115" s="8"/>
      <c r="E115" s="8"/>
    </row>
    <row r="116" spans="1:5">
      <c r="A116" s="8"/>
      <c r="E116" s="8"/>
    </row>
    <row r="117" spans="1:5">
      <c r="A117" s="8"/>
      <c r="E117" s="8"/>
    </row>
    <row r="118" spans="1:5">
      <c r="A118" s="8"/>
      <c r="E118" s="8"/>
    </row>
    <row r="119" spans="1:5">
      <c r="A119" s="8"/>
      <c r="E119" s="8"/>
    </row>
    <row r="120" spans="1:5">
      <c r="A120" s="8"/>
      <c r="E120" s="8"/>
    </row>
    <row r="121" spans="1:5">
      <c r="A121" s="8"/>
      <c r="E121" s="8"/>
    </row>
    <row r="122" spans="1:5">
      <c r="A122" s="8"/>
      <c r="E122" s="8"/>
    </row>
    <row r="123" spans="1:5">
      <c r="A123" s="8"/>
      <c r="E123" s="8"/>
    </row>
    <row r="124" spans="1:5">
      <c r="A124" s="8"/>
      <c r="E124" s="8"/>
    </row>
    <row r="125" spans="1:5">
      <c r="A125" s="8"/>
      <c r="E125" s="8"/>
    </row>
    <row r="126" spans="1:5">
      <c r="A126" s="8"/>
      <c r="E126" s="8"/>
    </row>
    <row r="127" spans="1:5">
      <c r="A127" s="8"/>
      <c r="E127" s="8"/>
    </row>
    <row r="128" spans="1:5">
      <c r="A128" s="8"/>
      <c r="E128" s="8"/>
    </row>
    <row r="129" spans="1:5">
      <c r="A129" s="8"/>
      <c r="E129" s="8"/>
    </row>
    <row r="130" spans="1:5">
      <c r="A130" s="8"/>
      <c r="E130" s="8"/>
    </row>
    <row r="131" spans="1:5">
      <c r="A131" s="8"/>
      <c r="E131" s="8"/>
    </row>
    <row r="132" spans="1:5">
      <c r="A132" s="8"/>
      <c r="E132" s="8"/>
    </row>
    <row r="133" spans="1:5">
      <c r="A133" s="8"/>
      <c r="E133" s="8"/>
    </row>
    <row r="134" spans="1:5">
      <c r="A134" s="8"/>
      <c r="E134" s="8"/>
    </row>
    <row r="135" spans="1:5">
      <c r="A135" s="8"/>
      <c r="E135" s="8"/>
    </row>
    <row r="136" spans="1:5">
      <c r="A136" s="8"/>
      <c r="E136" s="8"/>
    </row>
    <row r="137" spans="1:5">
      <c r="A137" s="8"/>
      <c r="E137" s="8"/>
    </row>
    <row r="138" spans="1:5">
      <c r="A138" s="8"/>
      <c r="E138" s="8"/>
    </row>
    <row r="139" spans="1:5">
      <c r="A139" s="8"/>
      <c r="E139" s="8"/>
    </row>
    <row r="140" spans="1:5">
      <c r="A140" s="8"/>
      <c r="E140" s="8"/>
    </row>
    <row r="141" spans="1:5">
      <c r="A141" s="8"/>
      <c r="E141" s="8"/>
    </row>
    <row r="142" spans="1:5">
      <c r="A142" s="8"/>
      <c r="E142" s="8"/>
    </row>
    <row r="143" spans="1:5">
      <c r="A143" s="8"/>
      <c r="E143" s="8"/>
    </row>
    <row r="144" spans="1:5">
      <c r="A144" s="8"/>
      <c r="E144" s="8"/>
    </row>
    <row r="145" spans="1:5">
      <c r="A145" s="8"/>
      <c r="E145" s="8"/>
    </row>
    <row r="146" spans="1:5">
      <c r="A146" s="8"/>
      <c r="E146" s="8"/>
    </row>
    <row r="147" spans="1:5">
      <c r="A147" s="8"/>
      <c r="E147" s="8"/>
    </row>
    <row r="148" spans="1:5">
      <c r="A148" s="8"/>
      <c r="E148" s="8"/>
    </row>
    <row r="149" spans="1:5">
      <c r="A149" s="8"/>
      <c r="E149" s="8"/>
    </row>
    <row r="150" spans="1:5">
      <c r="A150" s="8"/>
      <c r="E150" s="8"/>
    </row>
    <row r="151" spans="1:5">
      <c r="A151" s="8"/>
      <c r="E151" s="8"/>
    </row>
    <row r="152" spans="1:5">
      <c r="A152" s="8"/>
      <c r="E152" s="8"/>
    </row>
    <row r="153" spans="1:5">
      <c r="A153" s="8"/>
      <c r="E153" s="8"/>
    </row>
    <row r="154" spans="1:5">
      <c r="A154" s="8"/>
      <c r="E154" s="8"/>
    </row>
    <row r="155" spans="1:5">
      <c r="A155" s="8"/>
      <c r="E155" s="8"/>
    </row>
    <row r="156" spans="1:5">
      <c r="A156" s="8"/>
      <c r="E156" s="8"/>
    </row>
    <row r="157" spans="1:5">
      <c r="A157" s="8"/>
      <c r="E157" s="8"/>
    </row>
    <row r="158" spans="1:5">
      <c r="A158" s="8"/>
      <c r="E158" s="8"/>
    </row>
    <row r="159" spans="1:5">
      <c r="A159" s="8"/>
      <c r="E159" s="8"/>
    </row>
    <row r="160" spans="1:5">
      <c r="A160" s="8"/>
      <c r="E160" s="8"/>
    </row>
    <row r="161" spans="1:5">
      <c r="A161" s="8"/>
      <c r="E161" s="8"/>
    </row>
    <row r="162" spans="1:5">
      <c r="A162" s="8"/>
      <c r="E162" s="8"/>
    </row>
    <row r="163" spans="1:5">
      <c r="A163" s="8"/>
      <c r="E163" s="8"/>
    </row>
    <row r="164" spans="1:5">
      <c r="A164" s="8"/>
      <c r="E164" s="8"/>
    </row>
    <row r="165" spans="1:5">
      <c r="A165" s="8"/>
      <c r="E165" s="8"/>
    </row>
    <row r="166" spans="1:5">
      <c r="A166" s="8"/>
      <c r="E166" s="8"/>
    </row>
    <row r="167" spans="1:5">
      <c r="A167" s="8"/>
      <c r="E167" s="8"/>
    </row>
    <row r="168" spans="1:5">
      <c r="A168" s="8"/>
      <c r="E168" s="8"/>
    </row>
    <row r="169" spans="1:5">
      <c r="A169" s="8"/>
      <c r="E169" s="8"/>
    </row>
    <row r="170" spans="1:5">
      <c r="A170" s="8"/>
      <c r="E170" s="8"/>
    </row>
    <row r="171" spans="1:5">
      <c r="A171" s="8"/>
      <c r="E171" s="8"/>
    </row>
    <row r="172" spans="1:5">
      <c r="A172" s="8"/>
      <c r="E172" s="8"/>
    </row>
    <row r="173" spans="1:5">
      <c r="A173" s="8"/>
      <c r="E173" s="8"/>
    </row>
    <row r="174" spans="1:5">
      <c r="A174" s="8"/>
      <c r="E174" s="8"/>
    </row>
    <row r="175" spans="1:5">
      <c r="A175" s="8"/>
      <c r="E175" s="8"/>
    </row>
    <row r="176" spans="1:5">
      <c r="A176" s="8"/>
      <c r="E176" s="8"/>
    </row>
    <row r="177" spans="1:5">
      <c r="A177" s="8"/>
      <c r="E177" s="8"/>
    </row>
    <row r="178" spans="1:5">
      <c r="A178" s="8"/>
      <c r="E178" s="8"/>
    </row>
    <row r="179" spans="1:5">
      <c r="A179" s="8"/>
      <c r="E179" s="8"/>
    </row>
    <row r="180" spans="1:5">
      <c r="A180" s="8"/>
      <c r="E180" s="8"/>
    </row>
    <row r="181" spans="1:5">
      <c r="A181" s="8"/>
      <c r="E181" s="8"/>
    </row>
    <row r="182" spans="1:5">
      <c r="A182" s="8"/>
      <c r="E182" s="8"/>
    </row>
    <row r="183" spans="1:5">
      <c r="A183" s="8"/>
      <c r="E183" s="8"/>
    </row>
    <row r="184" spans="1:5">
      <c r="A184" s="8"/>
      <c r="E184" s="8"/>
    </row>
    <row r="185" spans="1:5">
      <c r="A185" s="8"/>
      <c r="E185" s="8"/>
    </row>
    <row r="186" spans="1:5">
      <c r="A186" s="8"/>
      <c r="E186" s="8"/>
    </row>
    <row r="187" spans="1:5">
      <c r="A187" s="8"/>
      <c r="E187" s="8"/>
    </row>
    <row r="188" spans="1:5">
      <c r="A188" s="8"/>
      <c r="E188" s="8"/>
    </row>
    <row r="189" spans="1:5">
      <c r="A189" s="8"/>
      <c r="E189" s="8"/>
    </row>
    <row r="190" spans="1:5">
      <c r="A190" s="8"/>
      <c r="E190" s="8"/>
    </row>
    <row r="191" spans="1:5">
      <c r="A191" s="8"/>
      <c r="E191" s="8"/>
    </row>
    <row r="192" spans="1:5">
      <c r="A192" s="8"/>
      <c r="E192" s="8"/>
    </row>
    <row r="193" spans="1:5">
      <c r="A193" s="8"/>
      <c r="E193" s="8"/>
    </row>
    <row r="194" spans="1:5">
      <c r="A194" s="8"/>
      <c r="E194" s="8"/>
    </row>
    <row r="195" spans="1:5">
      <c r="A195" s="8"/>
      <c r="E195" s="8"/>
    </row>
    <row r="196" spans="1:5">
      <c r="A196" s="8"/>
      <c r="E196" s="8"/>
    </row>
    <row r="197" spans="1:5">
      <c r="A197" s="8"/>
      <c r="E197" s="8"/>
    </row>
    <row r="198" spans="1:5">
      <c r="A198" s="8"/>
      <c r="E198" s="8"/>
    </row>
    <row r="199" spans="1:5">
      <c r="A199" s="8"/>
      <c r="E199" s="8"/>
    </row>
    <row r="200" spans="1:5">
      <c r="A200" s="8"/>
      <c r="E200" s="8"/>
    </row>
    <row r="201" spans="1:5">
      <c r="A201" s="8"/>
      <c r="E201" s="8"/>
    </row>
    <row r="202" spans="1:5">
      <c r="A202" s="8"/>
      <c r="E202" s="8"/>
    </row>
    <row r="203" spans="1:5">
      <c r="A203" s="8"/>
      <c r="E203" s="8"/>
    </row>
    <row r="204" spans="1:5">
      <c r="A204" s="8"/>
      <c r="E204" s="8"/>
    </row>
    <row r="205" spans="1:5">
      <c r="A205" s="8"/>
      <c r="E205" s="8"/>
    </row>
    <row r="206" spans="1:5">
      <c r="A206" s="8"/>
      <c r="E206" s="8"/>
    </row>
    <row r="207" spans="1:5">
      <c r="A207" s="8"/>
      <c r="E207" s="8"/>
    </row>
    <row r="208" spans="1:5">
      <c r="A208" s="8"/>
      <c r="E208" s="8"/>
    </row>
    <row r="209" spans="1:5">
      <c r="A209" s="8"/>
      <c r="E209" s="8"/>
    </row>
    <row r="210" spans="1:5">
      <c r="A210" s="8"/>
      <c r="E210" s="8"/>
    </row>
    <row r="211" spans="1:5">
      <c r="A211" s="8"/>
      <c r="E211" s="8"/>
    </row>
    <row r="212" spans="1:5">
      <c r="A212" s="8"/>
      <c r="E212" s="8"/>
    </row>
    <row r="213" spans="1:5">
      <c r="A213" s="8"/>
      <c r="E213" s="8"/>
    </row>
    <row r="214" spans="1:5">
      <c r="A214" s="8"/>
      <c r="E214" s="8"/>
    </row>
    <row r="215" spans="1:5">
      <c r="A215" s="8"/>
      <c r="E215" s="8"/>
    </row>
    <row r="216" spans="1:5">
      <c r="A216" s="8"/>
      <c r="E216" s="8"/>
    </row>
    <row r="217" spans="1:5">
      <c r="A217" s="8"/>
      <c r="E217" s="8"/>
    </row>
    <row r="218" spans="1:5">
      <c r="A218" s="8"/>
      <c r="E218" s="8"/>
    </row>
    <row r="219" spans="1:5">
      <c r="A219" s="8"/>
      <c r="E219" s="8"/>
    </row>
    <row r="220" spans="1:5">
      <c r="A220" s="8"/>
      <c r="E220" s="8"/>
    </row>
    <row r="221" spans="1:5">
      <c r="A221" s="8"/>
      <c r="E221" s="8"/>
    </row>
    <row r="222" spans="1:5">
      <c r="A222" s="8"/>
      <c r="E222" s="8"/>
    </row>
    <row r="223" spans="1:5">
      <c r="A223" s="8"/>
      <c r="E223" s="8"/>
    </row>
    <row r="224" spans="1:5">
      <c r="A224" s="8"/>
      <c r="E224" s="8"/>
    </row>
    <row r="225" spans="1:5">
      <c r="A225" s="8"/>
      <c r="E225" s="8"/>
    </row>
    <row r="226" spans="1:5">
      <c r="A226" s="8"/>
      <c r="E226" s="8"/>
    </row>
    <row r="227" spans="1:5">
      <c r="A227" s="8"/>
      <c r="E227" s="8"/>
    </row>
    <row r="228" spans="1:5">
      <c r="A228" s="8"/>
      <c r="E228" s="8"/>
    </row>
    <row r="229" spans="1:5">
      <c r="A229" s="8"/>
      <c r="E229" s="8"/>
    </row>
    <row r="230" spans="1:5">
      <c r="A230" s="8"/>
      <c r="E230" s="8"/>
    </row>
    <row r="231" spans="1:5">
      <c r="A231" s="8"/>
      <c r="E231" s="8"/>
    </row>
    <row r="232" spans="1:5">
      <c r="A232" s="8"/>
      <c r="E232" s="8"/>
    </row>
    <row r="233" spans="1:5">
      <c r="A233" s="8"/>
      <c r="E233" s="8"/>
    </row>
    <row r="234" spans="1:5">
      <c r="A234" s="8"/>
      <c r="E234" s="8"/>
    </row>
  </sheetData>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2293"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2294" r:id="rId5" name="Button 6">
              <controlPr defaultSize="0" print="0" autoFill="0" autoPict="0" macro="[0]!Previous_Button_Click">
                <anchor moveWithCells="1" sizeWithCells="1">
                  <from>
                    <xdr:col>3</xdr:col>
                    <xdr:colOff>203200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2295"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R274"/>
  <sheetViews>
    <sheetView workbookViewId="0"/>
  </sheetViews>
  <sheetFormatPr baseColWidth="10" defaultColWidth="8.83203125" defaultRowHeight="12" x14ac:dyDescent="0"/>
  <cols>
    <col min="1" max="1" width="11.83203125" customWidth="1"/>
    <col min="2" max="2" width="10.5" customWidth="1"/>
    <col min="4" max="4" width="12.33203125" customWidth="1"/>
    <col min="6" max="6" width="12.5" customWidth="1"/>
    <col min="7" max="7" width="9.33203125" bestFit="1" customWidth="1"/>
    <col min="8" max="8" width="11" customWidth="1"/>
    <col min="9" max="9" width="13.5" customWidth="1"/>
    <col min="10" max="11" width="10.1640625" bestFit="1" customWidth="1"/>
    <col min="14" max="14" width="15.5" customWidth="1"/>
    <col min="16" max="16" width="20.5" customWidth="1"/>
    <col min="18" max="18" width="12" customWidth="1"/>
  </cols>
  <sheetData>
    <row r="1" spans="1:14">
      <c r="A1" s="21"/>
      <c r="B1" s="21"/>
      <c r="C1" s="21" t="s">
        <v>846</v>
      </c>
      <c r="D1" s="21"/>
      <c r="E1" s="21"/>
      <c r="F1" s="21"/>
      <c r="G1" s="21"/>
      <c r="H1" s="21"/>
      <c r="I1" s="21"/>
      <c r="J1" s="21"/>
      <c r="K1" s="21"/>
      <c r="L1" s="21"/>
      <c r="M1" s="21"/>
      <c r="N1" s="21"/>
    </row>
    <row r="2" spans="1:14" ht="21" customHeight="1">
      <c r="A2" s="21"/>
      <c r="B2" s="21"/>
      <c r="C2" s="21"/>
      <c r="D2" s="374"/>
      <c r="E2" s="374"/>
      <c r="F2" s="374"/>
      <c r="G2" s="374"/>
      <c r="H2" s="374"/>
      <c r="I2" s="374"/>
      <c r="J2" s="374"/>
      <c r="K2" s="374"/>
      <c r="L2" s="374"/>
      <c r="M2" s="374"/>
      <c r="N2" s="374"/>
    </row>
    <row r="3" spans="1:14">
      <c r="A3" s="19" t="s">
        <v>1045</v>
      </c>
      <c r="B3" s="20" t="s">
        <v>1253</v>
      </c>
      <c r="C3" s="21"/>
      <c r="D3" s="21"/>
      <c r="E3" s="21"/>
      <c r="F3" s="21"/>
      <c r="G3" s="21"/>
      <c r="H3" s="21"/>
      <c r="I3" s="21"/>
      <c r="J3" s="21"/>
      <c r="K3" s="21"/>
      <c r="L3" s="21"/>
      <c r="M3" s="21"/>
      <c r="N3" s="21"/>
    </row>
    <row r="4" spans="1:14">
      <c r="A4" s="19" t="s">
        <v>774</v>
      </c>
      <c r="B4" s="20" t="s">
        <v>248</v>
      </c>
      <c r="C4" s="21"/>
      <c r="D4" s="21"/>
      <c r="E4" s="21"/>
      <c r="F4" s="21"/>
      <c r="G4" s="21"/>
      <c r="H4" s="21"/>
      <c r="I4" s="21"/>
      <c r="J4" s="21"/>
      <c r="K4" s="21"/>
      <c r="L4" s="21"/>
      <c r="M4" s="21"/>
      <c r="N4" s="21"/>
    </row>
    <row r="5" spans="1:14" ht="14.25" customHeight="1">
      <c r="A5" s="19" t="s">
        <v>127</v>
      </c>
      <c r="B5" s="449" t="s">
        <v>812</v>
      </c>
      <c r="C5" s="450"/>
      <c r="D5" s="450"/>
      <c r="E5" s="450"/>
      <c r="F5" s="450"/>
      <c r="G5" s="450"/>
      <c r="H5" s="450"/>
      <c r="I5" s="450"/>
      <c r="J5" s="450"/>
      <c r="K5" s="21"/>
      <c r="L5" s="21"/>
      <c r="M5" s="21"/>
      <c r="N5" s="21"/>
    </row>
    <row r="6" spans="1:14" ht="26.25" customHeight="1">
      <c r="A6" s="19"/>
      <c r="B6" s="21"/>
      <c r="C6" s="21"/>
      <c r="D6" s="21"/>
      <c r="E6" s="21"/>
      <c r="F6" s="21"/>
      <c r="G6" s="21"/>
      <c r="H6" s="21"/>
      <c r="I6" s="21"/>
      <c r="J6" s="21"/>
      <c r="K6" s="21"/>
      <c r="L6" s="21"/>
      <c r="M6" s="21"/>
      <c r="N6" s="21"/>
    </row>
    <row r="7" spans="1:14" ht="26.25" hidden="1" customHeight="1">
      <c r="A7" s="19"/>
      <c r="B7" s="135" t="s">
        <v>121</v>
      </c>
      <c r="C7" s="21"/>
      <c r="D7" s="21"/>
      <c r="E7" s="21"/>
      <c r="F7" s="21"/>
      <c r="G7" s="21"/>
      <c r="H7" s="21"/>
      <c r="I7" s="21"/>
      <c r="J7" s="21"/>
      <c r="K7" s="21"/>
      <c r="L7" s="21"/>
      <c r="M7" s="21"/>
      <c r="N7" s="21"/>
    </row>
    <row r="8" spans="1:14" ht="26.25" hidden="1" customHeight="1">
      <c r="A8" s="19"/>
      <c r="B8" s="149" t="s">
        <v>122</v>
      </c>
      <c r="C8" s="21"/>
      <c r="D8" s="21"/>
      <c r="E8" s="21"/>
      <c r="F8" s="21"/>
      <c r="G8" s="21"/>
      <c r="H8" s="21"/>
      <c r="I8" s="21"/>
      <c r="J8" s="21"/>
      <c r="K8" s="21"/>
      <c r="L8" s="21"/>
      <c r="M8" s="21"/>
      <c r="N8" s="21"/>
    </row>
    <row r="9" spans="1:14" ht="26.25" hidden="1" customHeight="1">
      <c r="A9" s="19"/>
      <c r="B9" s="135" t="s">
        <v>123</v>
      </c>
      <c r="C9" s="21"/>
      <c r="D9" s="21"/>
      <c r="E9" s="21"/>
      <c r="F9" s="21"/>
      <c r="G9" s="21"/>
      <c r="H9" s="21"/>
      <c r="I9" s="21"/>
      <c r="J9" s="21"/>
      <c r="K9" s="21"/>
      <c r="L9" s="21"/>
      <c r="M9" s="21"/>
      <c r="N9" s="21"/>
    </row>
    <row r="10" spans="1:14" ht="26.25" hidden="1" customHeight="1">
      <c r="A10" s="19"/>
      <c r="B10" s="135"/>
      <c r="C10" s="21"/>
      <c r="D10" s="21"/>
      <c r="E10" s="21"/>
      <c r="F10" s="21"/>
      <c r="G10" s="21"/>
      <c r="H10" s="21"/>
      <c r="I10" s="21"/>
      <c r="J10" s="21"/>
      <c r="K10" s="21"/>
      <c r="L10" s="21"/>
      <c r="M10" s="21"/>
      <c r="N10" s="21"/>
    </row>
    <row r="11" spans="1:14" ht="110.25" hidden="1" customHeight="1">
      <c r="A11" s="19"/>
      <c r="B11" s="135" t="s">
        <v>124</v>
      </c>
      <c r="C11" s="21"/>
      <c r="D11" s="21"/>
      <c r="E11" s="21"/>
      <c r="F11" s="21"/>
      <c r="G11" s="21"/>
      <c r="H11" s="21"/>
      <c r="I11" s="21"/>
      <c r="J11" s="21"/>
      <c r="K11" s="21"/>
      <c r="L11" s="21"/>
      <c r="M11" s="21"/>
      <c r="N11" s="21"/>
    </row>
    <row r="12" spans="1:14" ht="110.25" hidden="1" customHeight="1">
      <c r="A12" s="19"/>
      <c r="B12" s="135"/>
      <c r="C12" s="21"/>
      <c r="D12" s="21"/>
      <c r="E12" s="21"/>
      <c r="F12" s="21"/>
      <c r="G12" s="21"/>
      <c r="H12" s="21"/>
      <c r="I12" s="21"/>
      <c r="J12" s="21"/>
      <c r="K12" s="21"/>
      <c r="L12" s="21"/>
      <c r="M12" s="21"/>
      <c r="N12" s="21"/>
    </row>
    <row r="13" spans="1:14" ht="33.75" customHeight="1">
      <c r="A13" s="19"/>
      <c r="B13" s="452" t="s">
        <v>121</v>
      </c>
      <c r="C13" s="462"/>
      <c r="D13" s="462"/>
      <c r="E13" s="462"/>
      <c r="F13" s="462"/>
      <c r="G13" s="462"/>
      <c r="H13" s="462"/>
      <c r="I13" s="462"/>
      <c r="J13" s="462"/>
      <c r="K13" s="21"/>
      <c r="L13" s="21"/>
      <c r="M13" s="21"/>
      <c r="N13" s="21"/>
    </row>
    <row r="14" spans="1:14" ht="21" customHeight="1">
      <c r="A14" s="19"/>
      <c r="B14" s="135"/>
      <c r="C14" s="189" t="s">
        <v>122</v>
      </c>
      <c r="D14" s="21"/>
      <c r="E14" s="21"/>
      <c r="F14" s="21"/>
      <c r="G14" s="21"/>
      <c r="H14" s="21"/>
      <c r="I14" s="21"/>
      <c r="J14" s="21"/>
      <c r="K14" s="21"/>
      <c r="L14" s="21"/>
      <c r="M14" s="21"/>
      <c r="N14" s="21"/>
    </row>
    <row r="15" spans="1:14" ht="41.25" customHeight="1">
      <c r="A15" s="19"/>
      <c r="B15" s="452" t="s">
        <v>123</v>
      </c>
      <c r="C15" s="453"/>
      <c r="D15" s="453"/>
      <c r="E15" s="453"/>
      <c r="F15" s="453"/>
      <c r="G15" s="453"/>
      <c r="H15" s="453"/>
      <c r="I15" s="453"/>
      <c r="J15" s="453"/>
      <c r="K15" s="21"/>
      <c r="L15" s="21"/>
      <c r="M15" s="21"/>
      <c r="N15" s="21"/>
    </row>
    <row r="16" spans="1:14" ht="38.25" customHeight="1">
      <c r="A16" s="19"/>
      <c r="B16" s="452" t="s">
        <v>124</v>
      </c>
      <c r="C16" s="453"/>
      <c r="D16" s="453"/>
      <c r="E16" s="453"/>
      <c r="F16" s="453"/>
      <c r="G16" s="453"/>
      <c r="H16" s="453"/>
      <c r="I16" s="453"/>
      <c r="J16" s="453"/>
      <c r="K16" s="21"/>
      <c r="L16" s="21"/>
      <c r="M16" s="21"/>
      <c r="N16" s="21"/>
    </row>
    <row r="17" spans="1:16" ht="15.75" customHeight="1">
      <c r="A17" s="19"/>
      <c r="B17" s="449" t="s">
        <v>125</v>
      </c>
      <c r="C17" s="450"/>
      <c r="D17" s="450"/>
      <c r="E17" s="450"/>
      <c r="F17" s="450"/>
      <c r="G17" s="450"/>
      <c r="H17" s="450"/>
      <c r="I17" s="450"/>
      <c r="J17" s="450"/>
      <c r="K17" s="21"/>
      <c r="L17" s="21"/>
      <c r="M17" s="21"/>
      <c r="N17" s="21"/>
    </row>
    <row r="18" spans="1:16" ht="39" customHeight="1">
      <c r="A18" s="19"/>
      <c r="B18" s="21"/>
      <c r="C18" s="21"/>
      <c r="D18" s="21"/>
      <c r="E18" s="21"/>
      <c r="F18" s="21"/>
      <c r="G18" s="21"/>
      <c r="H18" s="21"/>
      <c r="I18" s="21"/>
      <c r="J18" s="21"/>
      <c r="K18" s="21"/>
      <c r="L18" s="21"/>
      <c r="M18" s="21"/>
      <c r="N18" s="21"/>
    </row>
    <row r="19" spans="1:16" ht="15.75" customHeight="1">
      <c r="A19" s="19"/>
      <c r="B19" s="449" t="s">
        <v>126</v>
      </c>
      <c r="C19" s="450"/>
      <c r="D19" s="450"/>
      <c r="E19" s="450"/>
      <c r="F19" s="450"/>
      <c r="G19" s="450"/>
      <c r="H19" s="450"/>
      <c r="I19" s="450"/>
      <c r="J19" s="450"/>
      <c r="K19" s="21"/>
      <c r="L19" s="21"/>
      <c r="M19" s="21"/>
      <c r="N19" s="21"/>
    </row>
    <row r="20" spans="1:16" ht="36.75" customHeight="1">
      <c r="A20" s="19"/>
      <c r="B20" s="21"/>
      <c r="C20" s="21"/>
      <c r="D20" s="21"/>
      <c r="E20" s="21"/>
      <c r="F20" s="21"/>
      <c r="G20" s="21"/>
      <c r="H20" s="21"/>
      <c r="I20" s="21"/>
      <c r="J20" s="21"/>
      <c r="K20" s="21"/>
      <c r="L20" s="21"/>
      <c r="M20" s="21"/>
      <c r="N20" s="21"/>
    </row>
    <row r="21" spans="1:16">
      <c r="A21" s="19" t="s">
        <v>635</v>
      </c>
      <c r="B21" s="21" t="s">
        <v>640</v>
      </c>
      <c r="C21" s="21"/>
      <c r="D21" s="21"/>
      <c r="E21" s="21"/>
      <c r="F21" s="21"/>
      <c r="G21" s="21"/>
      <c r="H21" s="21"/>
      <c r="I21" s="21"/>
      <c r="J21" s="21"/>
      <c r="K21" s="21"/>
      <c r="L21" s="21"/>
      <c r="M21" s="21"/>
      <c r="N21" s="21"/>
    </row>
    <row r="22" spans="1:16" ht="48">
      <c r="A22" s="22" t="s">
        <v>1090</v>
      </c>
      <c r="B22" s="22" t="s">
        <v>1096</v>
      </c>
      <c r="C22" s="22" t="s">
        <v>1097</v>
      </c>
      <c r="D22" s="22" t="s">
        <v>1098</v>
      </c>
      <c r="E22" s="22" t="s">
        <v>1099</v>
      </c>
      <c r="F22" s="31" t="s">
        <v>161</v>
      </c>
      <c r="G22" s="31" t="s">
        <v>162</v>
      </c>
      <c r="H22" s="31" t="s">
        <v>163</v>
      </c>
      <c r="I22" s="31" t="s">
        <v>164</v>
      </c>
      <c r="J22" s="31" t="s">
        <v>165</v>
      </c>
      <c r="K22" s="151" t="s">
        <v>166</v>
      </c>
      <c r="L22" s="151" t="s">
        <v>960</v>
      </c>
      <c r="M22" s="151" t="s">
        <v>167</v>
      </c>
      <c r="N22" s="151" t="s">
        <v>168</v>
      </c>
      <c r="O22" s="18"/>
    </row>
    <row r="23" spans="1:16">
      <c r="A23" s="26">
        <v>34092</v>
      </c>
      <c r="B23" s="112">
        <v>6.1093999999999999</v>
      </c>
      <c r="C23" s="112">
        <v>5.9531000000000001</v>
      </c>
      <c r="D23" s="112">
        <v>6.0625</v>
      </c>
      <c r="E23" s="77">
        <v>340384</v>
      </c>
      <c r="F23" s="112">
        <f>(B23+C23+D23)/3</f>
        <v>6.041666666666667</v>
      </c>
      <c r="G23" s="255">
        <f>F23*E23</f>
        <v>2056486.6666666667</v>
      </c>
      <c r="H23" s="255"/>
      <c r="I23" s="255"/>
      <c r="J23" s="256"/>
      <c r="K23" s="283"/>
      <c r="L23" s="21"/>
      <c r="M23" s="21"/>
      <c r="N23" s="21"/>
      <c r="P23" s="8"/>
    </row>
    <row r="24" spans="1:16">
      <c r="A24" s="26">
        <v>34093</v>
      </c>
      <c r="B24" s="112">
        <v>6.4062999999999999</v>
      </c>
      <c r="C24" s="112">
        <v>6.0937999999999999</v>
      </c>
      <c r="D24" s="112">
        <v>6.3358999999999996</v>
      </c>
      <c r="E24" s="77">
        <v>691088</v>
      </c>
      <c r="F24" s="112">
        <f t="shared" ref="F24:F39" si="0">(B24+C24+D24)/3</f>
        <v>6.2786666666666662</v>
      </c>
      <c r="G24" s="255">
        <f t="shared" ref="G24:G39" si="1">F24*E24</f>
        <v>4339111.1893333327</v>
      </c>
      <c r="H24" s="255">
        <f t="shared" ref="H24:H39" si="2">IF(F24&gt;F23,G24,0)</f>
        <v>4339111.1893333327</v>
      </c>
      <c r="I24" s="255">
        <f t="shared" ref="I24:I38" si="3">IF(F24&lt;F23,G24,0)</f>
        <v>0</v>
      </c>
      <c r="J24" s="256"/>
      <c r="K24" s="283"/>
      <c r="L24" s="21"/>
      <c r="M24" s="21"/>
      <c r="N24" s="21"/>
      <c r="P24" s="8"/>
    </row>
    <row r="25" spans="1:16">
      <c r="A25" s="27">
        <v>34094</v>
      </c>
      <c r="B25" s="111">
        <v>6.4375</v>
      </c>
      <c r="C25" s="111">
        <v>6.2187999999999999</v>
      </c>
      <c r="D25" s="111">
        <v>6.3437999999999999</v>
      </c>
      <c r="E25" s="79">
        <v>536624</v>
      </c>
      <c r="F25" s="111">
        <f t="shared" si="0"/>
        <v>6.3333666666666666</v>
      </c>
      <c r="G25" s="257">
        <f t="shared" si="1"/>
        <v>3398636.5541333333</v>
      </c>
      <c r="H25" s="257">
        <f t="shared" si="2"/>
        <v>3398636.5541333333</v>
      </c>
      <c r="I25" s="257">
        <f t="shared" si="3"/>
        <v>0</v>
      </c>
      <c r="J25" s="258"/>
      <c r="K25" s="284"/>
      <c r="L25" s="153"/>
      <c r="M25" s="153"/>
      <c r="N25" s="153"/>
      <c r="P25" s="8"/>
    </row>
    <row r="26" spans="1:16">
      <c r="A26" s="27">
        <v>34095</v>
      </c>
      <c r="B26" s="111">
        <v>6.4843999999999999</v>
      </c>
      <c r="C26" s="111">
        <v>6.3125</v>
      </c>
      <c r="D26" s="111">
        <v>6.3281000000000001</v>
      </c>
      <c r="E26" s="79">
        <v>470944</v>
      </c>
      <c r="F26" s="111">
        <f t="shared" si="0"/>
        <v>6.375</v>
      </c>
      <c r="G26" s="257">
        <f t="shared" si="1"/>
        <v>3002268</v>
      </c>
      <c r="H26" s="257">
        <f t="shared" si="2"/>
        <v>3002268</v>
      </c>
      <c r="I26" s="257">
        <f t="shared" si="3"/>
        <v>0</v>
      </c>
      <c r="J26" s="258"/>
      <c r="K26" s="284"/>
      <c r="L26" s="153"/>
      <c r="M26" s="153"/>
      <c r="N26" s="153"/>
      <c r="P26" s="8"/>
    </row>
    <row r="27" spans="1:16">
      <c r="A27" s="26">
        <v>34096</v>
      </c>
      <c r="B27" s="112">
        <v>6.4218999999999999</v>
      </c>
      <c r="C27" s="112">
        <v>6.2968999999999999</v>
      </c>
      <c r="D27" s="112">
        <v>6.375</v>
      </c>
      <c r="E27" s="77">
        <v>356992</v>
      </c>
      <c r="F27" s="112">
        <f t="shared" si="0"/>
        <v>6.3646000000000003</v>
      </c>
      <c r="G27" s="255">
        <f t="shared" si="1"/>
        <v>2272111.2831999999</v>
      </c>
      <c r="H27" s="255">
        <f t="shared" si="2"/>
        <v>0</v>
      </c>
      <c r="I27" s="255">
        <f t="shared" si="3"/>
        <v>2272111.2831999999</v>
      </c>
      <c r="J27" s="256"/>
      <c r="K27" s="283"/>
      <c r="L27" s="21"/>
      <c r="M27" s="21"/>
      <c r="N27" s="21"/>
      <c r="P27" s="8"/>
    </row>
    <row r="28" spans="1:16">
      <c r="A28" s="26">
        <v>34099</v>
      </c>
      <c r="B28" s="112">
        <v>6.4687999999999999</v>
      </c>
      <c r="C28" s="112">
        <v>6.375</v>
      </c>
      <c r="D28" s="112">
        <v>6.4062999999999999</v>
      </c>
      <c r="E28" s="77">
        <v>399920</v>
      </c>
      <c r="F28" s="112">
        <f t="shared" si="0"/>
        <v>6.4166999999999996</v>
      </c>
      <c r="G28" s="255">
        <f t="shared" si="1"/>
        <v>2566166.6639999999</v>
      </c>
      <c r="H28" s="255">
        <f t="shared" si="2"/>
        <v>2566166.6639999999</v>
      </c>
      <c r="I28" s="255">
        <f t="shared" si="3"/>
        <v>0</v>
      </c>
      <c r="J28" s="256"/>
      <c r="K28" s="283"/>
      <c r="L28" s="21"/>
      <c r="M28" s="21"/>
      <c r="N28" s="21"/>
      <c r="P28" s="8"/>
    </row>
    <row r="29" spans="1:16">
      <c r="A29" s="27">
        <v>34100</v>
      </c>
      <c r="B29" s="111">
        <v>6.3437999999999999</v>
      </c>
      <c r="C29" s="111">
        <v>6.1952999999999996</v>
      </c>
      <c r="D29" s="111">
        <v>6.2187999999999999</v>
      </c>
      <c r="E29" s="79">
        <v>589984</v>
      </c>
      <c r="F29" s="111">
        <f t="shared" si="0"/>
        <v>6.2526333333333328</v>
      </c>
      <c r="G29" s="257">
        <f t="shared" si="1"/>
        <v>3688953.6245333329</v>
      </c>
      <c r="H29" s="257">
        <f t="shared" si="2"/>
        <v>0</v>
      </c>
      <c r="I29" s="257">
        <f t="shared" si="3"/>
        <v>3688953.6245333329</v>
      </c>
      <c r="J29" s="258"/>
      <c r="K29" s="284"/>
      <c r="L29" s="153"/>
      <c r="M29" s="153"/>
      <c r="N29" s="153"/>
      <c r="P29" s="8"/>
    </row>
    <row r="30" spans="1:16">
      <c r="A30" s="27">
        <v>34101</v>
      </c>
      <c r="B30" s="111">
        <v>6.2187999999999999</v>
      </c>
      <c r="C30" s="111">
        <v>6.1016000000000004</v>
      </c>
      <c r="D30" s="111">
        <v>6.125</v>
      </c>
      <c r="E30" s="79">
        <v>259152</v>
      </c>
      <c r="F30" s="111">
        <f t="shared" si="0"/>
        <v>6.1484666666666667</v>
      </c>
      <c r="G30" s="257">
        <f t="shared" si="1"/>
        <v>1593387.4336000001</v>
      </c>
      <c r="H30" s="257">
        <f t="shared" si="2"/>
        <v>0</v>
      </c>
      <c r="I30" s="257">
        <f t="shared" si="3"/>
        <v>1593387.4336000001</v>
      </c>
      <c r="J30" s="258"/>
      <c r="K30" s="284"/>
      <c r="L30" s="153"/>
      <c r="M30" s="153"/>
      <c r="N30" s="153"/>
      <c r="P30" s="8"/>
    </row>
    <row r="31" spans="1:16">
      <c r="A31" s="26">
        <v>34102</v>
      </c>
      <c r="B31" s="112">
        <v>6.1406000000000001</v>
      </c>
      <c r="C31" s="112">
        <v>6</v>
      </c>
      <c r="D31" s="112">
        <v>6.1172000000000004</v>
      </c>
      <c r="E31" s="77">
        <v>379152</v>
      </c>
      <c r="F31" s="112">
        <f t="shared" si="0"/>
        <v>6.0859333333333332</v>
      </c>
      <c r="G31" s="255">
        <f t="shared" si="1"/>
        <v>2307493.7952000001</v>
      </c>
      <c r="H31" s="255">
        <f t="shared" si="2"/>
        <v>0</v>
      </c>
      <c r="I31" s="255">
        <f t="shared" si="3"/>
        <v>2307493.7952000001</v>
      </c>
      <c r="J31" s="256"/>
      <c r="K31" s="283"/>
      <c r="L31" s="21"/>
      <c r="M31" s="21"/>
      <c r="N31" s="21"/>
      <c r="P31" s="8"/>
    </row>
    <row r="32" spans="1:16">
      <c r="A32" s="26">
        <v>34103</v>
      </c>
      <c r="B32" s="112">
        <v>6.2031000000000001</v>
      </c>
      <c r="C32" s="112">
        <v>6.0937999999999999</v>
      </c>
      <c r="D32" s="112">
        <v>6.0937999999999999</v>
      </c>
      <c r="E32" s="77">
        <v>269856</v>
      </c>
      <c r="F32" s="112">
        <f t="shared" si="0"/>
        <v>6.1302333333333339</v>
      </c>
      <c r="G32" s="255">
        <f t="shared" si="1"/>
        <v>1654280.2464000001</v>
      </c>
      <c r="H32" s="255">
        <f t="shared" si="2"/>
        <v>1654280.2464000001</v>
      </c>
      <c r="I32" s="255">
        <f t="shared" si="3"/>
        <v>0</v>
      </c>
      <c r="J32" s="256"/>
      <c r="K32" s="283"/>
      <c r="L32" s="21"/>
      <c r="M32" s="21"/>
      <c r="N32" s="21"/>
      <c r="P32" s="8"/>
    </row>
    <row r="33" spans="1:18">
      <c r="A33" s="27">
        <v>34106</v>
      </c>
      <c r="B33" s="111">
        <v>6.2108999999999996</v>
      </c>
      <c r="C33" s="111">
        <v>6.0937999999999999</v>
      </c>
      <c r="D33" s="111">
        <v>6.1875</v>
      </c>
      <c r="E33" s="79">
        <v>195152</v>
      </c>
      <c r="F33" s="111">
        <f t="shared" si="0"/>
        <v>6.1640666666666668</v>
      </c>
      <c r="G33" s="257">
        <f t="shared" si="1"/>
        <v>1202929.9381333333</v>
      </c>
      <c r="H33" s="257">
        <f t="shared" si="2"/>
        <v>1202929.9381333333</v>
      </c>
      <c r="I33" s="257">
        <f t="shared" si="3"/>
        <v>0</v>
      </c>
      <c r="J33" s="258"/>
      <c r="K33" s="284"/>
      <c r="L33" s="153"/>
      <c r="M33" s="153"/>
      <c r="N33" s="153"/>
      <c r="P33" s="8"/>
    </row>
    <row r="34" spans="1:18">
      <c r="A34" s="27">
        <v>34107</v>
      </c>
      <c r="B34" s="111">
        <v>6.3281000000000001</v>
      </c>
      <c r="C34" s="111">
        <v>6.2187999999999999</v>
      </c>
      <c r="D34" s="111">
        <v>6.3281000000000001</v>
      </c>
      <c r="E34" s="79">
        <v>390208</v>
      </c>
      <c r="F34" s="111">
        <f t="shared" si="0"/>
        <v>6.291666666666667</v>
      </c>
      <c r="G34" s="257">
        <f t="shared" si="1"/>
        <v>2455058.666666667</v>
      </c>
      <c r="H34" s="257">
        <f t="shared" si="2"/>
        <v>2455058.666666667</v>
      </c>
      <c r="I34" s="257">
        <f t="shared" si="3"/>
        <v>0</v>
      </c>
      <c r="J34" s="258"/>
      <c r="K34" s="284"/>
      <c r="L34" s="153"/>
      <c r="M34" s="153"/>
      <c r="N34" s="153"/>
      <c r="P34" s="8"/>
    </row>
    <row r="35" spans="1:18">
      <c r="A35" s="26">
        <v>34108</v>
      </c>
      <c r="B35" s="112">
        <v>6.6093999999999999</v>
      </c>
      <c r="C35" s="112">
        <v>6.3593999999999999</v>
      </c>
      <c r="D35" s="112">
        <v>6.5312999999999999</v>
      </c>
      <c r="E35" s="77">
        <v>557168</v>
      </c>
      <c r="F35" s="112">
        <f t="shared" si="0"/>
        <v>6.5000333333333336</v>
      </c>
      <c r="G35" s="255">
        <f t="shared" si="1"/>
        <v>3621610.5722666667</v>
      </c>
      <c r="H35" s="255">
        <f t="shared" si="2"/>
        <v>3621610.5722666667</v>
      </c>
      <c r="I35" s="255">
        <f t="shared" si="3"/>
        <v>0</v>
      </c>
      <c r="J35" s="256"/>
      <c r="K35" s="283"/>
      <c r="L35" s="21"/>
      <c r="M35" s="21"/>
      <c r="N35" s="21"/>
      <c r="P35" s="8"/>
    </row>
    <row r="36" spans="1:18">
      <c r="A36" s="26">
        <v>34109</v>
      </c>
      <c r="B36" s="112">
        <v>6.5625</v>
      </c>
      <c r="C36" s="112">
        <v>6.4687999999999999</v>
      </c>
      <c r="D36" s="112">
        <v>6.5156000000000001</v>
      </c>
      <c r="E36" s="77">
        <v>267728</v>
      </c>
      <c r="F36" s="112">
        <f t="shared" si="0"/>
        <v>6.5156333333333336</v>
      </c>
      <c r="G36" s="255">
        <f t="shared" si="1"/>
        <v>1744417.4810666668</v>
      </c>
      <c r="H36" s="255">
        <f t="shared" si="2"/>
        <v>1744417.4810666668</v>
      </c>
      <c r="I36" s="255">
        <f t="shared" si="3"/>
        <v>0</v>
      </c>
      <c r="J36" s="256"/>
      <c r="K36" s="283"/>
      <c r="L36" s="132"/>
      <c r="M36" s="132"/>
      <c r="N36" s="132"/>
      <c r="P36" s="440"/>
    </row>
    <row r="37" spans="1:18">
      <c r="A37" s="27">
        <v>34110</v>
      </c>
      <c r="B37" s="111">
        <v>6.5625</v>
      </c>
      <c r="C37" s="111">
        <v>6.4531000000000001</v>
      </c>
      <c r="D37" s="111">
        <v>6.4687999999999999</v>
      </c>
      <c r="E37" s="79">
        <v>318816</v>
      </c>
      <c r="F37" s="111">
        <f t="shared" si="0"/>
        <v>6.4948000000000006</v>
      </c>
      <c r="G37" s="257">
        <f t="shared" si="1"/>
        <v>2070646.1568000002</v>
      </c>
      <c r="H37" s="257">
        <f t="shared" si="2"/>
        <v>0</v>
      </c>
      <c r="I37" s="257">
        <f t="shared" si="3"/>
        <v>2070646.1568000002</v>
      </c>
      <c r="J37" s="258">
        <f t="shared" ref="J37:K52" si="4">SUM(H24:H37)</f>
        <v>23984479.311999999</v>
      </c>
      <c r="K37" s="284">
        <f t="shared" si="4"/>
        <v>11932592.293333333</v>
      </c>
      <c r="L37" s="154">
        <f t="shared" ref="L37:L52" si="5">J37/K37</f>
        <v>2.0099973855136226</v>
      </c>
      <c r="M37" s="154">
        <f t="shared" ref="M37:M75" si="6">1+L37</f>
        <v>3.0099973855136226</v>
      </c>
      <c r="N37" s="154">
        <f t="shared" ref="N37:N75" si="7">100-(100/M37)</f>
        <v>66.777379780701665</v>
      </c>
      <c r="P37" s="440"/>
      <c r="R37" s="15"/>
    </row>
    <row r="38" spans="1:18">
      <c r="A38" s="27">
        <v>34113</v>
      </c>
      <c r="B38" s="111">
        <v>6.5781299999999998</v>
      </c>
      <c r="C38" s="111">
        <v>6.375</v>
      </c>
      <c r="D38" s="111">
        <v>6.4843799999999998</v>
      </c>
      <c r="E38" s="79">
        <v>262352</v>
      </c>
      <c r="F38" s="111">
        <f t="shared" si="0"/>
        <v>6.4791699999999999</v>
      </c>
      <c r="G38" s="257">
        <f t="shared" si="1"/>
        <v>1699823.20784</v>
      </c>
      <c r="H38" s="257">
        <f t="shared" si="2"/>
        <v>0</v>
      </c>
      <c r="I38" s="257">
        <f t="shared" si="3"/>
        <v>1699823.20784</v>
      </c>
      <c r="J38" s="258">
        <f t="shared" si="4"/>
        <v>19645368.122666668</v>
      </c>
      <c r="K38" s="284">
        <f t="shared" si="4"/>
        <v>13632415.501173332</v>
      </c>
      <c r="L38" s="154">
        <f t="shared" si="5"/>
        <v>1.441077564058681</v>
      </c>
      <c r="M38" s="154">
        <f t="shared" si="6"/>
        <v>2.441077564058681</v>
      </c>
      <c r="N38" s="154">
        <f t="shared" si="7"/>
        <v>59.034484822459291</v>
      </c>
      <c r="P38" s="440"/>
      <c r="R38" s="15"/>
    </row>
    <row r="39" spans="1:18">
      <c r="A39" s="26">
        <v>34114</v>
      </c>
      <c r="B39" s="112">
        <v>6.53125</v>
      </c>
      <c r="C39" s="112">
        <v>6.4218799999999998</v>
      </c>
      <c r="D39" s="112">
        <v>6.4843799999999998</v>
      </c>
      <c r="E39" s="77">
        <v>261008</v>
      </c>
      <c r="F39" s="112">
        <f t="shared" si="0"/>
        <v>6.4791699999999999</v>
      </c>
      <c r="G39" s="255">
        <f t="shared" si="1"/>
        <v>1691115.2033599999</v>
      </c>
      <c r="H39" s="255">
        <f t="shared" si="2"/>
        <v>0</v>
      </c>
      <c r="I39" s="255">
        <f t="shared" ref="I39:I54" si="8">IF(F39&lt;F38,G39,0)</f>
        <v>0</v>
      </c>
      <c r="J39" s="256">
        <f t="shared" si="4"/>
        <v>16246731.568533333</v>
      </c>
      <c r="K39" s="283">
        <f t="shared" si="4"/>
        <v>13632415.501173332</v>
      </c>
      <c r="L39" s="132">
        <f t="shared" si="5"/>
        <v>1.1917720353472931</v>
      </c>
      <c r="M39" s="132">
        <f t="shared" si="6"/>
        <v>2.1917720353472934</v>
      </c>
      <c r="N39" s="132">
        <f t="shared" si="7"/>
        <v>54.374817094445376</v>
      </c>
      <c r="P39" s="440"/>
      <c r="R39" s="15"/>
    </row>
    <row r="40" spans="1:18">
      <c r="A40" s="26">
        <v>34115</v>
      </c>
      <c r="B40" s="112">
        <v>6.9218999999999999</v>
      </c>
      <c r="C40" s="112">
        <v>6.5937999999999999</v>
      </c>
      <c r="D40" s="112">
        <v>6.9062999999999999</v>
      </c>
      <c r="E40" s="77">
        <v>837232</v>
      </c>
      <c r="F40" s="112">
        <f t="shared" ref="F40:F55" si="9">(B40+C40+D40)/3</f>
        <v>6.8073333333333323</v>
      </c>
      <c r="G40" s="255">
        <f t="shared" ref="G40:G55" si="10">F40*E40</f>
        <v>5699317.3013333324</v>
      </c>
      <c r="H40" s="255">
        <f t="shared" ref="H40:H54" si="11">IF(F40&gt;F39,G40,0)</f>
        <v>5699317.3013333324</v>
      </c>
      <c r="I40" s="255">
        <f t="shared" si="8"/>
        <v>0</v>
      </c>
      <c r="J40" s="256">
        <f t="shared" si="4"/>
        <v>18943780.869866665</v>
      </c>
      <c r="K40" s="283">
        <f t="shared" si="4"/>
        <v>13632415.501173332</v>
      </c>
      <c r="L40" s="132">
        <f t="shared" si="5"/>
        <v>1.3896129316360837</v>
      </c>
      <c r="M40" s="132">
        <f t="shared" si="6"/>
        <v>2.3896129316360835</v>
      </c>
      <c r="N40" s="132">
        <f t="shared" si="7"/>
        <v>58.15221842998082</v>
      </c>
      <c r="P40" s="440"/>
      <c r="R40" s="15"/>
    </row>
    <row r="41" spans="1:18">
      <c r="A41" s="27">
        <v>34116</v>
      </c>
      <c r="B41" s="111">
        <v>7.0937999999999999</v>
      </c>
      <c r="C41" s="111">
        <v>6.9687999999999999</v>
      </c>
      <c r="D41" s="111">
        <v>7.0468999999999999</v>
      </c>
      <c r="E41" s="79">
        <v>721136</v>
      </c>
      <c r="F41" s="111">
        <f t="shared" si="9"/>
        <v>7.0365000000000002</v>
      </c>
      <c r="G41" s="257">
        <f t="shared" si="10"/>
        <v>5074273.4639999997</v>
      </c>
      <c r="H41" s="257">
        <f t="shared" si="11"/>
        <v>5074273.4639999997</v>
      </c>
      <c r="I41" s="257">
        <f t="shared" si="8"/>
        <v>0</v>
      </c>
      <c r="J41" s="258">
        <f t="shared" si="4"/>
        <v>24018054.333866663</v>
      </c>
      <c r="K41" s="284">
        <f t="shared" si="4"/>
        <v>11360304.217973333</v>
      </c>
      <c r="L41" s="154">
        <f t="shared" si="5"/>
        <v>2.114208728307406</v>
      </c>
      <c r="M41" s="154">
        <f t="shared" si="6"/>
        <v>3.114208728307406</v>
      </c>
      <c r="N41" s="154">
        <f t="shared" si="7"/>
        <v>67.889114467176171</v>
      </c>
      <c r="P41" s="440"/>
      <c r="R41" s="15"/>
    </row>
    <row r="42" spans="1:18">
      <c r="A42" s="27">
        <v>34117</v>
      </c>
      <c r="B42" s="111">
        <v>7.0312999999999999</v>
      </c>
      <c r="C42" s="111">
        <v>6.8281000000000001</v>
      </c>
      <c r="D42" s="111">
        <v>6.9297000000000004</v>
      </c>
      <c r="E42" s="79">
        <v>337808</v>
      </c>
      <c r="F42" s="111">
        <f t="shared" si="9"/>
        <v>6.9297000000000004</v>
      </c>
      <c r="G42" s="257">
        <f t="shared" si="10"/>
        <v>2340908.0976</v>
      </c>
      <c r="H42" s="257">
        <f t="shared" si="11"/>
        <v>0</v>
      </c>
      <c r="I42" s="257">
        <f t="shared" si="8"/>
        <v>2340908.0976</v>
      </c>
      <c r="J42" s="258">
        <f t="shared" si="4"/>
        <v>21451887.669866666</v>
      </c>
      <c r="K42" s="284">
        <f t="shared" si="4"/>
        <v>13701212.315573333</v>
      </c>
      <c r="L42" s="154">
        <f t="shared" si="5"/>
        <v>1.5656926683402763</v>
      </c>
      <c r="M42" s="154">
        <f t="shared" si="6"/>
        <v>2.5656926683402763</v>
      </c>
      <c r="N42" s="154">
        <f t="shared" si="7"/>
        <v>61.024170496348219</v>
      </c>
      <c r="P42" s="440"/>
      <c r="R42" s="15"/>
    </row>
    <row r="43" spans="1:18">
      <c r="A43" s="26">
        <v>34121</v>
      </c>
      <c r="B43" s="112">
        <v>7.2422000000000004</v>
      </c>
      <c r="C43" s="112">
        <v>6.9218999999999999</v>
      </c>
      <c r="D43" s="112">
        <v>7.2187999999999999</v>
      </c>
      <c r="E43" s="77">
        <v>672416</v>
      </c>
      <c r="F43" s="112">
        <f t="shared" si="9"/>
        <v>7.1276333333333328</v>
      </c>
      <c r="G43" s="255">
        <f t="shared" si="10"/>
        <v>4792734.6954666665</v>
      </c>
      <c r="H43" s="255">
        <f t="shared" si="11"/>
        <v>4792734.6954666665</v>
      </c>
      <c r="I43" s="255">
        <f t="shared" si="8"/>
        <v>0</v>
      </c>
      <c r="J43" s="256">
        <f t="shared" si="4"/>
        <v>26244622.365333334</v>
      </c>
      <c r="K43" s="283">
        <f t="shared" si="4"/>
        <v>10012258.691040002</v>
      </c>
      <c r="L43" s="132">
        <f t="shared" si="5"/>
        <v>2.6212489284580429</v>
      </c>
      <c r="M43" s="132">
        <f t="shared" si="6"/>
        <v>3.6212489284580429</v>
      </c>
      <c r="N43" s="132">
        <f t="shared" si="7"/>
        <v>72.385217924639932</v>
      </c>
      <c r="P43" s="440"/>
      <c r="R43" s="15"/>
    </row>
    <row r="44" spans="1:18">
      <c r="A44" s="26">
        <v>34122</v>
      </c>
      <c r="B44" s="112">
        <v>7.25</v>
      </c>
      <c r="C44" s="112">
        <v>7.1093999999999999</v>
      </c>
      <c r="D44" s="112">
        <v>7.1718999999999999</v>
      </c>
      <c r="E44" s="77">
        <v>403056</v>
      </c>
      <c r="F44" s="112">
        <f t="shared" si="9"/>
        <v>7.1771000000000003</v>
      </c>
      <c r="G44" s="255">
        <f t="shared" si="10"/>
        <v>2892773.2176000001</v>
      </c>
      <c r="H44" s="255">
        <f t="shared" si="11"/>
        <v>2892773.2176000001</v>
      </c>
      <c r="I44" s="255">
        <f t="shared" si="8"/>
        <v>0</v>
      </c>
      <c r="J44" s="256">
        <f t="shared" si="4"/>
        <v>29137395.582933333</v>
      </c>
      <c r="K44" s="283">
        <f t="shared" si="4"/>
        <v>8418871.2574400008</v>
      </c>
      <c r="L44" s="132">
        <f t="shared" si="5"/>
        <v>3.4609622468313397</v>
      </c>
      <c r="M44" s="132">
        <f t="shared" si="6"/>
        <v>4.4609622468313397</v>
      </c>
      <c r="N44" s="132">
        <f t="shared" si="7"/>
        <v>77.583311746018282</v>
      </c>
      <c r="P44" s="440"/>
      <c r="R44" s="15"/>
    </row>
    <row r="45" spans="1:18">
      <c r="A45" s="27">
        <v>34123</v>
      </c>
      <c r="B45" s="111">
        <v>7.1718999999999999</v>
      </c>
      <c r="C45" s="111">
        <v>7.0468999999999999</v>
      </c>
      <c r="D45" s="111">
        <v>7.1172000000000004</v>
      </c>
      <c r="E45" s="79">
        <v>254016</v>
      </c>
      <c r="F45" s="111">
        <f t="shared" si="9"/>
        <v>7.1119999999999992</v>
      </c>
      <c r="G45" s="257">
        <f t="shared" si="10"/>
        <v>1806561.7919999999</v>
      </c>
      <c r="H45" s="257">
        <f t="shared" si="11"/>
        <v>0</v>
      </c>
      <c r="I45" s="257">
        <f t="shared" si="8"/>
        <v>1806561.7919999999</v>
      </c>
      <c r="J45" s="258">
        <f t="shared" si="4"/>
        <v>29137395.582933333</v>
      </c>
      <c r="K45" s="284">
        <f t="shared" si="4"/>
        <v>7917939.2542400006</v>
      </c>
      <c r="L45" s="154">
        <f t="shared" si="5"/>
        <v>3.679921586583335</v>
      </c>
      <c r="M45" s="154">
        <f t="shared" si="6"/>
        <v>4.679921586583335</v>
      </c>
      <c r="N45" s="154">
        <f t="shared" si="7"/>
        <v>78.632120613583425</v>
      </c>
      <c r="P45" s="440"/>
      <c r="R45" s="15"/>
    </row>
    <row r="46" spans="1:18">
      <c r="A46" s="27">
        <v>34124</v>
      </c>
      <c r="B46" s="111">
        <v>7.125</v>
      </c>
      <c r="C46" s="111">
        <v>7</v>
      </c>
      <c r="D46" s="111">
        <v>7.0468999999999999</v>
      </c>
      <c r="E46" s="79">
        <v>266240</v>
      </c>
      <c r="F46" s="111">
        <f t="shared" si="9"/>
        <v>7.0573000000000006</v>
      </c>
      <c r="G46" s="257">
        <f t="shared" si="10"/>
        <v>1878935.5520000001</v>
      </c>
      <c r="H46" s="257">
        <f t="shared" si="11"/>
        <v>0</v>
      </c>
      <c r="I46" s="257">
        <f t="shared" si="8"/>
        <v>1878935.5520000001</v>
      </c>
      <c r="J46" s="258">
        <f t="shared" si="4"/>
        <v>27483115.336533334</v>
      </c>
      <c r="K46" s="284">
        <f t="shared" si="4"/>
        <v>9796874.8062399998</v>
      </c>
      <c r="L46" s="154">
        <f t="shared" si="5"/>
        <v>2.8052941249211738</v>
      </c>
      <c r="M46" s="154">
        <f t="shared" si="6"/>
        <v>3.8052941249211738</v>
      </c>
      <c r="N46" s="154">
        <f t="shared" si="7"/>
        <v>73.720822433910683</v>
      </c>
      <c r="P46" s="440"/>
      <c r="R46" s="15"/>
    </row>
    <row r="47" spans="1:18">
      <c r="A47" s="26">
        <v>34127</v>
      </c>
      <c r="B47" s="112">
        <v>7.5625</v>
      </c>
      <c r="C47" s="112">
        <v>7.1875</v>
      </c>
      <c r="D47" s="112">
        <v>7.2656000000000001</v>
      </c>
      <c r="E47" s="77">
        <v>862960</v>
      </c>
      <c r="F47" s="112">
        <f t="shared" si="9"/>
        <v>7.3385333333333334</v>
      </c>
      <c r="G47" s="255">
        <f t="shared" si="10"/>
        <v>6332860.725333333</v>
      </c>
      <c r="H47" s="255">
        <f t="shared" si="11"/>
        <v>6332860.725333333</v>
      </c>
      <c r="I47" s="255">
        <f t="shared" si="8"/>
        <v>0</v>
      </c>
      <c r="J47" s="256">
        <f t="shared" si="4"/>
        <v>32613046.123733331</v>
      </c>
      <c r="K47" s="283">
        <f t="shared" si="4"/>
        <v>9796874.8062399998</v>
      </c>
      <c r="L47" s="132">
        <f t="shared" si="5"/>
        <v>3.328923434130326</v>
      </c>
      <c r="M47" s="132">
        <f t="shared" si="6"/>
        <v>4.328923434130326</v>
      </c>
      <c r="N47" s="132">
        <f t="shared" si="7"/>
        <v>76.89956832879632</v>
      </c>
      <c r="P47" s="440"/>
      <c r="R47" s="15"/>
    </row>
    <row r="48" spans="1:18">
      <c r="A48" s="26">
        <v>34128</v>
      </c>
      <c r="B48" s="112">
        <v>7.3125</v>
      </c>
      <c r="C48" s="112">
        <v>6.9687999999999999</v>
      </c>
      <c r="D48" s="112">
        <v>7.0781000000000001</v>
      </c>
      <c r="E48" s="77">
        <v>376000</v>
      </c>
      <c r="F48" s="112">
        <f t="shared" si="9"/>
        <v>7.1198000000000006</v>
      </c>
      <c r="G48" s="255">
        <f t="shared" si="10"/>
        <v>2677044.8000000003</v>
      </c>
      <c r="H48" s="255">
        <f t="shared" si="11"/>
        <v>0</v>
      </c>
      <c r="I48" s="255">
        <f t="shared" si="8"/>
        <v>2677044.8000000003</v>
      </c>
      <c r="J48" s="256">
        <f t="shared" si="4"/>
        <v>30157987.457066663</v>
      </c>
      <c r="K48" s="283">
        <f t="shared" si="4"/>
        <v>12473919.606240001</v>
      </c>
      <c r="L48" s="132">
        <f t="shared" si="5"/>
        <v>2.4176833272181999</v>
      </c>
      <c r="M48" s="132">
        <f t="shared" si="6"/>
        <v>3.4176833272181999</v>
      </c>
      <c r="N48" s="132">
        <f t="shared" si="7"/>
        <v>70.740413775727333</v>
      </c>
      <c r="P48" s="440"/>
      <c r="R48" s="15"/>
    </row>
    <row r="49" spans="1:18">
      <c r="A49" s="27">
        <v>34129</v>
      </c>
      <c r="B49" s="111">
        <v>7.0937999999999999</v>
      </c>
      <c r="C49" s="111">
        <v>6.875</v>
      </c>
      <c r="D49" s="111">
        <v>6.9843999999999999</v>
      </c>
      <c r="E49" s="79">
        <v>406424</v>
      </c>
      <c r="F49" s="111">
        <f t="shared" si="9"/>
        <v>6.9843999999999999</v>
      </c>
      <c r="G49" s="257">
        <f t="shared" si="10"/>
        <v>2838627.7856000001</v>
      </c>
      <c r="H49" s="257">
        <f t="shared" si="11"/>
        <v>0</v>
      </c>
      <c r="I49" s="257">
        <f t="shared" si="8"/>
        <v>2838627.7856000001</v>
      </c>
      <c r="J49" s="258">
        <f t="shared" si="4"/>
        <v>26536376.884799998</v>
      </c>
      <c r="K49" s="284">
        <f t="shared" si="4"/>
        <v>15312547.39184</v>
      </c>
      <c r="L49" s="154">
        <f t="shared" si="5"/>
        <v>1.7329825146494655</v>
      </c>
      <c r="M49" s="154">
        <f t="shared" si="6"/>
        <v>2.7329825146494655</v>
      </c>
      <c r="N49" s="154">
        <f t="shared" si="7"/>
        <v>63.409937874108181</v>
      </c>
      <c r="P49" s="440"/>
      <c r="R49" s="15"/>
    </row>
    <row r="50" spans="1:18">
      <c r="A50" s="27">
        <v>34130</v>
      </c>
      <c r="B50" s="111">
        <v>6.9062999999999999</v>
      </c>
      <c r="C50" s="111">
        <v>6.7812999999999999</v>
      </c>
      <c r="D50" s="111">
        <v>6.8281000000000001</v>
      </c>
      <c r="E50" s="79">
        <v>375744</v>
      </c>
      <c r="F50" s="111">
        <f t="shared" si="9"/>
        <v>6.838566666666666</v>
      </c>
      <c r="G50" s="257">
        <f t="shared" si="10"/>
        <v>2569550.3935999996</v>
      </c>
      <c r="H50" s="257">
        <f t="shared" si="11"/>
        <v>0</v>
      </c>
      <c r="I50" s="257">
        <f t="shared" si="8"/>
        <v>2569550.3935999996</v>
      </c>
      <c r="J50" s="258">
        <f t="shared" si="4"/>
        <v>24791959.403733332</v>
      </c>
      <c r="K50" s="284">
        <f t="shared" si="4"/>
        <v>17882097.785439998</v>
      </c>
      <c r="L50" s="154">
        <f t="shared" si="5"/>
        <v>1.3864122487865767</v>
      </c>
      <c r="M50" s="154">
        <f t="shared" si="6"/>
        <v>2.3864122487865767</v>
      </c>
      <c r="N50" s="154">
        <f t="shared" si="7"/>
        <v>58.096091716405169</v>
      </c>
      <c r="P50" s="440"/>
      <c r="R50" s="15"/>
    </row>
    <row r="51" spans="1:18">
      <c r="A51" s="26">
        <v>34131</v>
      </c>
      <c r="B51" s="112">
        <v>7.0937999999999999</v>
      </c>
      <c r="C51" s="112">
        <v>6.875</v>
      </c>
      <c r="D51" s="112">
        <v>7.0625</v>
      </c>
      <c r="E51" s="77">
        <v>228048</v>
      </c>
      <c r="F51" s="112">
        <f t="shared" si="9"/>
        <v>7.0104333333333342</v>
      </c>
      <c r="G51" s="255">
        <f t="shared" si="10"/>
        <v>1598715.3008000001</v>
      </c>
      <c r="H51" s="255">
        <f t="shared" si="11"/>
        <v>1598715.3008000001</v>
      </c>
      <c r="I51" s="255">
        <f t="shared" si="8"/>
        <v>0</v>
      </c>
      <c r="J51" s="256">
        <f t="shared" si="4"/>
        <v>26390674.704533331</v>
      </c>
      <c r="K51" s="283">
        <f t="shared" si="4"/>
        <v>15811451.628640002</v>
      </c>
      <c r="L51" s="132">
        <f t="shared" si="5"/>
        <v>1.6690861360718268</v>
      </c>
      <c r="M51" s="132">
        <f t="shared" si="6"/>
        <v>2.6690861360718268</v>
      </c>
      <c r="N51" s="132">
        <f t="shared" si="7"/>
        <v>62.533992946674637</v>
      </c>
      <c r="P51" s="440"/>
      <c r="R51" s="15"/>
    </row>
    <row r="52" spans="1:18">
      <c r="A52" s="26">
        <v>34134</v>
      </c>
      <c r="B52" s="112">
        <v>7.1875</v>
      </c>
      <c r="C52" s="112">
        <v>7.0312999999999999</v>
      </c>
      <c r="D52" s="112">
        <v>7.1406000000000001</v>
      </c>
      <c r="E52" s="77">
        <v>163752</v>
      </c>
      <c r="F52" s="112">
        <f t="shared" si="9"/>
        <v>7.1198000000000006</v>
      </c>
      <c r="G52" s="255">
        <f t="shared" si="10"/>
        <v>1165881.4896000002</v>
      </c>
      <c r="H52" s="255">
        <f t="shared" si="11"/>
        <v>1165881.4896000002</v>
      </c>
      <c r="I52" s="255">
        <f t="shared" si="8"/>
        <v>0</v>
      </c>
      <c r="J52" s="256">
        <f t="shared" si="4"/>
        <v>27556556.19413333</v>
      </c>
      <c r="K52" s="283">
        <f t="shared" si="4"/>
        <v>14111628.420800002</v>
      </c>
      <c r="L52" s="132">
        <f t="shared" si="5"/>
        <v>1.9527552294047097</v>
      </c>
      <c r="M52" s="132">
        <f t="shared" si="6"/>
        <v>2.9527552294047097</v>
      </c>
      <c r="N52" s="132">
        <f t="shared" si="7"/>
        <v>66.133325578713652</v>
      </c>
      <c r="P52" s="440"/>
      <c r="R52" s="15"/>
    </row>
    <row r="53" spans="1:18">
      <c r="A53" s="27">
        <v>34135</v>
      </c>
      <c r="B53" s="111">
        <v>7.3125</v>
      </c>
      <c r="C53" s="111">
        <v>7.1093999999999999</v>
      </c>
      <c r="D53" s="111">
        <v>7.2187999999999999</v>
      </c>
      <c r="E53" s="79">
        <v>238624</v>
      </c>
      <c r="F53" s="111">
        <f t="shared" si="9"/>
        <v>7.2135666666666678</v>
      </c>
      <c r="G53" s="257">
        <f t="shared" si="10"/>
        <v>1721330.132266667</v>
      </c>
      <c r="H53" s="257">
        <f t="shared" si="11"/>
        <v>1721330.132266667</v>
      </c>
      <c r="I53" s="257">
        <f t="shared" si="8"/>
        <v>0</v>
      </c>
      <c r="J53" s="258">
        <f t="shared" ref="J53:K68" si="12">SUM(H40:H53)</f>
        <v>29277886.326399997</v>
      </c>
      <c r="K53" s="284">
        <f t="shared" si="12"/>
        <v>14111628.420800002</v>
      </c>
      <c r="L53" s="154">
        <f t="shared" ref="L53:L68" si="13">J53/K53</f>
        <v>2.0747347827870462</v>
      </c>
      <c r="M53" s="154">
        <f t="shared" si="6"/>
        <v>3.0747347827870462</v>
      </c>
      <c r="N53" s="154">
        <f t="shared" si="7"/>
        <v>67.476869693015757</v>
      </c>
      <c r="P53" s="440"/>
      <c r="R53" s="15"/>
    </row>
    <row r="54" spans="1:18">
      <c r="A54" s="27">
        <v>34136</v>
      </c>
      <c r="B54" s="111">
        <v>7.25</v>
      </c>
      <c r="C54" s="111">
        <v>7</v>
      </c>
      <c r="D54" s="111">
        <v>7.0625</v>
      </c>
      <c r="E54" s="79">
        <v>210488</v>
      </c>
      <c r="F54" s="111">
        <f t="shared" si="9"/>
        <v>7.104166666666667</v>
      </c>
      <c r="G54" s="257">
        <f t="shared" si="10"/>
        <v>1495341.8333333335</v>
      </c>
      <c r="H54" s="257">
        <f t="shared" si="11"/>
        <v>0</v>
      </c>
      <c r="I54" s="257">
        <f t="shared" si="8"/>
        <v>1495341.8333333335</v>
      </c>
      <c r="J54" s="258">
        <f t="shared" si="12"/>
        <v>23578569.025066663</v>
      </c>
      <c r="K54" s="284">
        <f t="shared" si="12"/>
        <v>15606970.254133336</v>
      </c>
      <c r="L54" s="154">
        <f t="shared" si="13"/>
        <v>1.5107717027154668</v>
      </c>
      <c r="M54" s="154">
        <f t="shared" si="6"/>
        <v>2.5107717027154668</v>
      </c>
      <c r="N54" s="154">
        <f t="shared" si="7"/>
        <v>60.171607839993051</v>
      </c>
      <c r="P54" s="440"/>
      <c r="R54" s="15"/>
    </row>
    <row r="55" spans="1:18">
      <c r="A55" s="26">
        <v>34137</v>
      </c>
      <c r="B55" s="112">
        <v>7.0937999999999999</v>
      </c>
      <c r="C55" s="112">
        <v>6.8437999999999999</v>
      </c>
      <c r="D55" s="112">
        <v>7.0156000000000001</v>
      </c>
      <c r="E55" s="77">
        <v>267688</v>
      </c>
      <c r="F55" s="112">
        <f t="shared" si="9"/>
        <v>6.9843999999999999</v>
      </c>
      <c r="G55" s="255">
        <f t="shared" si="10"/>
        <v>1869640.0671999999</v>
      </c>
      <c r="H55" s="255">
        <f t="shared" ref="H55:H70" si="14">IF(F55&gt;F54,G55,0)</f>
        <v>0</v>
      </c>
      <c r="I55" s="255">
        <f t="shared" ref="I55:I70" si="15">IF(F55&lt;F54,G55,0)</f>
        <v>1869640.0671999999</v>
      </c>
      <c r="J55" s="256">
        <f t="shared" si="12"/>
        <v>18504295.561066665</v>
      </c>
      <c r="K55" s="283">
        <f t="shared" si="12"/>
        <v>17476610.321333338</v>
      </c>
      <c r="L55" s="132">
        <f t="shared" si="13"/>
        <v>1.0588034647931042</v>
      </c>
      <c r="M55" s="132">
        <f t="shared" si="6"/>
        <v>2.0588034647931042</v>
      </c>
      <c r="N55" s="132">
        <f t="shared" si="7"/>
        <v>51.428098062750578</v>
      </c>
      <c r="P55" s="440"/>
      <c r="R55" s="15"/>
    </row>
    <row r="56" spans="1:18">
      <c r="A56" s="26">
        <v>34138</v>
      </c>
      <c r="B56" s="112">
        <v>7.125</v>
      </c>
      <c r="C56" s="112">
        <v>6.875</v>
      </c>
      <c r="D56" s="112">
        <v>6.9218999999999999</v>
      </c>
      <c r="E56" s="77">
        <v>309576</v>
      </c>
      <c r="F56" s="112">
        <f t="shared" ref="F56:F71" si="16">(B56+C56+D56)/3</f>
        <v>6.9739666666666666</v>
      </c>
      <c r="G56" s="255">
        <f t="shared" ref="G56:G71" si="17">F56*E56</f>
        <v>2158972.7047999999</v>
      </c>
      <c r="H56" s="255">
        <f t="shared" si="14"/>
        <v>0</v>
      </c>
      <c r="I56" s="255">
        <f t="shared" si="15"/>
        <v>2158972.7047999999</v>
      </c>
      <c r="J56" s="256">
        <f t="shared" si="12"/>
        <v>18504295.561066665</v>
      </c>
      <c r="K56" s="283">
        <f t="shared" si="12"/>
        <v>17294674.928533334</v>
      </c>
      <c r="L56" s="132">
        <f t="shared" si="13"/>
        <v>1.0699417963929265</v>
      </c>
      <c r="M56" s="132">
        <f t="shared" si="6"/>
        <v>2.0699417963929267</v>
      </c>
      <c r="N56" s="132">
        <f t="shared" si="7"/>
        <v>51.689462875594067</v>
      </c>
      <c r="P56" s="440"/>
      <c r="R56" s="15"/>
    </row>
    <row r="57" spans="1:18">
      <c r="A57" s="27">
        <v>34141</v>
      </c>
      <c r="B57" s="111">
        <v>7.0937999999999999</v>
      </c>
      <c r="C57" s="111">
        <v>6.8437999999999999</v>
      </c>
      <c r="D57" s="111">
        <v>7.0937999999999999</v>
      </c>
      <c r="E57" s="79">
        <v>201232</v>
      </c>
      <c r="F57" s="111">
        <f t="shared" si="16"/>
        <v>7.010466666666666</v>
      </c>
      <c r="G57" s="257">
        <f t="shared" si="17"/>
        <v>1410730.2282666664</v>
      </c>
      <c r="H57" s="257">
        <f t="shared" si="14"/>
        <v>1410730.2282666664</v>
      </c>
      <c r="I57" s="257">
        <f t="shared" si="15"/>
        <v>0</v>
      </c>
      <c r="J57" s="258">
        <f t="shared" si="12"/>
        <v>15122291.093866665</v>
      </c>
      <c r="K57" s="284">
        <f t="shared" si="12"/>
        <v>17294674.928533334</v>
      </c>
      <c r="L57" s="154">
        <f t="shared" si="13"/>
        <v>0.87439001636957059</v>
      </c>
      <c r="M57" s="154">
        <f t="shared" si="6"/>
        <v>1.8743900163695706</v>
      </c>
      <c r="N57" s="154">
        <f t="shared" si="7"/>
        <v>46.649310374750122</v>
      </c>
      <c r="P57" s="440"/>
      <c r="R57" s="15"/>
    </row>
    <row r="58" spans="1:18">
      <c r="A58" s="27">
        <v>34142</v>
      </c>
      <c r="B58" s="111">
        <v>7.0625</v>
      </c>
      <c r="C58" s="111">
        <v>6.9062999999999999</v>
      </c>
      <c r="D58" s="111">
        <v>6.9375</v>
      </c>
      <c r="E58" s="79">
        <v>222544</v>
      </c>
      <c r="F58" s="111">
        <f t="shared" si="16"/>
        <v>6.9687666666666672</v>
      </c>
      <c r="G58" s="257">
        <f t="shared" si="17"/>
        <v>1550857.2090666669</v>
      </c>
      <c r="H58" s="257">
        <f t="shared" si="14"/>
        <v>0</v>
      </c>
      <c r="I58" s="257">
        <f t="shared" si="15"/>
        <v>1550857.2090666669</v>
      </c>
      <c r="J58" s="258">
        <f t="shared" si="12"/>
        <v>12229517.876266666</v>
      </c>
      <c r="K58" s="284">
        <f t="shared" si="12"/>
        <v>18845532.137600001</v>
      </c>
      <c r="L58" s="154">
        <f t="shared" si="13"/>
        <v>0.64893460088965726</v>
      </c>
      <c r="M58" s="154">
        <f t="shared" si="6"/>
        <v>1.6489346008896573</v>
      </c>
      <c r="N58" s="154">
        <f t="shared" si="7"/>
        <v>39.354780992498711</v>
      </c>
      <c r="P58" s="440"/>
      <c r="R58" s="15"/>
    </row>
    <row r="59" spans="1:18">
      <c r="A59" s="26">
        <v>34143</v>
      </c>
      <c r="B59" s="112">
        <v>6.9687999999999999</v>
      </c>
      <c r="C59" s="112">
        <v>6.8125</v>
      </c>
      <c r="D59" s="112">
        <v>6.875</v>
      </c>
      <c r="E59" s="77">
        <v>265312</v>
      </c>
      <c r="F59" s="112">
        <f t="shared" si="16"/>
        <v>6.8854333333333342</v>
      </c>
      <c r="G59" s="255">
        <f t="shared" si="17"/>
        <v>1826788.0885333335</v>
      </c>
      <c r="H59" s="255">
        <f t="shared" si="14"/>
        <v>0</v>
      </c>
      <c r="I59" s="255">
        <f t="shared" si="15"/>
        <v>1826788.0885333335</v>
      </c>
      <c r="J59" s="256">
        <f t="shared" si="12"/>
        <v>12229517.876266666</v>
      </c>
      <c r="K59" s="283">
        <f t="shared" si="12"/>
        <v>18865758.434133336</v>
      </c>
      <c r="L59" s="132">
        <f t="shared" si="13"/>
        <v>0.64823886720292734</v>
      </c>
      <c r="M59" s="132">
        <f t="shared" si="6"/>
        <v>1.6482388672029273</v>
      </c>
      <c r="N59" s="132">
        <f t="shared" si="7"/>
        <v>39.329182201788093</v>
      </c>
      <c r="P59" s="440"/>
      <c r="R59" s="15"/>
    </row>
    <row r="60" spans="1:18">
      <c r="A60" s="26">
        <v>34144</v>
      </c>
      <c r="B60" s="112">
        <v>6.8125</v>
      </c>
      <c r="C60" s="112">
        <v>6.6093999999999999</v>
      </c>
      <c r="D60" s="112">
        <v>6.7187999999999999</v>
      </c>
      <c r="E60" s="77">
        <v>471880</v>
      </c>
      <c r="F60" s="112">
        <f t="shared" si="16"/>
        <v>6.7135666666666678</v>
      </c>
      <c r="G60" s="255">
        <f t="shared" si="17"/>
        <v>3167997.8386666672</v>
      </c>
      <c r="H60" s="255">
        <f t="shared" si="14"/>
        <v>0</v>
      </c>
      <c r="I60" s="255">
        <f t="shared" si="15"/>
        <v>3167997.8386666672</v>
      </c>
      <c r="J60" s="256">
        <f t="shared" si="12"/>
        <v>12229517.876266666</v>
      </c>
      <c r="K60" s="283">
        <f t="shared" si="12"/>
        <v>20154820.720800001</v>
      </c>
      <c r="L60" s="132">
        <f t="shared" si="13"/>
        <v>0.60677879727531714</v>
      </c>
      <c r="M60" s="132">
        <f t="shared" si="6"/>
        <v>1.6067787972753171</v>
      </c>
      <c r="N60" s="132">
        <f t="shared" si="7"/>
        <v>37.763679624367562</v>
      </c>
      <c r="P60" s="440"/>
      <c r="R60" s="15"/>
    </row>
    <row r="61" spans="1:18">
      <c r="A61" s="27">
        <v>34145</v>
      </c>
      <c r="B61" s="111">
        <v>6.9062999999999999</v>
      </c>
      <c r="C61" s="111">
        <v>6.6562999999999999</v>
      </c>
      <c r="D61" s="111">
        <v>6.8281000000000001</v>
      </c>
      <c r="E61" s="79">
        <v>228848</v>
      </c>
      <c r="F61" s="111">
        <f t="shared" si="16"/>
        <v>6.7968999999999999</v>
      </c>
      <c r="G61" s="257">
        <f t="shared" si="17"/>
        <v>1555456.9712</v>
      </c>
      <c r="H61" s="257">
        <f t="shared" si="14"/>
        <v>1555456.9712</v>
      </c>
      <c r="I61" s="257">
        <f t="shared" si="15"/>
        <v>0</v>
      </c>
      <c r="J61" s="258">
        <f t="shared" si="12"/>
        <v>7452114.1221333332</v>
      </c>
      <c r="K61" s="284">
        <f t="shared" si="12"/>
        <v>20154820.720800001</v>
      </c>
      <c r="L61" s="154">
        <f t="shared" si="13"/>
        <v>0.36974350828348812</v>
      </c>
      <c r="M61" s="154">
        <f t="shared" si="6"/>
        <v>1.3697435082834881</v>
      </c>
      <c r="N61" s="154">
        <f t="shared" si="7"/>
        <v>26.993631000802253</v>
      </c>
      <c r="P61" s="440"/>
      <c r="R61" s="15"/>
    </row>
    <row r="62" spans="1:18">
      <c r="A62" s="27">
        <v>34148</v>
      </c>
      <c r="B62" s="111">
        <v>7</v>
      </c>
      <c r="C62" s="111">
        <v>6.8125</v>
      </c>
      <c r="D62" s="111">
        <v>7</v>
      </c>
      <c r="E62" s="79">
        <v>227720</v>
      </c>
      <c r="F62" s="111">
        <f t="shared" si="16"/>
        <v>6.9375</v>
      </c>
      <c r="G62" s="257">
        <f t="shared" si="17"/>
        <v>1579807.5</v>
      </c>
      <c r="H62" s="257">
        <f t="shared" si="14"/>
        <v>1579807.5</v>
      </c>
      <c r="I62" s="257">
        <f t="shared" si="15"/>
        <v>0</v>
      </c>
      <c r="J62" s="258">
        <f t="shared" si="12"/>
        <v>9031921.6221333332</v>
      </c>
      <c r="K62" s="284">
        <f t="shared" si="12"/>
        <v>17477775.9208</v>
      </c>
      <c r="L62" s="154">
        <f t="shared" si="13"/>
        <v>0.51676607270062314</v>
      </c>
      <c r="M62" s="154">
        <f t="shared" si="6"/>
        <v>1.5167660727006231</v>
      </c>
      <c r="N62" s="154">
        <f t="shared" si="7"/>
        <v>34.070255262270862</v>
      </c>
      <c r="P62" s="440"/>
      <c r="R62" s="15"/>
    </row>
    <row r="63" spans="1:18">
      <c r="A63" s="26">
        <v>34149</v>
      </c>
      <c r="B63" s="112">
        <v>7.1562999999999999</v>
      </c>
      <c r="C63" s="112">
        <v>7</v>
      </c>
      <c r="D63" s="112">
        <v>7.0625</v>
      </c>
      <c r="E63" s="77">
        <v>288504</v>
      </c>
      <c r="F63" s="112">
        <f t="shared" si="16"/>
        <v>7.0729333333333342</v>
      </c>
      <c r="G63" s="255">
        <f t="shared" si="17"/>
        <v>2040569.5584000002</v>
      </c>
      <c r="H63" s="255">
        <f t="shared" si="14"/>
        <v>2040569.5584000002</v>
      </c>
      <c r="I63" s="255">
        <f t="shared" si="15"/>
        <v>0</v>
      </c>
      <c r="J63" s="256">
        <f t="shared" si="12"/>
        <v>11072491.180533333</v>
      </c>
      <c r="K63" s="283">
        <f t="shared" si="12"/>
        <v>14639148.135200001</v>
      </c>
      <c r="L63" s="132">
        <f t="shared" si="13"/>
        <v>0.75636171437526478</v>
      </c>
      <c r="M63" s="132">
        <f t="shared" si="6"/>
        <v>1.7563617143752648</v>
      </c>
      <c r="N63" s="132">
        <f t="shared" si="7"/>
        <v>43.064119889694901</v>
      </c>
      <c r="P63" s="440"/>
      <c r="R63" s="15"/>
    </row>
    <row r="64" spans="1:18">
      <c r="A64" s="26">
        <v>34150</v>
      </c>
      <c r="B64" s="112">
        <v>7.0937999999999999</v>
      </c>
      <c r="C64" s="112">
        <v>6.8125</v>
      </c>
      <c r="D64" s="112">
        <v>6.875</v>
      </c>
      <c r="E64" s="77">
        <v>214800</v>
      </c>
      <c r="F64" s="112">
        <f t="shared" si="16"/>
        <v>6.9271000000000003</v>
      </c>
      <c r="G64" s="255">
        <f t="shared" si="17"/>
        <v>1487941.08</v>
      </c>
      <c r="H64" s="255">
        <f t="shared" si="14"/>
        <v>0</v>
      </c>
      <c r="I64" s="255">
        <f t="shared" si="15"/>
        <v>1487941.08</v>
      </c>
      <c r="J64" s="256">
        <f t="shared" si="12"/>
        <v>11072491.180533333</v>
      </c>
      <c r="K64" s="283">
        <f t="shared" si="12"/>
        <v>13557538.821599999</v>
      </c>
      <c r="L64" s="132">
        <f t="shared" si="13"/>
        <v>0.81670363081627584</v>
      </c>
      <c r="M64" s="132">
        <f t="shared" si="6"/>
        <v>1.8167036308162758</v>
      </c>
      <c r="N64" s="132">
        <f t="shared" si="7"/>
        <v>44.95524844904488</v>
      </c>
      <c r="P64" s="440"/>
      <c r="R64" s="15"/>
    </row>
    <row r="65" spans="1:18">
      <c r="A65" s="27">
        <v>34151</v>
      </c>
      <c r="B65" s="111">
        <v>6.9062999999999999</v>
      </c>
      <c r="C65" s="111">
        <v>6.6562999999999999</v>
      </c>
      <c r="D65" s="111">
        <v>6.75</v>
      </c>
      <c r="E65" s="79">
        <v>377800</v>
      </c>
      <c r="F65" s="111">
        <f t="shared" si="16"/>
        <v>6.7708666666666666</v>
      </c>
      <c r="G65" s="257">
        <f t="shared" si="17"/>
        <v>2558033.4266666668</v>
      </c>
      <c r="H65" s="257">
        <f t="shared" si="14"/>
        <v>0</v>
      </c>
      <c r="I65" s="257">
        <f t="shared" si="15"/>
        <v>2558033.4266666668</v>
      </c>
      <c r="J65" s="258">
        <f t="shared" si="12"/>
        <v>9473775.8797333334</v>
      </c>
      <c r="K65" s="284">
        <f t="shared" si="12"/>
        <v>16115572.248266667</v>
      </c>
      <c r="L65" s="154">
        <f t="shared" si="13"/>
        <v>0.58786468974145789</v>
      </c>
      <c r="M65" s="154">
        <f t="shared" si="6"/>
        <v>1.5878646897414579</v>
      </c>
      <c r="N65" s="154">
        <f t="shared" si="7"/>
        <v>37.02234161005093</v>
      </c>
      <c r="P65" s="440"/>
      <c r="R65" s="15"/>
    </row>
    <row r="66" spans="1:18">
      <c r="A66" s="27">
        <v>34152</v>
      </c>
      <c r="B66" s="111">
        <v>6.7812999999999999</v>
      </c>
      <c r="C66" s="111">
        <v>6.6406000000000001</v>
      </c>
      <c r="D66" s="111">
        <v>6.7343999999999999</v>
      </c>
      <c r="E66" s="79">
        <v>207088</v>
      </c>
      <c r="F66" s="111">
        <f t="shared" si="16"/>
        <v>6.7187666666666672</v>
      </c>
      <c r="G66" s="257">
        <f t="shared" si="17"/>
        <v>1391375.9514666668</v>
      </c>
      <c r="H66" s="257">
        <f t="shared" si="14"/>
        <v>0</v>
      </c>
      <c r="I66" s="257">
        <f t="shared" si="15"/>
        <v>1391375.9514666668</v>
      </c>
      <c r="J66" s="258">
        <f t="shared" si="12"/>
        <v>8307894.3901333334</v>
      </c>
      <c r="K66" s="284">
        <f t="shared" si="12"/>
        <v>17506948.199733336</v>
      </c>
      <c r="L66" s="154">
        <f t="shared" si="13"/>
        <v>0.47454840760081068</v>
      </c>
      <c r="M66" s="154">
        <f t="shared" si="6"/>
        <v>1.4745484076008106</v>
      </c>
      <c r="N66" s="154">
        <f t="shared" si="7"/>
        <v>32.182626569237755</v>
      </c>
      <c r="P66" s="440"/>
      <c r="R66" s="15"/>
    </row>
    <row r="67" spans="1:18">
      <c r="A67" s="26">
        <v>34156</v>
      </c>
      <c r="B67" s="112">
        <v>6.875</v>
      </c>
      <c r="C67" s="112">
        <v>6.5937999999999999</v>
      </c>
      <c r="D67" s="112">
        <v>6.6562999999999999</v>
      </c>
      <c r="E67" s="77">
        <v>224048</v>
      </c>
      <c r="F67" s="112">
        <f t="shared" si="16"/>
        <v>6.7083666666666666</v>
      </c>
      <c r="G67" s="255">
        <f t="shared" si="17"/>
        <v>1502996.1349333334</v>
      </c>
      <c r="H67" s="255">
        <f t="shared" si="14"/>
        <v>0</v>
      </c>
      <c r="I67" s="255">
        <f t="shared" si="15"/>
        <v>1502996.1349333334</v>
      </c>
      <c r="J67" s="256">
        <f t="shared" si="12"/>
        <v>6586564.2578666667</v>
      </c>
      <c r="K67" s="283">
        <f t="shared" si="12"/>
        <v>19009944.334666669</v>
      </c>
      <c r="L67" s="132">
        <f t="shared" si="13"/>
        <v>0.34647993397094601</v>
      </c>
      <c r="M67" s="132">
        <f t="shared" si="6"/>
        <v>1.3464799339709459</v>
      </c>
      <c r="N67" s="132">
        <f t="shared" si="7"/>
        <v>25.732276079980721</v>
      </c>
      <c r="P67" s="440"/>
      <c r="R67" s="15"/>
    </row>
    <row r="68" spans="1:18">
      <c r="A68" s="26">
        <v>34157</v>
      </c>
      <c r="B68" s="112">
        <v>6.6562999999999999</v>
      </c>
      <c r="C68" s="112">
        <v>6.5</v>
      </c>
      <c r="D68" s="112">
        <v>6.5781000000000001</v>
      </c>
      <c r="E68" s="77">
        <v>290576</v>
      </c>
      <c r="F68" s="112">
        <f t="shared" si="16"/>
        <v>6.5781333333333336</v>
      </c>
      <c r="G68" s="255">
        <f t="shared" si="17"/>
        <v>1911447.6714666667</v>
      </c>
      <c r="H68" s="255">
        <f t="shared" si="14"/>
        <v>0</v>
      </c>
      <c r="I68" s="255">
        <f t="shared" si="15"/>
        <v>1911447.6714666667</v>
      </c>
      <c r="J68" s="256">
        <f t="shared" si="12"/>
        <v>6586564.2578666667</v>
      </c>
      <c r="K68" s="283">
        <f t="shared" si="12"/>
        <v>19426050.172800001</v>
      </c>
      <c r="L68" s="132">
        <f t="shared" si="13"/>
        <v>0.33905833657781104</v>
      </c>
      <c r="M68" s="132">
        <f t="shared" si="6"/>
        <v>1.339058336577811</v>
      </c>
      <c r="N68" s="132">
        <f t="shared" si="7"/>
        <v>25.320654620942932</v>
      </c>
      <c r="P68" s="440"/>
      <c r="R68" s="15"/>
    </row>
    <row r="69" spans="1:18">
      <c r="A69" s="27">
        <v>34158</v>
      </c>
      <c r="B69" s="111">
        <v>6.8437999999999999</v>
      </c>
      <c r="C69" s="111">
        <v>6.5312999999999999</v>
      </c>
      <c r="D69" s="111">
        <v>6.8437999999999999</v>
      </c>
      <c r="E69" s="79">
        <v>219064</v>
      </c>
      <c r="F69" s="111">
        <f t="shared" si="16"/>
        <v>6.7396333333333329</v>
      </c>
      <c r="G69" s="257">
        <f t="shared" si="17"/>
        <v>1476411.0365333331</v>
      </c>
      <c r="H69" s="257">
        <f t="shared" si="14"/>
        <v>1476411.0365333331</v>
      </c>
      <c r="I69" s="257">
        <f t="shared" si="15"/>
        <v>0</v>
      </c>
      <c r="J69" s="258">
        <f t="shared" ref="J69:K75" si="18">SUM(H56:H69)</f>
        <v>8062975.2944</v>
      </c>
      <c r="K69" s="284">
        <f t="shared" si="18"/>
        <v>17556410.105599999</v>
      </c>
      <c r="L69" s="154">
        <f t="shared" ref="L69:L75" si="19">J69/K69</f>
        <v>0.45926104744090812</v>
      </c>
      <c r="M69" s="154">
        <f t="shared" si="6"/>
        <v>1.4592610474409082</v>
      </c>
      <c r="N69" s="154">
        <f t="shared" si="7"/>
        <v>31.472165192534248</v>
      </c>
      <c r="P69" s="440"/>
      <c r="R69" s="15"/>
    </row>
    <row r="70" spans="1:18">
      <c r="A70" s="27">
        <v>34159</v>
      </c>
      <c r="B70" s="111">
        <v>7.0312999999999999</v>
      </c>
      <c r="C70" s="111">
        <v>6.7187999999999999</v>
      </c>
      <c r="D70" s="111">
        <v>7</v>
      </c>
      <c r="E70" s="79">
        <v>320664</v>
      </c>
      <c r="F70" s="111">
        <f t="shared" si="16"/>
        <v>6.9166999999999996</v>
      </c>
      <c r="G70" s="257">
        <f t="shared" si="17"/>
        <v>2217936.6887999997</v>
      </c>
      <c r="H70" s="257">
        <f t="shared" si="14"/>
        <v>2217936.6887999997</v>
      </c>
      <c r="I70" s="257">
        <f t="shared" si="15"/>
        <v>0</v>
      </c>
      <c r="J70" s="258">
        <f t="shared" si="18"/>
        <v>10280911.983199999</v>
      </c>
      <c r="K70" s="284">
        <f t="shared" si="18"/>
        <v>15397437.400800003</v>
      </c>
      <c r="L70" s="154">
        <f t="shared" si="19"/>
        <v>0.66770279466541849</v>
      </c>
      <c r="M70" s="154">
        <f t="shared" si="6"/>
        <v>1.6677027946654186</v>
      </c>
      <c r="N70" s="154">
        <f t="shared" si="7"/>
        <v>40.037277433439563</v>
      </c>
      <c r="P70" s="440"/>
      <c r="R70" s="15"/>
    </row>
    <row r="71" spans="1:18">
      <c r="A71" s="26">
        <v>34162</v>
      </c>
      <c r="B71" s="112">
        <v>7.125</v>
      </c>
      <c r="C71" s="112">
        <v>6.625</v>
      </c>
      <c r="D71" s="112">
        <v>6.9531000000000001</v>
      </c>
      <c r="E71" s="77">
        <v>676728</v>
      </c>
      <c r="F71" s="112">
        <f t="shared" si="16"/>
        <v>6.9010333333333334</v>
      </c>
      <c r="G71" s="255">
        <f t="shared" si="17"/>
        <v>4670122.4856000002</v>
      </c>
      <c r="H71" s="255">
        <f>IF(F71&gt;F70,G71,0)</f>
        <v>0</v>
      </c>
      <c r="I71" s="255">
        <f>IF(F71&lt;F70,G71,0)</f>
        <v>4670122.4856000002</v>
      </c>
      <c r="J71" s="256">
        <f t="shared" si="18"/>
        <v>8870181.754933333</v>
      </c>
      <c r="K71" s="283">
        <f t="shared" si="18"/>
        <v>20067559.886400003</v>
      </c>
      <c r="L71" s="132">
        <f t="shared" si="19"/>
        <v>0.44201596034327767</v>
      </c>
      <c r="M71" s="132">
        <f t="shared" si="6"/>
        <v>1.4420159603432776</v>
      </c>
      <c r="N71" s="132">
        <f t="shared" si="7"/>
        <v>30.652639949841742</v>
      </c>
      <c r="P71" s="440"/>
      <c r="R71" s="15"/>
    </row>
    <row r="72" spans="1:18">
      <c r="A72" s="26">
        <v>34163</v>
      </c>
      <c r="B72" s="112">
        <v>6.9687999999999999</v>
      </c>
      <c r="C72" s="112">
        <v>6.6875</v>
      </c>
      <c r="D72" s="112">
        <v>6.8125</v>
      </c>
      <c r="E72" s="77">
        <v>407496</v>
      </c>
      <c r="F72" s="112">
        <f>(B72+C72+D72)/3</f>
        <v>6.8229333333333342</v>
      </c>
      <c r="G72" s="255">
        <f>F72*E72</f>
        <v>2780318.0416000006</v>
      </c>
      <c r="H72" s="255">
        <f>IF(F72&gt;F71,G72,0)</f>
        <v>0</v>
      </c>
      <c r="I72" s="255">
        <f>IF(F72&lt;F71,G72,0)</f>
        <v>2780318.0416000006</v>
      </c>
      <c r="J72" s="256">
        <f t="shared" si="18"/>
        <v>8870181.754933333</v>
      </c>
      <c r="K72" s="283">
        <f t="shared" si="18"/>
        <v>21297020.718933336</v>
      </c>
      <c r="L72" s="132">
        <f t="shared" si="19"/>
        <v>0.41649871463230642</v>
      </c>
      <c r="M72" s="132">
        <f t="shared" si="6"/>
        <v>1.4164987146323065</v>
      </c>
      <c r="N72" s="132">
        <f t="shared" si="7"/>
        <v>29.403395169364543</v>
      </c>
      <c r="P72" s="440"/>
      <c r="R72" s="15"/>
    </row>
    <row r="73" spans="1:18">
      <c r="A73" s="27">
        <v>34164</v>
      </c>
      <c r="B73" s="111">
        <v>6.875</v>
      </c>
      <c r="C73" s="111">
        <v>6.625</v>
      </c>
      <c r="D73" s="111">
        <v>6.6718999999999999</v>
      </c>
      <c r="E73" s="79">
        <v>295040</v>
      </c>
      <c r="F73" s="111">
        <f>(B73+C73+D73)/3</f>
        <v>6.7239666666666666</v>
      </c>
      <c r="G73" s="257">
        <f>F73*E73</f>
        <v>1983839.1253333334</v>
      </c>
      <c r="H73" s="257">
        <f>IF(F73&gt;F72,G73,0)</f>
        <v>0</v>
      </c>
      <c r="I73" s="257">
        <f>IF(F73&lt;F72,G73,0)</f>
        <v>1983839.1253333334</v>
      </c>
      <c r="J73" s="258">
        <f t="shared" si="18"/>
        <v>8870181.754933333</v>
      </c>
      <c r="K73" s="284">
        <f t="shared" si="18"/>
        <v>21454071.755733334</v>
      </c>
      <c r="L73" s="154">
        <f t="shared" si="19"/>
        <v>0.41344980365150907</v>
      </c>
      <c r="M73" s="154">
        <f t="shared" si="6"/>
        <v>1.4134498036515091</v>
      </c>
      <c r="N73" s="154">
        <f t="shared" si="7"/>
        <v>29.251113310384426</v>
      </c>
      <c r="P73" s="440"/>
      <c r="R73" s="15"/>
    </row>
    <row r="74" spans="1:18">
      <c r="A74" s="27">
        <v>34165</v>
      </c>
      <c r="B74" s="111">
        <v>6.7187999999999999</v>
      </c>
      <c r="C74" s="111">
        <v>6.5625</v>
      </c>
      <c r="D74" s="111">
        <v>6.5937999999999999</v>
      </c>
      <c r="E74" s="79">
        <v>235416</v>
      </c>
      <c r="F74" s="111">
        <f>(B74+C74+D74)/3</f>
        <v>6.6250333333333336</v>
      </c>
      <c r="G74" s="257">
        <f>F74*E74</f>
        <v>1559638.8472</v>
      </c>
      <c r="H74" s="257">
        <f>IF(F74&gt;F73,G74,0)</f>
        <v>0</v>
      </c>
      <c r="I74" s="257">
        <f>IF(F74&lt;F73,G74,0)</f>
        <v>1559638.8472</v>
      </c>
      <c r="J74" s="258">
        <f t="shared" si="18"/>
        <v>8870181.754933333</v>
      </c>
      <c r="K74" s="284">
        <f t="shared" si="18"/>
        <v>19845712.764266666</v>
      </c>
      <c r="L74" s="154">
        <f t="shared" si="19"/>
        <v>0.44695707633663828</v>
      </c>
      <c r="M74" s="154">
        <f t="shared" si="6"/>
        <v>1.4469570763366382</v>
      </c>
      <c r="N74" s="154">
        <f t="shared" si="7"/>
        <v>30.889449565997523</v>
      </c>
      <c r="P74" s="440"/>
      <c r="R74" s="15"/>
    </row>
    <row r="75" spans="1:18">
      <c r="A75" s="26">
        <v>34166</v>
      </c>
      <c r="B75" s="112">
        <v>6.5625</v>
      </c>
      <c r="C75" s="112">
        <v>6.2812999999999999</v>
      </c>
      <c r="D75" s="112">
        <v>6.3125</v>
      </c>
      <c r="E75" s="77">
        <v>496544</v>
      </c>
      <c r="F75" s="112">
        <f>(B75+C75+D75)/3</f>
        <v>6.3854333333333342</v>
      </c>
      <c r="G75" s="255">
        <f>F75*E75</f>
        <v>3170648.609066667</v>
      </c>
      <c r="H75" s="255">
        <f>IF(F75&gt;F74,G75,0)</f>
        <v>0</v>
      </c>
      <c r="I75" s="255">
        <f>IF(F75&lt;F74,G75,0)</f>
        <v>3170648.609066667</v>
      </c>
      <c r="J75" s="256">
        <f t="shared" si="18"/>
        <v>7314724.7837333335</v>
      </c>
      <c r="K75" s="283">
        <f t="shared" si="18"/>
        <v>23016361.373333335</v>
      </c>
      <c r="L75" s="132">
        <f t="shared" si="19"/>
        <v>0.31780543697094299</v>
      </c>
      <c r="M75" s="132">
        <f t="shared" si="6"/>
        <v>1.3178054369709429</v>
      </c>
      <c r="N75" s="132">
        <f t="shared" si="7"/>
        <v>24.116263907776727</v>
      </c>
      <c r="P75" s="440"/>
      <c r="R75" s="15"/>
    </row>
    <row r="76" spans="1:18">
      <c r="A76" s="26"/>
      <c r="B76" s="28"/>
      <c r="C76" s="28"/>
      <c r="D76" s="28"/>
      <c r="E76" s="28"/>
      <c r="F76" s="28"/>
      <c r="G76" s="28"/>
      <c r="H76" s="28"/>
      <c r="I76" s="28"/>
      <c r="J76" s="54"/>
      <c r="K76" s="21"/>
      <c r="L76" s="21"/>
      <c r="M76" s="21"/>
      <c r="N76" s="21"/>
      <c r="P76" s="8"/>
    </row>
    <row r="77" spans="1:18">
      <c r="A77" s="186"/>
      <c r="B77" s="139"/>
      <c r="C77" s="139"/>
      <c r="D77" s="139"/>
      <c r="E77" s="139"/>
      <c r="F77" s="139"/>
      <c r="G77" s="139"/>
      <c r="H77" s="139"/>
      <c r="I77" s="139"/>
      <c r="J77" s="140"/>
      <c r="P77" s="8"/>
    </row>
    <row r="78" spans="1:18">
      <c r="A78" s="186" t="s">
        <v>152</v>
      </c>
      <c r="B78" s="139"/>
      <c r="C78" s="139"/>
      <c r="D78" s="139"/>
      <c r="E78" s="139"/>
      <c r="F78" s="139"/>
      <c r="G78" s="139"/>
      <c r="H78" s="139"/>
      <c r="I78" s="139"/>
      <c r="J78" s="140"/>
      <c r="P78" s="8"/>
    </row>
    <row r="79" spans="1:18">
      <c r="A79" s="146" t="s">
        <v>153</v>
      </c>
      <c r="B79" s="30"/>
      <c r="C79" s="30"/>
      <c r="D79" s="30"/>
      <c r="E79" s="30"/>
      <c r="F79" s="30"/>
      <c r="G79" s="30"/>
      <c r="H79" s="30"/>
      <c r="I79" s="30"/>
      <c r="J79" s="30"/>
      <c r="P79" s="8"/>
    </row>
    <row r="80" spans="1:18">
      <c r="A80" s="8" t="s">
        <v>154</v>
      </c>
      <c r="P80" s="8"/>
    </row>
    <row r="81" spans="1:16">
      <c r="A81" s="8" t="s">
        <v>155</v>
      </c>
      <c r="P81" s="8"/>
    </row>
    <row r="82" spans="1:16">
      <c r="A82" s="8" t="s">
        <v>156</v>
      </c>
      <c r="P82" s="8"/>
    </row>
    <row r="83" spans="1:16">
      <c r="A83" s="8" t="s">
        <v>157</v>
      </c>
      <c r="P83" s="8"/>
    </row>
    <row r="84" spans="1:16">
      <c r="A84" s="8" t="s">
        <v>158</v>
      </c>
      <c r="P84" s="8"/>
    </row>
    <row r="85" spans="1:16">
      <c r="A85" s="8" t="s">
        <v>159</v>
      </c>
      <c r="P85" s="8"/>
    </row>
    <row r="86" spans="1:16">
      <c r="A86" s="8" t="s">
        <v>160</v>
      </c>
      <c r="P86" s="8"/>
    </row>
    <row r="87" spans="1:16">
      <c r="A87" s="8"/>
      <c r="P87" s="8"/>
    </row>
    <row r="88" spans="1:16">
      <c r="A88" s="8"/>
      <c r="P88" s="8"/>
    </row>
    <row r="89" spans="1:16">
      <c r="A89" s="8"/>
      <c r="P89" s="8"/>
    </row>
    <row r="90" spans="1:16">
      <c r="A90" s="8"/>
      <c r="P90" s="8"/>
    </row>
    <row r="91" spans="1:16">
      <c r="A91" s="8"/>
      <c r="P91" s="8"/>
    </row>
    <row r="92" spans="1:16">
      <c r="A92" s="8"/>
      <c r="P92" s="8"/>
    </row>
    <row r="93" spans="1:16">
      <c r="A93" s="8"/>
      <c r="P93" s="8"/>
    </row>
    <row r="94" spans="1:16">
      <c r="A94" s="8"/>
      <c r="P94" s="8"/>
    </row>
    <row r="95" spans="1:16">
      <c r="A95" s="8"/>
      <c r="P95" s="8"/>
    </row>
    <row r="96" spans="1:16">
      <c r="A96" s="8"/>
      <c r="P96" s="8"/>
    </row>
    <row r="97" spans="1:16">
      <c r="A97" s="8"/>
      <c r="P97" s="8"/>
    </row>
    <row r="98" spans="1:16">
      <c r="A98" s="8"/>
      <c r="P98" s="8"/>
    </row>
    <row r="99" spans="1:16">
      <c r="A99" s="8"/>
      <c r="P99" s="8"/>
    </row>
    <row r="100" spans="1:16">
      <c r="A100" s="8"/>
      <c r="P100" s="8"/>
    </row>
    <row r="101" spans="1:16">
      <c r="A101" s="8"/>
      <c r="P101" s="8"/>
    </row>
    <row r="102" spans="1:16">
      <c r="A102" s="8"/>
      <c r="P102" s="8"/>
    </row>
    <row r="103" spans="1:16">
      <c r="A103" s="8"/>
      <c r="P103" s="8"/>
    </row>
    <row r="104" spans="1:16">
      <c r="A104" s="8"/>
      <c r="P104" s="8"/>
    </row>
    <row r="105" spans="1:16">
      <c r="A105" s="8"/>
      <c r="P105" s="8"/>
    </row>
    <row r="106" spans="1:16">
      <c r="A106" s="8"/>
      <c r="P106" s="8"/>
    </row>
    <row r="107" spans="1:16">
      <c r="A107" s="8"/>
      <c r="P107" s="8"/>
    </row>
    <row r="108" spans="1:16">
      <c r="A108" s="8"/>
      <c r="P108" s="8"/>
    </row>
    <row r="109" spans="1:16">
      <c r="A109" s="8"/>
      <c r="P109" s="8"/>
    </row>
    <row r="110" spans="1:16">
      <c r="A110" s="8"/>
      <c r="P110" s="8"/>
    </row>
    <row r="111" spans="1:16">
      <c r="A111" s="8"/>
      <c r="P111" s="8"/>
    </row>
    <row r="112" spans="1:16">
      <c r="A112" s="8"/>
      <c r="P112" s="8"/>
    </row>
    <row r="113" spans="1:16">
      <c r="A113" s="8"/>
      <c r="P113" s="8"/>
    </row>
    <row r="114" spans="1:16">
      <c r="A114" s="8"/>
      <c r="P114" s="8"/>
    </row>
    <row r="115" spans="1:16">
      <c r="A115" s="8"/>
      <c r="P115" s="8"/>
    </row>
    <row r="116" spans="1:16">
      <c r="A116" s="8"/>
      <c r="P116" s="8"/>
    </row>
    <row r="117" spans="1:16">
      <c r="A117" s="8"/>
      <c r="P117" s="8"/>
    </row>
    <row r="118" spans="1:16">
      <c r="A118" s="8"/>
      <c r="P118" s="8"/>
    </row>
    <row r="119" spans="1:16">
      <c r="A119" s="8"/>
      <c r="P119" s="8"/>
    </row>
    <row r="120" spans="1:16">
      <c r="A120" s="8"/>
      <c r="P120" s="8"/>
    </row>
    <row r="121" spans="1:16">
      <c r="A121" s="8"/>
      <c r="P121" s="8"/>
    </row>
    <row r="122" spans="1:16">
      <c r="A122" s="8"/>
      <c r="P122" s="8"/>
    </row>
    <row r="123" spans="1:16">
      <c r="A123" s="8"/>
      <c r="P123" s="8"/>
    </row>
    <row r="124" spans="1:16">
      <c r="A124" s="8"/>
      <c r="P124" s="8"/>
    </row>
    <row r="125" spans="1:16">
      <c r="A125" s="8"/>
      <c r="P125" s="8"/>
    </row>
    <row r="126" spans="1:16">
      <c r="A126" s="8"/>
      <c r="P126" s="8"/>
    </row>
    <row r="127" spans="1:16">
      <c r="A127" s="8"/>
      <c r="P127" s="8"/>
    </row>
    <row r="128" spans="1:16">
      <c r="A128" s="8"/>
      <c r="P128" s="8"/>
    </row>
    <row r="129" spans="1:16">
      <c r="A129" s="8"/>
      <c r="P129" s="8"/>
    </row>
    <row r="130" spans="1:16">
      <c r="A130" s="8"/>
      <c r="P130" s="8"/>
    </row>
    <row r="131" spans="1:16">
      <c r="A131" s="8"/>
      <c r="P131" s="8"/>
    </row>
    <row r="132" spans="1:16">
      <c r="A132" s="8"/>
      <c r="P132" s="8"/>
    </row>
    <row r="133" spans="1:16">
      <c r="A133" s="8"/>
      <c r="P133" s="8"/>
    </row>
    <row r="134" spans="1:16">
      <c r="A134" s="8"/>
      <c r="P134" s="8"/>
    </row>
    <row r="135" spans="1:16">
      <c r="A135" s="8"/>
      <c r="P135" s="8"/>
    </row>
    <row r="136" spans="1:16">
      <c r="A136" s="8"/>
      <c r="P136" s="8"/>
    </row>
    <row r="137" spans="1:16">
      <c r="A137" s="8"/>
      <c r="P137" s="8"/>
    </row>
    <row r="138" spans="1:16">
      <c r="A138" s="8"/>
      <c r="P138" s="8"/>
    </row>
    <row r="139" spans="1:16">
      <c r="A139" s="8"/>
      <c r="P139" s="8"/>
    </row>
    <row r="140" spans="1:16">
      <c r="A140" s="8"/>
      <c r="P140" s="8"/>
    </row>
    <row r="141" spans="1:16">
      <c r="A141" s="8"/>
      <c r="P141" s="8"/>
    </row>
    <row r="142" spans="1:16">
      <c r="A142" s="8"/>
      <c r="P142" s="8"/>
    </row>
    <row r="143" spans="1:16">
      <c r="A143" s="8"/>
      <c r="P143" s="8"/>
    </row>
    <row r="144" spans="1:16">
      <c r="A144" s="8"/>
      <c r="P144" s="8"/>
    </row>
    <row r="145" spans="1:16">
      <c r="A145" s="8"/>
      <c r="P145" s="8"/>
    </row>
    <row r="146" spans="1:16">
      <c r="A146" s="8"/>
      <c r="P146" s="8"/>
    </row>
    <row r="147" spans="1:16">
      <c r="A147" s="8"/>
      <c r="P147" s="8"/>
    </row>
    <row r="148" spans="1:16">
      <c r="A148" s="8"/>
      <c r="P148" s="8"/>
    </row>
    <row r="149" spans="1:16">
      <c r="A149" s="8"/>
      <c r="P149" s="8"/>
    </row>
    <row r="150" spans="1:16">
      <c r="A150" s="8"/>
      <c r="P150" s="8"/>
    </row>
    <row r="151" spans="1:16">
      <c r="A151" s="8"/>
      <c r="P151" s="8"/>
    </row>
    <row r="152" spans="1:16">
      <c r="A152" s="8"/>
      <c r="P152" s="8"/>
    </row>
    <row r="153" spans="1:16">
      <c r="A153" s="8"/>
      <c r="P153" s="8"/>
    </row>
    <row r="154" spans="1:16">
      <c r="A154" s="8"/>
      <c r="P154" s="8"/>
    </row>
    <row r="155" spans="1:16">
      <c r="A155" s="8"/>
      <c r="P155" s="8"/>
    </row>
    <row r="156" spans="1:16">
      <c r="A156" s="8"/>
      <c r="P156" s="8"/>
    </row>
    <row r="157" spans="1:16">
      <c r="A157" s="8"/>
      <c r="P157" s="8"/>
    </row>
    <row r="158" spans="1:16">
      <c r="A158" s="8"/>
      <c r="P158" s="8"/>
    </row>
    <row r="159" spans="1:16">
      <c r="A159" s="8"/>
      <c r="P159" s="8"/>
    </row>
    <row r="160" spans="1:16">
      <c r="A160" s="8"/>
      <c r="P160" s="8"/>
    </row>
    <row r="161" spans="1:16">
      <c r="A161" s="8"/>
      <c r="P161" s="8"/>
    </row>
    <row r="162" spans="1:16">
      <c r="A162" s="8"/>
      <c r="P162" s="8"/>
    </row>
    <row r="163" spans="1:16">
      <c r="A163" s="8"/>
      <c r="P163" s="8"/>
    </row>
    <row r="164" spans="1:16">
      <c r="A164" s="8"/>
      <c r="P164" s="8"/>
    </row>
    <row r="165" spans="1:16">
      <c r="A165" s="8"/>
      <c r="P165" s="8"/>
    </row>
    <row r="166" spans="1:16">
      <c r="A166" s="8"/>
      <c r="P166" s="8"/>
    </row>
    <row r="167" spans="1:16">
      <c r="A167" s="8"/>
      <c r="P167" s="8"/>
    </row>
    <row r="168" spans="1:16">
      <c r="A168" s="8"/>
      <c r="P168" s="8"/>
    </row>
    <row r="169" spans="1:16">
      <c r="A169" s="8"/>
      <c r="P169" s="8"/>
    </row>
    <row r="170" spans="1:16">
      <c r="A170" s="8"/>
      <c r="P170" s="8"/>
    </row>
    <row r="171" spans="1:16">
      <c r="A171" s="8"/>
      <c r="P171" s="8"/>
    </row>
    <row r="172" spans="1:16">
      <c r="A172" s="8"/>
      <c r="P172" s="8"/>
    </row>
    <row r="173" spans="1:16">
      <c r="A173" s="8"/>
      <c r="P173" s="8"/>
    </row>
    <row r="174" spans="1:16">
      <c r="A174" s="8"/>
      <c r="P174" s="8"/>
    </row>
    <row r="175" spans="1:16">
      <c r="A175" s="8"/>
      <c r="P175" s="8"/>
    </row>
    <row r="176" spans="1:16">
      <c r="A176" s="8"/>
      <c r="P176" s="8"/>
    </row>
    <row r="177" spans="1:16">
      <c r="A177" s="8"/>
      <c r="P177" s="8"/>
    </row>
    <row r="178" spans="1:16">
      <c r="A178" s="8"/>
      <c r="P178" s="8"/>
    </row>
    <row r="179" spans="1:16">
      <c r="A179" s="8"/>
      <c r="P179" s="8"/>
    </row>
    <row r="180" spans="1:16">
      <c r="A180" s="8"/>
      <c r="P180" s="8"/>
    </row>
    <row r="181" spans="1:16">
      <c r="A181" s="8"/>
      <c r="P181" s="8"/>
    </row>
    <row r="182" spans="1:16">
      <c r="A182" s="8"/>
      <c r="P182" s="8"/>
    </row>
    <row r="183" spans="1:16">
      <c r="A183" s="8"/>
      <c r="P183" s="8"/>
    </row>
    <row r="184" spans="1:16">
      <c r="A184" s="8"/>
      <c r="P184" s="8"/>
    </row>
    <row r="185" spans="1:16">
      <c r="A185" s="8"/>
      <c r="P185" s="8"/>
    </row>
    <row r="186" spans="1:16">
      <c r="A186" s="8"/>
      <c r="P186" s="8"/>
    </row>
    <row r="187" spans="1:16">
      <c r="A187" s="8"/>
      <c r="P187" s="8"/>
    </row>
    <row r="188" spans="1:16">
      <c r="A188" s="8"/>
      <c r="P188" s="8"/>
    </row>
    <row r="189" spans="1:16">
      <c r="A189" s="8"/>
      <c r="P189" s="8"/>
    </row>
    <row r="190" spans="1:16">
      <c r="A190" s="8"/>
      <c r="P190" s="8"/>
    </row>
    <row r="191" spans="1:16">
      <c r="A191" s="8"/>
      <c r="P191" s="8"/>
    </row>
    <row r="192" spans="1:16">
      <c r="A192" s="8"/>
      <c r="P192" s="8"/>
    </row>
    <row r="193" spans="1:16">
      <c r="A193" s="8"/>
      <c r="P193" s="8"/>
    </row>
    <row r="194" spans="1:16">
      <c r="A194" s="8"/>
      <c r="P194" s="8"/>
    </row>
    <row r="195" spans="1:16">
      <c r="A195" s="8"/>
      <c r="P195" s="8"/>
    </row>
    <row r="196" spans="1:16">
      <c r="A196" s="8"/>
      <c r="P196" s="8"/>
    </row>
    <row r="197" spans="1:16">
      <c r="A197" s="8"/>
      <c r="P197" s="8"/>
    </row>
    <row r="198" spans="1:16">
      <c r="A198" s="8"/>
      <c r="P198" s="8"/>
    </row>
    <row r="199" spans="1:16">
      <c r="A199" s="8"/>
      <c r="P199" s="8"/>
    </row>
    <row r="200" spans="1:16">
      <c r="A200" s="8"/>
      <c r="P200" s="8"/>
    </row>
    <row r="201" spans="1:16">
      <c r="A201" s="8"/>
      <c r="P201" s="8"/>
    </row>
    <row r="202" spans="1:16">
      <c r="A202" s="8"/>
      <c r="P202" s="8"/>
    </row>
    <row r="203" spans="1:16">
      <c r="A203" s="8"/>
      <c r="P203" s="8"/>
    </row>
    <row r="204" spans="1:16">
      <c r="A204" s="8"/>
      <c r="P204" s="8"/>
    </row>
    <row r="205" spans="1:16">
      <c r="A205" s="8"/>
      <c r="P205" s="8"/>
    </row>
    <row r="206" spans="1:16">
      <c r="A206" s="8"/>
      <c r="P206" s="8"/>
    </row>
    <row r="207" spans="1:16">
      <c r="A207" s="8"/>
      <c r="P207" s="8"/>
    </row>
    <row r="208" spans="1:16">
      <c r="A208" s="8"/>
      <c r="P208" s="8"/>
    </row>
    <row r="209" spans="1:16">
      <c r="A209" s="8"/>
      <c r="P209" s="8"/>
    </row>
    <row r="210" spans="1:16">
      <c r="A210" s="8"/>
      <c r="P210" s="8"/>
    </row>
    <row r="211" spans="1:16">
      <c r="A211" s="8"/>
      <c r="P211" s="8"/>
    </row>
    <row r="212" spans="1:16">
      <c r="A212" s="8"/>
      <c r="P212" s="8"/>
    </row>
    <row r="213" spans="1:16">
      <c r="A213" s="8"/>
      <c r="P213" s="8"/>
    </row>
    <row r="214" spans="1:16">
      <c r="A214" s="8"/>
      <c r="P214" s="8"/>
    </row>
    <row r="215" spans="1:16">
      <c r="A215" s="8"/>
      <c r="P215" s="8"/>
    </row>
    <row r="216" spans="1:16">
      <c r="A216" s="8"/>
      <c r="P216" s="8"/>
    </row>
    <row r="217" spans="1:16">
      <c r="A217" s="8"/>
      <c r="P217" s="8"/>
    </row>
    <row r="218" spans="1:16">
      <c r="A218" s="8"/>
      <c r="P218" s="8"/>
    </row>
    <row r="219" spans="1:16">
      <c r="A219" s="8"/>
      <c r="P219" s="8"/>
    </row>
    <row r="220" spans="1:16">
      <c r="A220" s="8"/>
      <c r="P220" s="8"/>
    </row>
    <row r="221" spans="1:16">
      <c r="A221" s="8"/>
      <c r="P221" s="8"/>
    </row>
    <row r="222" spans="1:16">
      <c r="A222" s="8"/>
      <c r="P222" s="8"/>
    </row>
    <row r="223" spans="1:16">
      <c r="A223" s="8"/>
      <c r="P223" s="8"/>
    </row>
    <row r="224" spans="1:16">
      <c r="A224" s="8"/>
      <c r="P224" s="8"/>
    </row>
    <row r="225" spans="1:16">
      <c r="A225" s="8"/>
      <c r="P225" s="8"/>
    </row>
    <row r="226" spans="1:16">
      <c r="A226" s="8"/>
      <c r="P226" s="8"/>
    </row>
    <row r="227" spans="1:16">
      <c r="A227" s="8"/>
      <c r="P227" s="8"/>
    </row>
    <row r="228" spans="1:16">
      <c r="A228" s="8"/>
      <c r="P228" s="8"/>
    </row>
    <row r="229" spans="1:16">
      <c r="A229" s="8"/>
      <c r="P229" s="8"/>
    </row>
    <row r="230" spans="1:16">
      <c r="A230" s="8"/>
      <c r="P230" s="8"/>
    </row>
    <row r="231" spans="1:16">
      <c r="A231" s="8"/>
      <c r="P231" s="8"/>
    </row>
    <row r="232" spans="1:16">
      <c r="A232" s="8"/>
      <c r="P232" s="8"/>
    </row>
    <row r="233" spans="1:16">
      <c r="A233" s="8"/>
      <c r="P233" s="8"/>
    </row>
    <row r="234" spans="1:16">
      <c r="A234" s="8"/>
      <c r="P234" s="8"/>
    </row>
    <row r="235" spans="1:16">
      <c r="A235" s="8"/>
      <c r="P235" s="8"/>
    </row>
    <row r="236" spans="1:16">
      <c r="A236" s="8"/>
      <c r="P236" s="8"/>
    </row>
    <row r="237" spans="1:16">
      <c r="A237" s="8"/>
      <c r="P237" s="8"/>
    </row>
    <row r="238" spans="1:16">
      <c r="A238" s="8"/>
      <c r="P238" s="8"/>
    </row>
    <row r="239" spans="1:16">
      <c r="A239" s="8"/>
      <c r="P239" s="8"/>
    </row>
    <row r="240" spans="1:16">
      <c r="A240" s="8"/>
      <c r="P240" s="8"/>
    </row>
    <row r="241" spans="1:16">
      <c r="A241" s="8"/>
      <c r="P241" s="8"/>
    </row>
    <row r="242" spans="1:16">
      <c r="A242" s="8"/>
      <c r="P242" s="8"/>
    </row>
    <row r="243" spans="1:16">
      <c r="A243" s="8"/>
      <c r="P243" s="8"/>
    </row>
    <row r="244" spans="1:16">
      <c r="A244" s="8"/>
      <c r="P244" s="8"/>
    </row>
    <row r="245" spans="1:16">
      <c r="A245" s="8"/>
      <c r="P245" s="8"/>
    </row>
    <row r="246" spans="1:16">
      <c r="A246" s="8"/>
      <c r="P246" s="8"/>
    </row>
    <row r="247" spans="1:16">
      <c r="A247" s="8"/>
      <c r="P247" s="8"/>
    </row>
    <row r="248" spans="1:16">
      <c r="A248" s="8"/>
      <c r="P248" s="8"/>
    </row>
    <row r="249" spans="1:16">
      <c r="A249" s="8"/>
      <c r="P249" s="8"/>
    </row>
    <row r="250" spans="1:16">
      <c r="A250" s="8"/>
      <c r="P250" s="8"/>
    </row>
    <row r="251" spans="1:16">
      <c r="A251" s="8"/>
      <c r="P251" s="8"/>
    </row>
    <row r="252" spans="1:16">
      <c r="A252" s="8"/>
      <c r="P252" s="8"/>
    </row>
    <row r="253" spans="1:16">
      <c r="A253" s="8"/>
      <c r="P253" s="8"/>
    </row>
    <row r="254" spans="1:16">
      <c r="A254" s="8"/>
      <c r="P254" s="8"/>
    </row>
    <row r="255" spans="1:16">
      <c r="A255" s="8"/>
      <c r="P255" s="8"/>
    </row>
    <row r="256" spans="1:16">
      <c r="A256" s="8"/>
      <c r="P256" s="8"/>
    </row>
    <row r="257" spans="1:16">
      <c r="A257" s="8"/>
      <c r="P257" s="8"/>
    </row>
    <row r="258" spans="1:16">
      <c r="A258" s="8"/>
      <c r="P258" s="8"/>
    </row>
    <row r="259" spans="1:16">
      <c r="A259" s="8"/>
      <c r="P259" s="8"/>
    </row>
    <row r="260" spans="1:16">
      <c r="A260" s="8"/>
      <c r="P260" s="8"/>
    </row>
    <row r="261" spans="1:16">
      <c r="A261" s="8"/>
      <c r="P261" s="8"/>
    </row>
    <row r="262" spans="1:16">
      <c r="A262" s="8"/>
      <c r="P262" s="8"/>
    </row>
    <row r="263" spans="1:16">
      <c r="A263" s="8"/>
      <c r="P263" s="8"/>
    </row>
    <row r="264" spans="1:16">
      <c r="A264" s="8"/>
      <c r="P264" s="8"/>
    </row>
    <row r="265" spans="1:16">
      <c r="A265" s="8"/>
      <c r="P265" s="8"/>
    </row>
    <row r="266" spans="1:16">
      <c r="A266" s="8"/>
      <c r="P266" s="8"/>
    </row>
    <row r="267" spans="1:16">
      <c r="A267" s="8"/>
      <c r="P267" s="8"/>
    </row>
    <row r="268" spans="1:16">
      <c r="A268" s="8"/>
      <c r="P268" s="8"/>
    </row>
    <row r="269" spans="1:16">
      <c r="A269" s="8"/>
      <c r="P269" s="8"/>
    </row>
    <row r="270" spans="1:16">
      <c r="A270" s="8"/>
      <c r="P270" s="8"/>
    </row>
    <row r="271" spans="1:16">
      <c r="A271" s="8"/>
      <c r="P271" s="8"/>
    </row>
    <row r="272" spans="1:16">
      <c r="A272" s="8"/>
      <c r="P272" s="8"/>
    </row>
    <row r="273" spans="1:16">
      <c r="A273" s="8"/>
      <c r="P273" s="8"/>
    </row>
    <row r="274" spans="1:16">
      <c r="A274" s="8"/>
      <c r="P274" s="8"/>
    </row>
  </sheetData>
  <mergeCells count="6">
    <mergeCell ref="B5:J5"/>
    <mergeCell ref="B17:J17"/>
    <mergeCell ref="B19:J19"/>
    <mergeCell ref="B13:J13"/>
    <mergeCell ref="B15:J15"/>
    <mergeCell ref="B16:J16"/>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25" r:id="rId3" name="Button 1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3326" r:id="rId4" name="Button 1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3327" r:id="rId5" name="Button 1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3328" r:id="rId6" name="Button 1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4" enableFormatConditionsCalculation="0"/>
  <dimension ref="A1:N497"/>
  <sheetViews>
    <sheetView topLeftCell="A4" workbookViewId="0">
      <selection activeCell="A4" sqref="A4"/>
    </sheetView>
  </sheetViews>
  <sheetFormatPr baseColWidth="10" defaultColWidth="8.83203125" defaultRowHeight="12" x14ac:dyDescent="0"/>
  <cols>
    <col min="2" max="2" width="13.33203125" customWidth="1"/>
    <col min="3" max="3" width="10.83203125" customWidth="1"/>
    <col min="4" max="4" width="11.33203125" customWidth="1"/>
    <col min="5" max="5" width="11.5" customWidth="1"/>
    <col min="6" max="8" width="12.1640625" customWidth="1"/>
    <col min="9" max="9" width="18.1640625" customWidth="1"/>
  </cols>
  <sheetData>
    <row r="1" spans="1:14">
      <c r="A1" s="21"/>
      <c r="B1" s="21"/>
      <c r="C1" s="21" t="s">
        <v>846</v>
      </c>
      <c r="D1" s="21"/>
      <c r="E1" s="21"/>
      <c r="F1" s="21"/>
      <c r="G1" s="21"/>
      <c r="H1" s="21"/>
      <c r="I1" s="21"/>
    </row>
    <row r="2" spans="1:14" ht="21" customHeight="1">
      <c r="A2" s="21"/>
      <c r="B2" s="21"/>
      <c r="C2" s="21"/>
      <c r="D2" s="374"/>
      <c r="E2" s="374"/>
      <c r="F2" s="374"/>
      <c r="G2" s="374"/>
      <c r="H2" s="374"/>
      <c r="I2" s="374"/>
      <c r="J2" s="372"/>
      <c r="K2" s="372"/>
      <c r="L2" s="372"/>
      <c r="M2" s="372"/>
      <c r="N2" s="372"/>
    </row>
    <row r="3" spans="1:14">
      <c r="A3" s="19" t="s">
        <v>1045</v>
      </c>
      <c r="B3" s="20" t="s">
        <v>128</v>
      </c>
      <c r="C3" s="21"/>
      <c r="D3" s="21"/>
      <c r="E3" s="21"/>
      <c r="F3" s="21"/>
      <c r="G3" s="21"/>
      <c r="H3" s="21"/>
      <c r="I3" s="21"/>
    </row>
    <row r="4" spans="1:14">
      <c r="A4" s="19" t="s">
        <v>774</v>
      </c>
      <c r="B4" s="20" t="s">
        <v>129</v>
      </c>
      <c r="C4" s="21"/>
      <c r="D4" s="21"/>
      <c r="E4" s="21"/>
      <c r="F4" s="21"/>
      <c r="G4" s="21"/>
      <c r="H4" s="21"/>
      <c r="I4" s="21"/>
    </row>
    <row r="5" spans="1:14" ht="45" customHeight="1">
      <c r="A5" s="118" t="s">
        <v>779</v>
      </c>
      <c r="B5" s="446" t="s">
        <v>169</v>
      </c>
      <c r="C5" s="446"/>
      <c r="D5" s="446"/>
      <c r="E5" s="446"/>
      <c r="F5" s="446"/>
      <c r="G5" s="446"/>
      <c r="H5" s="446"/>
      <c r="I5" s="446"/>
    </row>
    <row r="6" spans="1:14" ht="79.5" customHeight="1">
      <c r="A6" s="19"/>
      <c r="B6" s="446" t="s">
        <v>170</v>
      </c>
      <c r="C6" s="446"/>
      <c r="D6" s="446"/>
      <c r="E6" s="446"/>
      <c r="F6" s="446"/>
      <c r="G6" s="446"/>
      <c r="H6" s="446"/>
      <c r="I6" s="446"/>
    </row>
    <row r="7" spans="1:14" ht="25.5" customHeight="1">
      <c r="A7" s="21"/>
      <c r="B7" s="21"/>
      <c r="C7" s="189" t="s">
        <v>130</v>
      </c>
      <c r="D7" s="21"/>
      <c r="E7" s="21"/>
      <c r="F7" s="21"/>
      <c r="G7" s="21"/>
      <c r="H7" s="21"/>
      <c r="I7" s="21"/>
    </row>
    <row r="8" spans="1:14" ht="17.25" customHeight="1">
      <c r="A8" s="19"/>
      <c r="B8" s="127" t="s">
        <v>171</v>
      </c>
      <c r="C8" s="21"/>
      <c r="D8" s="21"/>
      <c r="E8" s="21"/>
      <c r="F8" s="21"/>
      <c r="G8" s="21"/>
      <c r="H8" s="21"/>
      <c r="I8" s="21"/>
    </row>
    <row r="9" spans="1:14" ht="43.5" customHeight="1">
      <c r="A9" s="19"/>
      <c r="B9" s="21"/>
      <c r="C9" s="21"/>
      <c r="D9" s="21"/>
      <c r="E9" s="21"/>
      <c r="F9" s="21"/>
      <c r="G9" s="21"/>
      <c r="H9" s="21"/>
      <c r="I9" s="21"/>
    </row>
    <row r="10" spans="1:14" ht="15.75" customHeight="1">
      <c r="A10" s="19"/>
      <c r="B10" s="127" t="s">
        <v>172</v>
      </c>
      <c r="C10" s="21"/>
      <c r="D10" s="21"/>
      <c r="E10" s="21"/>
      <c r="F10" s="21"/>
      <c r="G10" s="21"/>
      <c r="H10" s="21"/>
      <c r="I10" s="21"/>
    </row>
    <row r="11" spans="1:14" ht="43.5" customHeight="1">
      <c r="A11" s="19"/>
      <c r="B11" s="127"/>
      <c r="C11" s="21"/>
      <c r="D11" s="21"/>
      <c r="E11" s="21"/>
      <c r="F11" s="21"/>
      <c r="G11" s="21"/>
      <c r="H11" s="21"/>
      <c r="I11" s="21"/>
    </row>
    <row r="12" spans="1:14" ht="54" customHeight="1">
      <c r="A12" s="22" t="s">
        <v>1090</v>
      </c>
      <c r="B12" s="22" t="s">
        <v>1098</v>
      </c>
      <c r="C12" s="196" t="s">
        <v>189</v>
      </c>
      <c r="D12" s="196" t="s">
        <v>187</v>
      </c>
      <c r="E12" s="196" t="s">
        <v>188</v>
      </c>
      <c r="F12" s="196"/>
      <c r="G12" s="196"/>
      <c r="H12" s="196"/>
      <c r="I12" s="196"/>
    </row>
    <row r="13" spans="1:14">
      <c r="A13" s="109">
        <v>35664</v>
      </c>
      <c r="B13" s="112">
        <v>25</v>
      </c>
      <c r="C13" s="53"/>
      <c r="D13" s="53"/>
      <c r="E13" s="333">
        <f>B13</f>
        <v>25</v>
      </c>
      <c r="F13" s="333"/>
      <c r="G13" s="333"/>
      <c r="H13" s="333"/>
      <c r="I13" s="333"/>
    </row>
    <row r="14" spans="1:14">
      <c r="A14" s="109">
        <v>35667</v>
      </c>
      <c r="B14" s="112">
        <v>24.875</v>
      </c>
      <c r="C14" s="41">
        <f>B14*(2/(5+1))</f>
        <v>8.2916666666666661</v>
      </c>
      <c r="D14" s="41">
        <f>E13*(1-(2/(5+1)))</f>
        <v>16.666666666666668</v>
      </c>
      <c r="E14" s="333">
        <f>C14+D14</f>
        <v>24.958333333333336</v>
      </c>
      <c r="F14" s="333"/>
      <c r="G14" s="333"/>
      <c r="H14" s="333"/>
      <c r="I14" s="333"/>
    </row>
    <row r="15" spans="1:14">
      <c r="A15" s="110">
        <v>35668</v>
      </c>
      <c r="B15" s="111">
        <v>24.781300000000002</v>
      </c>
      <c r="C15" s="45">
        <f t="shared" ref="C15:C68" si="0">B15*(2/(5+1))</f>
        <v>8.2604333333333333</v>
      </c>
      <c r="D15" s="45">
        <f t="shared" ref="D15:D68" si="1">E14*(1-(2/(5+1)))</f>
        <v>16.638888888888893</v>
      </c>
      <c r="E15" s="334">
        <f t="shared" ref="E15:E68" si="2">C15+D15</f>
        <v>24.899322222222224</v>
      </c>
      <c r="F15" s="334"/>
      <c r="G15" s="334"/>
      <c r="H15" s="334"/>
      <c r="I15" s="334"/>
    </row>
    <row r="16" spans="1:14">
      <c r="A16" s="110">
        <v>35669</v>
      </c>
      <c r="B16" s="111">
        <v>24.593800000000002</v>
      </c>
      <c r="C16" s="45">
        <f t="shared" si="0"/>
        <v>8.1979333333333333</v>
      </c>
      <c r="D16" s="45">
        <f t="shared" si="1"/>
        <v>16.599548148148152</v>
      </c>
      <c r="E16" s="334">
        <f t="shared" si="2"/>
        <v>24.797481481481483</v>
      </c>
      <c r="F16" s="334"/>
      <c r="G16" s="334"/>
      <c r="H16" s="334"/>
      <c r="I16" s="334"/>
    </row>
    <row r="17" spans="1:9">
      <c r="A17" s="109">
        <v>35670</v>
      </c>
      <c r="B17" s="112">
        <v>24.5</v>
      </c>
      <c r="C17" s="41">
        <f t="shared" si="0"/>
        <v>8.1666666666666661</v>
      </c>
      <c r="D17" s="41">
        <f t="shared" si="1"/>
        <v>16.531654320987659</v>
      </c>
      <c r="E17" s="41">
        <f t="shared" si="2"/>
        <v>24.698320987654327</v>
      </c>
      <c r="F17" s="41"/>
      <c r="G17" s="41"/>
      <c r="H17" s="41"/>
      <c r="I17" s="41"/>
    </row>
    <row r="18" spans="1:9">
      <c r="A18" s="109">
        <v>35671</v>
      </c>
      <c r="B18" s="112">
        <v>24.625</v>
      </c>
      <c r="C18" s="41">
        <f t="shared" si="0"/>
        <v>8.2083333333333321</v>
      </c>
      <c r="D18" s="41">
        <f t="shared" si="1"/>
        <v>16.465547325102886</v>
      </c>
      <c r="E18" s="41">
        <f t="shared" si="2"/>
        <v>24.673880658436218</v>
      </c>
      <c r="F18" s="41"/>
      <c r="G18" s="41"/>
      <c r="H18" s="41"/>
      <c r="I18" s="41"/>
    </row>
    <row r="19" spans="1:9">
      <c r="A19" s="110">
        <v>35675</v>
      </c>
      <c r="B19" s="111">
        <v>25.218800000000002</v>
      </c>
      <c r="C19" s="45">
        <f t="shared" si="0"/>
        <v>8.4062666666666672</v>
      </c>
      <c r="D19" s="45">
        <f t="shared" si="1"/>
        <v>16.449253772290813</v>
      </c>
      <c r="E19" s="45">
        <f t="shared" si="2"/>
        <v>24.85552043895748</v>
      </c>
      <c r="F19" s="45"/>
      <c r="G19" s="45"/>
      <c r="H19" s="45"/>
      <c r="I19" s="45"/>
    </row>
    <row r="20" spans="1:9">
      <c r="A20" s="110">
        <v>35676</v>
      </c>
      <c r="B20" s="111">
        <v>27.25</v>
      </c>
      <c r="C20" s="45">
        <f t="shared" si="0"/>
        <v>9.0833333333333321</v>
      </c>
      <c r="D20" s="45">
        <f t="shared" si="1"/>
        <v>16.570346959304988</v>
      </c>
      <c r="E20" s="45">
        <f t="shared" si="2"/>
        <v>25.65368029263832</v>
      </c>
      <c r="F20" s="45"/>
      <c r="G20" s="45"/>
      <c r="H20" s="45"/>
      <c r="I20" s="45"/>
    </row>
    <row r="21" spans="1:9">
      <c r="A21" s="109">
        <v>35677</v>
      </c>
      <c r="B21" s="112">
        <v>26.25</v>
      </c>
      <c r="C21" s="41">
        <f t="shared" si="0"/>
        <v>8.75</v>
      </c>
      <c r="D21" s="41">
        <f t="shared" si="1"/>
        <v>17.102453528425549</v>
      </c>
      <c r="E21" s="41">
        <f t="shared" si="2"/>
        <v>25.852453528425549</v>
      </c>
      <c r="F21" s="41"/>
      <c r="G21" s="41"/>
      <c r="H21" s="41"/>
      <c r="I21" s="41"/>
    </row>
    <row r="22" spans="1:9">
      <c r="A22" s="109">
        <v>35678</v>
      </c>
      <c r="B22" s="112">
        <v>26.593800000000002</v>
      </c>
      <c r="C22" s="41">
        <f t="shared" si="0"/>
        <v>8.8645999999999994</v>
      </c>
      <c r="D22" s="41">
        <f t="shared" si="1"/>
        <v>17.23496901895037</v>
      </c>
      <c r="E22" s="41">
        <f t="shared" si="2"/>
        <v>26.099569018950369</v>
      </c>
      <c r="F22" s="41"/>
      <c r="G22" s="41"/>
      <c r="H22" s="41"/>
      <c r="I22" s="41"/>
    </row>
    <row r="23" spans="1:9">
      <c r="A23" s="110">
        <v>35681</v>
      </c>
      <c r="B23" s="111">
        <v>27.593800000000002</v>
      </c>
      <c r="C23" s="45">
        <f t="shared" si="0"/>
        <v>9.1979333333333333</v>
      </c>
      <c r="D23" s="45">
        <f t="shared" si="1"/>
        <v>17.399712679300247</v>
      </c>
      <c r="E23" s="45">
        <f t="shared" si="2"/>
        <v>26.597646012633582</v>
      </c>
      <c r="F23" s="45"/>
      <c r="G23" s="45"/>
      <c r="H23" s="45"/>
      <c r="I23" s="45"/>
    </row>
    <row r="24" spans="1:9">
      <c r="A24" s="110">
        <v>35682</v>
      </c>
      <c r="B24" s="111">
        <v>27.875</v>
      </c>
      <c r="C24" s="45">
        <f t="shared" si="0"/>
        <v>9.2916666666666661</v>
      </c>
      <c r="D24" s="45">
        <f t="shared" si="1"/>
        <v>17.731764008422392</v>
      </c>
      <c r="E24" s="45">
        <f t="shared" si="2"/>
        <v>27.02343067508906</v>
      </c>
      <c r="F24" s="45"/>
      <c r="G24" s="45"/>
      <c r="H24" s="45"/>
      <c r="I24" s="45"/>
    </row>
    <row r="25" spans="1:9">
      <c r="A25" s="109">
        <v>35683</v>
      </c>
      <c r="B25" s="112">
        <v>27.531300000000002</v>
      </c>
      <c r="C25" s="41">
        <f t="shared" si="0"/>
        <v>9.1770999999999994</v>
      </c>
      <c r="D25" s="41">
        <f t="shared" si="1"/>
        <v>18.015620450059377</v>
      </c>
      <c r="E25" s="41">
        <f t="shared" si="2"/>
        <v>27.192720450059376</v>
      </c>
      <c r="F25" s="41"/>
      <c r="G25" s="41"/>
      <c r="H25" s="41"/>
      <c r="I25" s="41"/>
    </row>
    <row r="26" spans="1:9">
      <c r="A26" s="109">
        <v>35684</v>
      </c>
      <c r="B26" s="112">
        <v>27.218800000000002</v>
      </c>
      <c r="C26" s="41">
        <f t="shared" si="0"/>
        <v>9.0729333333333333</v>
      </c>
      <c r="D26" s="41">
        <f t="shared" si="1"/>
        <v>18.128480300039588</v>
      </c>
      <c r="E26" s="41">
        <f t="shared" si="2"/>
        <v>27.201413633372923</v>
      </c>
      <c r="F26" s="41"/>
      <c r="G26" s="41"/>
      <c r="H26" s="41"/>
      <c r="I26" s="41"/>
    </row>
    <row r="27" spans="1:9">
      <c r="A27" s="110">
        <v>35685</v>
      </c>
      <c r="B27" s="111">
        <v>26.968800000000002</v>
      </c>
      <c r="C27" s="45">
        <f t="shared" si="0"/>
        <v>8.9895999999999994</v>
      </c>
      <c r="D27" s="45">
        <f t="shared" si="1"/>
        <v>18.13427575558195</v>
      </c>
      <c r="E27" s="45">
        <f t="shared" si="2"/>
        <v>27.123875755581949</v>
      </c>
      <c r="F27" s="45"/>
      <c r="G27" s="45"/>
      <c r="H27" s="45"/>
      <c r="I27" s="45"/>
    </row>
    <row r="28" spans="1:9">
      <c r="A28" s="110">
        <v>35688</v>
      </c>
      <c r="B28" s="111">
        <v>26.75</v>
      </c>
      <c r="C28" s="45">
        <f t="shared" si="0"/>
        <v>8.9166666666666661</v>
      </c>
      <c r="D28" s="45">
        <f t="shared" si="1"/>
        <v>18.082583837054635</v>
      </c>
      <c r="E28" s="45">
        <f t="shared" si="2"/>
        <v>26.999250503721299</v>
      </c>
      <c r="F28" s="45"/>
      <c r="G28" s="45"/>
      <c r="H28" s="45"/>
      <c r="I28" s="45"/>
    </row>
    <row r="29" spans="1:9">
      <c r="A29" s="109">
        <v>35689</v>
      </c>
      <c r="B29" s="112">
        <v>27.468800000000002</v>
      </c>
      <c r="C29" s="41">
        <f t="shared" si="0"/>
        <v>9.1562666666666672</v>
      </c>
      <c r="D29" s="41">
        <f t="shared" si="1"/>
        <v>17.999500335814201</v>
      </c>
      <c r="E29" s="41">
        <f t="shared" si="2"/>
        <v>27.155767002480868</v>
      </c>
      <c r="F29" s="41"/>
      <c r="G29" s="41"/>
      <c r="H29" s="41"/>
      <c r="I29" s="41"/>
    </row>
    <row r="30" spans="1:9">
      <c r="A30" s="109">
        <v>35690</v>
      </c>
      <c r="B30" s="112">
        <v>27.3125</v>
      </c>
      <c r="C30" s="41">
        <f t="shared" si="0"/>
        <v>9.1041666666666661</v>
      </c>
      <c r="D30" s="41">
        <f t="shared" si="1"/>
        <v>18.10384466832058</v>
      </c>
      <c r="E30" s="41">
        <f t="shared" si="2"/>
        <v>27.208011334987248</v>
      </c>
      <c r="F30" s="41"/>
      <c r="G30" s="41"/>
      <c r="H30" s="41"/>
      <c r="I30" s="41"/>
    </row>
    <row r="31" spans="1:9">
      <c r="A31" s="110">
        <v>35691</v>
      </c>
      <c r="B31" s="111">
        <v>27.5</v>
      </c>
      <c r="C31" s="45">
        <f t="shared" si="0"/>
        <v>9.1666666666666661</v>
      </c>
      <c r="D31" s="45">
        <f t="shared" si="1"/>
        <v>18.138674223324834</v>
      </c>
      <c r="E31" s="45">
        <f t="shared" si="2"/>
        <v>27.305340889991498</v>
      </c>
      <c r="F31" s="45"/>
      <c r="G31" s="45"/>
      <c r="H31" s="45"/>
      <c r="I31" s="45"/>
    </row>
    <row r="32" spans="1:9">
      <c r="A32" s="110">
        <v>35692</v>
      </c>
      <c r="B32" s="111">
        <v>27.5</v>
      </c>
      <c r="C32" s="45">
        <f t="shared" si="0"/>
        <v>9.1666666666666661</v>
      </c>
      <c r="D32" s="45">
        <f t="shared" si="1"/>
        <v>18.203560593327669</v>
      </c>
      <c r="E32" s="45">
        <f t="shared" si="2"/>
        <v>27.370227259994337</v>
      </c>
      <c r="F32" s="45"/>
      <c r="G32" s="45"/>
      <c r="H32" s="45"/>
      <c r="I32" s="45"/>
    </row>
    <row r="33" spans="1:9">
      <c r="A33" s="109">
        <v>35695</v>
      </c>
      <c r="B33" s="112">
        <v>26.75</v>
      </c>
      <c r="C33" s="41">
        <f t="shared" si="0"/>
        <v>8.9166666666666661</v>
      </c>
      <c r="D33" s="41">
        <f t="shared" si="1"/>
        <v>18.246818173329562</v>
      </c>
      <c r="E33" s="41">
        <f t="shared" si="2"/>
        <v>27.163484839996229</v>
      </c>
      <c r="F33" s="41"/>
      <c r="G33" s="41"/>
      <c r="H33" s="41"/>
      <c r="I33" s="41"/>
    </row>
    <row r="34" spans="1:9">
      <c r="A34" s="109">
        <v>35696</v>
      </c>
      <c r="B34" s="112">
        <v>27.0625</v>
      </c>
      <c r="C34" s="41">
        <f t="shared" si="0"/>
        <v>9.0208333333333321</v>
      </c>
      <c r="D34" s="41">
        <f t="shared" si="1"/>
        <v>18.108989893330822</v>
      </c>
      <c r="E34" s="41">
        <f t="shared" si="2"/>
        <v>27.129823226664154</v>
      </c>
      <c r="F34" s="41"/>
      <c r="G34" s="41"/>
      <c r="H34" s="41"/>
      <c r="I34" s="41"/>
    </row>
    <row r="35" spans="1:9">
      <c r="A35" s="110">
        <v>35697</v>
      </c>
      <c r="B35" s="111">
        <v>28.656300000000002</v>
      </c>
      <c r="C35" s="45">
        <f t="shared" si="0"/>
        <v>9.5520999999999994</v>
      </c>
      <c r="D35" s="45">
        <f t="shared" si="1"/>
        <v>18.086548817776105</v>
      </c>
      <c r="E35" s="45">
        <f t="shared" si="2"/>
        <v>27.638648817776104</v>
      </c>
      <c r="F35" s="45"/>
      <c r="G35" s="45"/>
      <c r="H35" s="45"/>
      <c r="I35" s="45"/>
    </row>
    <row r="36" spans="1:9">
      <c r="A36" s="110">
        <v>35698</v>
      </c>
      <c r="B36" s="111">
        <v>28.093800000000002</v>
      </c>
      <c r="C36" s="45">
        <f t="shared" si="0"/>
        <v>9.3645999999999994</v>
      </c>
      <c r="D36" s="45">
        <f t="shared" si="1"/>
        <v>18.425765878517407</v>
      </c>
      <c r="E36" s="45">
        <f t="shared" si="2"/>
        <v>27.790365878517406</v>
      </c>
      <c r="F36" s="45"/>
      <c r="G36" s="45"/>
      <c r="H36" s="45"/>
      <c r="I36" s="45"/>
    </row>
    <row r="37" spans="1:9">
      <c r="A37" s="109">
        <v>35699</v>
      </c>
      <c r="B37" s="112">
        <v>28.8125</v>
      </c>
      <c r="C37" s="41">
        <f t="shared" si="0"/>
        <v>9.6041666666666661</v>
      </c>
      <c r="D37" s="41">
        <f t="shared" si="1"/>
        <v>18.526910585678273</v>
      </c>
      <c r="E37" s="41">
        <f t="shared" si="2"/>
        <v>28.131077252344937</v>
      </c>
      <c r="F37" s="41"/>
      <c r="G37" s="41"/>
      <c r="H37" s="41"/>
      <c r="I37" s="41"/>
    </row>
    <row r="38" spans="1:9">
      <c r="A38" s="109">
        <v>35702</v>
      </c>
      <c r="B38" s="112">
        <v>29.781300000000002</v>
      </c>
      <c r="C38" s="41">
        <f t="shared" si="0"/>
        <v>9.9270999999999994</v>
      </c>
      <c r="D38" s="41">
        <f t="shared" si="1"/>
        <v>18.754051501563293</v>
      </c>
      <c r="E38" s="41">
        <f t="shared" si="2"/>
        <v>28.681151501563292</v>
      </c>
      <c r="F38" s="41"/>
      <c r="G38" s="41"/>
      <c r="H38" s="41"/>
      <c r="I38" s="41"/>
    </row>
    <row r="39" spans="1:9">
      <c r="A39" s="110">
        <v>35703</v>
      </c>
      <c r="B39" s="111">
        <v>30.281300000000002</v>
      </c>
      <c r="C39" s="45">
        <f t="shared" si="0"/>
        <v>10.093766666666667</v>
      </c>
      <c r="D39" s="45">
        <f t="shared" si="1"/>
        <v>19.120767667708865</v>
      </c>
      <c r="E39" s="45">
        <f t="shared" si="2"/>
        <v>29.214534334375532</v>
      </c>
      <c r="F39" s="45"/>
      <c r="G39" s="45"/>
      <c r="H39" s="45"/>
      <c r="I39" s="45"/>
    </row>
    <row r="40" spans="1:9">
      <c r="A40" s="110">
        <v>35704</v>
      </c>
      <c r="B40" s="111">
        <v>31.281300000000002</v>
      </c>
      <c r="C40" s="45">
        <f t="shared" si="0"/>
        <v>10.427099999999999</v>
      </c>
      <c r="D40" s="45">
        <f t="shared" si="1"/>
        <v>19.476356222917023</v>
      </c>
      <c r="E40" s="45">
        <f t="shared" si="2"/>
        <v>29.903456222917022</v>
      </c>
      <c r="F40" s="45"/>
      <c r="G40" s="45"/>
      <c r="H40" s="45"/>
      <c r="I40" s="45"/>
    </row>
    <row r="41" spans="1:9">
      <c r="A41" s="109">
        <v>35705</v>
      </c>
      <c r="B41" s="112">
        <v>31.593800000000002</v>
      </c>
      <c r="C41" s="41">
        <f t="shared" si="0"/>
        <v>10.531266666666667</v>
      </c>
      <c r="D41" s="41">
        <f t="shared" si="1"/>
        <v>19.935637481944685</v>
      </c>
      <c r="E41" s="41">
        <f t="shared" si="2"/>
        <v>30.466904148611352</v>
      </c>
      <c r="F41" s="41"/>
      <c r="G41" s="41"/>
      <c r="H41" s="41"/>
      <c r="I41" s="41"/>
    </row>
    <row r="42" spans="1:9">
      <c r="A42" s="109">
        <v>35706</v>
      </c>
      <c r="B42" s="112">
        <v>31.875</v>
      </c>
      <c r="C42" s="41">
        <f t="shared" si="0"/>
        <v>10.625</v>
      </c>
      <c r="D42" s="41">
        <f t="shared" si="1"/>
        <v>20.31126943240757</v>
      </c>
      <c r="E42" s="41">
        <f t="shared" si="2"/>
        <v>30.93626943240757</v>
      </c>
      <c r="F42" s="41"/>
      <c r="G42" s="41"/>
      <c r="H42" s="41"/>
      <c r="I42" s="41"/>
    </row>
    <row r="43" spans="1:9">
      <c r="A43" s="110">
        <v>35709</v>
      </c>
      <c r="B43" s="111">
        <v>32.593800000000002</v>
      </c>
      <c r="C43" s="45">
        <f t="shared" si="0"/>
        <v>10.864599999999999</v>
      </c>
      <c r="D43" s="45">
        <f t="shared" si="1"/>
        <v>20.624179621605048</v>
      </c>
      <c r="E43" s="45">
        <f t="shared" si="2"/>
        <v>31.488779621605048</v>
      </c>
      <c r="F43" s="45"/>
      <c r="G43" s="45"/>
      <c r="H43" s="45"/>
      <c r="I43" s="45"/>
    </row>
    <row r="44" spans="1:9">
      <c r="A44" s="110">
        <v>35710</v>
      </c>
      <c r="B44" s="111">
        <v>33.5</v>
      </c>
      <c r="C44" s="45">
        <f t="shared" si="0"/>
        <v>11.166666666666666</v>
      </c>
      <c r="D44" s="45">
        <f t="shared" si="1"/>
        <v>20.992519747736701</v>
      </c>
      <c r="E44" s="45">
        <f t="shared" si="2"/>
        <v>32.159186414403365</v>
      </c>
      <c r="F44" s="45"/>
      <c r="G44" s="45"/>
      <c r="H44" s="45"/>
      <c r="I44" s="45"/>
    </row>
    <row r="45" spans="1:9">
      <c r="A45" s="109">
        <v>35711</v>
      </c>
      <c r="B45" s="112">
        <v>33.75</v>
      </c>
      <c r="C45" s="41">
        <f t="shared" si="0"/>
        <v>11.25</v>
      </c>
      <c r="D45" s="41">
        <f t="shared" si="1"/>
        <v>21.439457609602247</v>
      </c>
      <c r="E45" s="41">
        <f t="shared" si="2"/>
        <v>32.689457609602243</v>
      </c>
      <c r="F45" s="41"/>
      <c r="G45" s="41"/>
      <c r="H45" s="41"/>
      <c r="I45" s="41"/>
    </row>
    <row r="46" spans="1:9">
      <c r="A46" s="109">
        <v>35712</v>
      </c>
      <c r="B46" s="112">
        <v>33.218800000000002</v>
      </c>
      <c r="C46" s="41">
        <f t="shared" si="0"/>
        <v>11.072933333333333</v>
      </c>
      <c r="D46" s="41">
        <f t="shared" si="1"/>
        <v>21.792971739734831</v>
      </c>
      <c r="E46" s="41">
        <f t="shared" si="2"/>
        <v>32.865905073068163</v>
      </c>
      <c r="F46" s="41"/>
      <c r="G46" s="41"/>
      <c r="H46" s="41"/>
      <c r="I46" s="41"/>
    </row>
    <row r="47" spans="1:9">
      <c r="A47" s="110">
        <v>35713</v>
      </c>
      <c r="B47" s="111">
        <v>32.9375</v>
      </c>
      <c r="C47" s="45">
        <f t="shared" si="0"/>
        <v>10.979166666666666</v>
      </c>
      <c r="D47" s="45">
        <f t="shared" si="1"/>
        <v>21.910603382045444</v>
      </c>
      <c r="E47" s="45">
        <f t="shared" si="2"/>
        <v>32.889770048712109</v>
      </c>
      <c r="F47" s="45"/>
      <c r="G47" s="45"/>
      <c r="H47" s="45"/>
      <c r="I47" s="45"/>
    </row>
    <row r="48" spans="1:9">
      <c r="A48" s="110">
        <v>35716</v>
      </c>
      <c r="B48" s="111">
        <v>33.4375</v>
      </c>
      <c r="C48" s="45">
        <f t="shared" si="0"/>
        <v>11.145833333333332</v>
      </c>
      <c r="D48" s="45">
        <f t="shared" si="1"/>
        <v>21.926513365808074</v>
      </c>
      <c r="E48" s="45">
        <f t="shared" si="2"/>
        <v>33.072346699141406</v>
      </c>
      <c r="F48" s="45"/>
      <c r="G48" s="45"/>
      <c r="H48" s="45"/>
      <c r="I48" s="45"/>
    </row>
    <row r="49" spans="1:9">
      <c r="A49" s="109">
        <v>35717</v>
      </c>
      <c r="B49" s="112">
        <v>33.906300000000002</v>
      </c>
      <c r="C49" s="41">
        <f t="shared" si="0"/>
        <v>11.302099999999999</v>
      </c>
      <c r="D49" s="41">
        <f t="shared" si="1"/>
        <v>22.048231132760939</v>
      </c>
      <c r="E49" s="41">
        <f t="shared" si="2"/>
        <v>33.350331132760942</v>
      </c>
      <c r="F49" s="41"/>
      <c r="G49" s="41"/>
      <c r="H49" s="41"/>
      <c r="I49" s="41"/>
    </row>
    <row r="50" spans="1:9">
      <c r="A50" s="109">
        <v>35718</v>
      </c>
      <c r="B50" s="112">
        <v>33.968800000000002</v>
      </c>
      <c r="C50" s="41">
        <f t="shared" si="0"/>
        <v>11.322933333333333</v>
      </c>
      <c r="D50" s="41">
        <f t="shared" si="1"/>
        <v>22.233554088507297</v>
      </c>
      <c r="E50" s="41">
        <f t="shared" si="2"/>
        <v>33.556487421840629</v>
      </c>
      <c r="F50" s="41"/>
      <c r="G50" s="41"/>
      <c r="H50" s="41"/>
      <c r="I50" s="41"/>
    </row>
    <row r="51" spans="1:9">
      <c r="A51" s="110">
        <v>35719</v>
      </c>
      <c r="B51" s="111">
        <v>33.3125</v>
      </c>
      <c r="C51" s="45">
        <f t="shared" si="0"/>
        <v>11.104166666666666</v>
      </c>
      <c r="D51" s="45">
        <f t="shared" si="1"/>
        <v>22.37099161456042</v>
      </c>
      <c r="E51" s="45">
        <f t="shared" si="2"/>
        <v>33.475158281227088</v>
      </c>
      <c r="F51" s="45"/>
      <c r="G51" s="45"/>
      <c r="H51" s="45"/>
      <c r="I51" s="45"/>
    </row>
    <row r="52" spans="1:9">
      <c r="A52" s="110">
        <v>35720</v>
      </c>
      <c r="B52" s="111">
        <v>31.6875</v>
      </c>
      <c r="C52" s="45">
        <f t="shared" si="0"/>
        <v>10.5625</v>
      </c>
      <c r="D52" s="45">
        <f t="shared" si="1"/>
        <v>22.316772187484727</v>
      </c>
      <c r="E52" s="45">
        <f t="shared" si="2"/>
        <v>32.87927218748473</v>
      </c>
      <c r="F52" s="45"/>
      <c r="G52" s="45"/>
      <c r="H52" s="45"/>
      <c r="I52" s="45"/>
    </row>
    <row r="53" spans="1:9">
      <c r="A53" s="109">
        <v>35723</v>
      </c>
      <c r="B53" s="112">
        <v>31.75</v>
      </c>
      <c r="C53" s="41">
        <f t="shared" si="0"/>
        <v>10.583333333333332</v>
      </c>
      <c r="D53" s="41">
        <f t="shared" si="1"/>
        <v>21.919514791656489</v>
      </c>
      <c r="E53" s="41">
        <f t="shared" si="2"/>
        <v>32.502848124989825</v>
      </c>
      <c r="F53" s="41"/>
      <c r="G53" s="41"/>
      <c r="H53" s="41"/>
      <c r="I53" s="41"/>
    </row>
    <row r="54" spans="1:9">
      <c r="A54" s="109">
        <v>35724</v>
      </c>
      <c r="B54" s="112">
        <v>33.25</v>
      </c>
      <c r="C54" s="41">
        <f t="shared" si="0"/>
        <v>11.083333333333332</v>
      </c>
      <c r="D54" s="41">
        <f t="shared" si="1"/>
        <v>21.668565416659884</v>
      </c>
      <c r="E54" s="41">
        <f t="shared" si="2"/>
        <v>32.751898749993217</v>
      </c>
      <c r="F54" s="41"/>
      <c r="G54" s="41"/>
      <c r="H54" s="41"/>
      <c r="I54" s="41"/>
    </row>
    <row r="55" spans="1:9">
      <c r="A55" s="110">
        <v>35725</v>
      </c>
      <c r="B55" s="111">
        <v>32.906300000000002</v>
      </c>
      <c r="C55" s="45">
        <f t="shared" si="0"/>
        <v>10.968766666666667</v>
      </c>
      <c r="D55" s="45">
        <f t="shared" si="1"/>
        <v>21.834599166662148</v>
      </c>
      <c r="E55" s="45">
        <f t="shared" si="2"/>
        <v>32.803365833328812</v>
      </c>
      <c r="F55" s="45"/>
      <c r="G55" s="45"/>
      <c r="H55" s="45"/>
      <c r="I55" s="45"/>
    </row>
    <row r="56" spans="1:9">
      <c r="A56" s="110">
        <v>35726</v>
      </c>
      <c r="B56" s="111">
        <v>31.6875</v>
      </c>
      <c r="C56" s="45">
        <f t="shared" si="0"/>
        <v>10.5625</v>
      </c>
      <c r="D56" s="45">
        <f t="shared" si="1"/>
        <v>21.868910555552542</v>
      </c>
      <c r="E56" s="45">
        <f t="shared" si="2"/>
        <v>32.431410555552546</v>
      </c>
      <c r="F56" s="45"/>
      <c r="G56" s="45"/>
      <c r="H56" s="45"/>
      <c r="I56" s="45"/>
    </row>
    <row r="57" spans="1:9">
      <c r="A57" s="109">
        <v>35727</v>
      </c>
      <c r="B57" s="112">
        <v>31.406300000000002</v>
      </c>
      <c r="C57" s="41">
        <f t="shared" si="0"/>
        <v>10.468766666666667</v>
      </c>
      <c r="D57" s="41">
        <f t="shared" si="1"/>
        <v>21.620940370368366</v>
      </c>
      <c r="E57" s="41">
        <f t="shared" si="2"/>
        <v>32.089707037035033</v>
      </c>
      <c r="F57" s="41"/>
      <c r="G57" s="41"/>
      <c r="H57" s="41"/>
      <c r="I57" s="41"/>
    </row>
    <row r="58" spans="1:9">
      <c r="A58" s="109">
        <v>35730</v>
      </c>
      <c r="B58" s="112">
        <v>27.968800000000002</v>
      </c>
      <c r="C58" s="41">
        <f t="shared" si="0"/>
        <v>9.3229333333333333</v>
      </c>
      <c r="D58" s="41">
        <f t="shared" si="1"/>
        <v>21.393138024690025</v>
      </c>
      <c r="E58" s="41">
        <f t="shared" si="2"/>
        <v>30.716071358023356</v>
      </c>
      <c r="F58" s="41"/>
      <c r="G58" s="41"/>
      <c r="H58" s="41"/>
      <c r="I58" s="41"/>
    </row>
    <row r="59" spans="1:9">
      <c r="A59" s="110">
        <v>35731</v>
      </c>
      <c r="B59" s="111">
        <v>29.531300000000002</v>
      </c>
      <c r="C59" s="45">
        <f t="shared" si="0"/>
        <v>9.8437666666666672</v>
      </c>
      <c r="D59" s="45">
        <f t="shared" si="1"/>
        <v>20.477380905348905</v>
      </c>
      <c r="E59" s="45">
        <f t="shared" si="2"/>
        <v>30.321147572015573</v>
      </c>
      <c r="F59" s="45"/>
      <c r="G59" s="45"/>
      <c r="H59" s="45"/>
      <c r="I59" s="45"/>
    </row>
    <row r="60" spans="1:9">
      <c r="A60" s="110">
        <v>35732</v>
      </c>
      <c r="B60" s="111">
        <v>30.5</v>
      </c>
      <c r="C60" s="45">
        <f t="shared" si="0"/>
        <v>10.166666666666666</v>
      </c>
      <c r="D60" s="45">
        <f t="shared" si="1"/>
        <v>20.214098381343717</v>
      </c>
      <c r="E60" s="45">
        <f t="shared" si="2"/>
        <v>30.380765048010382</v>
      </c>
      <c r="F60" s="45"/>
      <c r="G60" s="45"/>
      <c r="H60" s="45"/>
      <c r="I60" s="45"/>
    </row>
    <row r="61" spans="1:9">
      <c r="A61" s="109">
        <v>35733</v>
      </c>
      <c r="B61" s="112">
        <v>31.5</v>
      </c>
      <c r="C61" s="41">
        <f t="shared" si="0"/>
        <v>10.5</v>
      </c>
      <c r="D61" s="41">
        <f t="shared" si="1"/>
        <v>20.253843365340256</v>
      </c>
      <c r="E61" s="41">
        <f t="shared" si="2"/>
        <v>30.753843365340256</v>
      </c>
      <c r="F61" s="41"/>
      <c r="G61" s="41"/>
      <c r="H61" s="41"/>
      <c r="I61" s="41"/>
    </row>
    <row r="62" spans="1:9">
      <c r="A62" s="109">
        <v>35734</v>
      </c>
      <c r="B62" s="112">
        <v>31.6875</v>
      </c>
      <c r="C62" s="41">
        <f t="shared" si="0"/>
        <v>10.5625</v>
      </c>
      <c r="D62" s="41">
        <f t="shared" si="1"/>
        <v>20.502562243560174</v>
      </c>
      <c r="E62" s="41">
        <f t="shared" si="2"/>
        <v>31.065062243560174</v>
      </c>
      <c r="F62" s="41"/>
      <c r="G62" s="41"/>
      <c r="H62" s="41"/>
      <c r="I62" s="41"/>
    </row>
    <row r="63" spans="1:9">
      <c r="A63" s="110">
        <v>35737</v>
      </c>
      <c r="B63" s="111">
        <v>32.375</v>
      </c>
      <c r="C63" s="45">
        <f t="shared" si="0"/>
        <v>10.791666666666666</v>
      </c>
      <c r="D63" s="45">
        <f t="shared" si="1"/>
        <v>20.710041495706786</v>
      </c>
      <c r="E63" s="45">
        <f t="shared" si="2"/>
        <v>31.501708162373454</v>
      </c>
      <c r="F63" s="45"/>
      <c r="G63" s="45"/>
      <c r="H63" s="45"/>
      <c r="I63" s="45"/>
    </row>
    <row r="64" spans="1:9">
      <c r="A64" s="110">
        <v>35738</v>
      </c>
      <c r="B64" s="111">
        <v>33.093800000000002</v>
      </c>
      <c r="C64" s="45">
        <f t="shared" si="0"/>
        <v>11.031266666666667</v>
      </c>
      <c r="D64" s="45">
        <f t="shared" si="1"/>
        <v>21.001138774915638</v>
      </c>
      <c r="E64" s="45">
        <f t="shared" si="2"/>
        <v>32.032405441582306</v>
      </c>
      <c r="F64" s="45"/>
      <c r="G64" s="45"/>
      <c r="H64" s="45"/>
      <c r="I64" s="45"/>
    </row>
    <row r="65" spans="1:9">
      <c r="A65" s="109">
        <v>35739</v>
      </c>
      <c r="B65" s="112">
        <v>34.093800000000002</v>
      </c>
      <c r="C65" s="41">
        <f t="shared" si="0"/>
        <v>11.364599999999999</v>
      </c>
      <c r="D65" s="41">
        <f t="shared" si="1"/>
        <v>21.354936961054872</v>
      </c>
      <c r="E65" s="41">
        <f t="shared" si="2"/>
        <v>32.719536961054871</v>
      </c>
      <c r="F65" s="41"/>
      <c r="G65" s="41"/>
      <c r="H65" s="41"/>
      <c r="I65" s="41"/>
    </row>
    <row r="66" spans="1:9">
      <c r="A66" s="109">
        <v>35740</v>
      </c>
      <c r="B66" s="112">
        <v>33.468800000000002</v>
      </c>
      <c r="C66" s="41">
        <f t="shared" si="0"/>
        <v>11.156266666666667</v>
      </c>
      <c r="D66" s="41">
        <f t="shared" si="1"/>
        <v>21.813024640703251</v>
      </c>
      <c r="E66" s="41">
        <f t="shared" si="2"/>
        <v>32.969291307369915</v>
      </c>
      <c r="F66" s="41"/>
      <c r="G66" s="41"/>
      <c r="H66" s="41"/>
      <c r="I66" s="41"/>
    </row>
    <row r="67" spans="1:9">
      <c r="A67" s="110">
        <v>35741</v>
      </c>
      <c r="B67" s="111">
        <v>32.968800000000002</v>
      </c>
      <c r="C67" s="45">
        <f t="shared" si="0"/>
        <v>10.989599999999999</v>
      </c>
      <c r="D67" s="45">
        <f t="shared" si="1"/>
        <v>21.979527538246611</v>
      </c>
      <c r="E67" s="45">
        <f t="shared" si="2"/>
        <v>32.96912753824661</v>
      </c>
      <c r="F67" s="45"/>
      <c r="G67" s="45"/>
      <c r="H67" s="45"/>
      <c r="I67" s="45"/>
    </row>
    <row r="68" spans="1:9">
      <c r="A68" s="110">
        <v>35744</v>
      </c>
      <c r="B68" s="111">
        <v>32.6875</v>
      </c>
      <c r="C68" s="45">
        <f t="shared" si="0"/>
        <v>10.895833333333332</v>
      </c>
      <c r="D68" s="45">
        <f t="shared" si="1"/>
        <v>21.979418358831076</v>
      </c>
      <c r="E68" s="45">
        <f t="shared" si="2"/>
        <v>32.875251692164412</v>
      </c>
      <c r="F68" s="45"/>
      <c r="G68" s="45"/>
      <c r="H68" s="45"/>
      <c r="I68" s="45"/>
    </row>
    <row r="69" spans="1:9">
      <c r="A69" s="327"/>
      <c r="B69" s="328"/>
      <c r="C69" s="329"/>
      <c r="D69" s="197"/>
      <c r="E69" s="197"/>
      <c r="F69" s="197"/>
      <c r="G69" s="197"/>
      <c r="H69" s="197"/>
      <c r="I69" s="197"/>
    </row>
    <row r="70" spans="1:9" ht="15">
      <c r="A70" s="241" t="s">
        <v>184</v>
      </c>
      <c r="B70" s="2"/>
    </row>
    <row r="71" spans="1:9" ht="45.75" customHeight="1">
      <c r="A71" s="447" t="s">
        <v>186</v>
      </c>
      <c r="B71" s="447"/>
      <c r="C71" s="447"/>
      <c r="D71" s="447"/>
      <c r="E71" s="447"/>
      <c r="F71" s="447"/>
      <c r="G71" s="447"/>
    </row>
    <row r="72" spans="1:9" ht="66" customHeight="1">
      <c r="A72" s="447" t="s">
        <v>185</v>
      </c>
      <c r="B72" s="447"/>
      <c r="C72" s="447"/>
      <c r="D72" s="447"/>
      <c r="E72" s="447"/>
      <c r="F72" s="447"/>
      <c r="G72" s="447"/>
    </row>
    <row r="73" spans="1:9" ht="48.75" customHeight="1">
      <c r="A73" s="447" t="s">
        <v>173</v>
      </c>
      <c r="B73" s="447"/>
      <c r="C73" s="447"/>
      <c r="D73" s="447"/>
      <c r="E73" s="447"/>
      <c r="F73" s="447"/>
      <c r="G73" s="447"/>
    </row>
    <row r="74" spans="1:9" ht="48.75" customHeight="1">
      <c r="B74" s="2"/>
    </row>
    <row r="75" spans="1:9">
      <c r="B75" s="2"/>
    </row>
    <row r="76" spans="1:9">
      <c r="B76" s="2"/>
    </row>
    <row r="77" spans="1:9">
      <c r="B77" s="2"/>
    </row>
    <row r="78" spans="1:9">
      <c r="B78" s="2"/>
    </row>
    <row r="79" spans="1:9">
      <c r="B79" s="2"/>
    </row>
    <row r="80" spans="1:9">
      <c r="B80" s="2"/>
    </row>
    <row r="81" spans="2:2">
      <c r="B81" s="2"/>
    </row>
    <row r="82" spans="2:2">
      <c r="B82" s="2"/>
    </row>
    <row r="83" spans="2:2">
      <c r="B83" s="2"/>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2"/>
    </row>
    <row r="217" spans="2:2">
      <c r="B217" s="2"/>
    </row>
    <row r="218" spans="2:2">
      <c r="B218" s="2"/>
    </row>
    <row r="219" spans="2:2">
      <c r="B219" s="2"/>
    </row>
    <row r="220" spans="2:2">
      <c r="B220" s="2"/>
    </row>
    <row r="221" spans="2:2">
      <c r="B221" s="2"/>
    </row>
    <row r="222" spans="2:2">
      <c r="B222" s="2"/>
    </row>
    <row r="223" spans="2:2">
      <c r="B223" s="2"/>
    </row>
    <row r="224" spans="2:2">
      <c r="B224" s="2"/>
    </row>
    <row r="225" spans="2:2">
      <c r="B225" s="2"/>
    </row>
    <row r="226" spans="2:2">
      <c r="B226" s="2"/>
    </row>
    <row r="227" spans="2:2">
      <c r="B227" s="2"/>
    </row>
    <row r="228" spans="2:2">
      <c r="B228" s="2"/>
    </row>
    <row r="229" spans="2:2">
      <c r="B229" s="2"/>
    </row>
    <row r="230" spans="2:2">
      <c r="B230" s="2"/>
    </row>
    <row r="231" spans="2:2">
      <c r="B231" s="2"/>
    </row>
    <row r="232" spans="2:2">
      <c r="B232" s="2"/>
    </row>
    <row r="233" spans="2:2">
      <c r="B233" s="2"/>
    </row>
    <row r="234" spans="2:2">
      <c r="B234" s="2"/>
    </row>
    <row r="235" spans="2:2">
      <c r="B235" s="2"/>
    </row>
    <row r="236" spans="2:2">
      <c r="B236" s="2"/>
    </row>
    <row r="237" spans="2:2">
      <c r="B237" s="2"/>
    </row>
    <row r="238" spans="2:2">
      <c r="B238" s="2"/>
    </row>
    <row r="239" spans="2:2">
      <c r="B239" s="2"/>
    </row>
    <row r="240" spans="2:2">
      <c r="B240" s="2"/>
    </row>
    <row r="241" spans="2:2">
      <c r="B241" s="2"/>
    </row>
    <row r="242" spans="2:2">
      <c r="B242" s="2"/>
    </row>
    <row r="243" spans="2:2">
      <c r="B243" s="2"/>
    </row>
    <row r="244" spans="2:2">
      <c r="B244" s="2"/>
    </row>
    <row r="245" spans="2:2">
      <c r="B245" s="2"/>
    </row>
    <row r="246" spans="2:2">
      <c r="B246" s="2"/>
    </row>
    <row r="247" spans="2:2">
      <c r="B247" s="2"/>
    </row>
    <row r="248" spans="2:2">
      <c r="B248" s="2"/>
    </row>
    <row r="249" spans="2:2">
      <c r="B249" s="2"/>
    </row>
    <row r="250" spans="2:2">
      <c r="B250" s="2"/>
    </row>
    <row r="251" spans="2:2">
      <c r="B251" s="2"/>
    </row>
    <row r="252" spans="2:2">
      <c r="B252" s="2"/>
    </row>
    <row r="253" spans="2:2">
      <c r="B253" s="2"/>
    </row>
    <row r="254" spans="2:2">
      <c r="B254" s="2"/>
    </row>
    <row r="255" spans="2:2">
      <c r="B255" s="2"/>
    </row>
    <row r="256" spans="2:2">
      <c r="B256" s="2"/>
    </row>
    <row r="257" spans="2:2">
      <c r="B257" s="2"/>
    </row>
    <row r="258" spans="2:2">
      <c r="B258" s="2"/>
    </row>
    <row r="259" spans="2:2">
      <c r="B259" s="2"/>
    </row>
    <row r="260" spans="2:2">
      <c r="B260" s="2"/>
    </row>
    <row r="261" spans="2:2">
      <c r="B261" s="2"/>
    </row>
    <row r="262" spans="2:2">
      <c r="B262" s="2"/>
    </row>
    <row r="263" spans="2:2">
      <c r="B263" s="2"/>
    </row>
    <row r="264" spans="2:2">
      <c r="B264" s="2"/>
    </row>
    <row r="265" spans="2:2">
      <c r="B265" s="2"/>
    </row>
    <row r="266" spans="2:2">
      <c r="B266" s="2"/>
    </row>
    <row r="267" spans="2:2">
      <c r="B267" s="2"/>
    </row>
    <row r="268" spans="2:2">
      <c r="B268" s="2"/>
    </row>
    <row r="269" spans="2:2">
      <c r="B269" s="2"/>
    </row>
    <row r="270" spans="2:2">
      <c r="B270" s="2"/>
    </row>
    <row r="271" spans="2:2">
      <c r="B271" s="2"/>
    </row>
    <row r="272" spans="2:2">
      <c r="B272" s="2"/>
    </row>
    <row r="273" spans="2:2">
      <c r="B273" s="2"/>
    </row>
    <row r="274" spans="2:2">
      <c r="B274" s="2"/>
    </row>
    <row r="275" spans="2:2">
      <c r="B275" s="2"/>
    </row>
    <row r="276" spans="2:2">
      <c r="B276" s="2"/>
    </row>
    <row r="277" spans="2:2">
      <c r="B277" s="2"/>
    </row>
    <row r="278" spans="2:2">
      <c r="B278" s="2"/>
    </row>
    <row r="279" spans="2:2">
      <c r="B279" s="2"/>
    </row>
    <row r="280" spans="2:2">
      <c r="B280" s="2"/>
    </row>
    <row r="281" spans="2:2">
      <c r="B281" s="2"/>
    </row>
    <row r="282" spans="2:2">
      <c r="B282" s="2"/>
    </row>
    <row r="283" spans="2:2">
      <c r="B283" s="2"/>
    </row>
    <row r="284" spans="2:2">
      <c r="B284" s="2"/>
    </row>
    <row r="285" spans="2:2">
      <c r="B285" s="2"/>
    </row>
    <row r="286" spans="2:2">
      <c r="B286" s="2"/>
    </row>
    <row r="287" spans="2:2">
      <c r="B287" s="2"/>
    </row>
    <row r="288" spans="2:2">
      <c r="B288" s="2"/>
    </row>
    <row r="289" spans="2:2">
      <c r="B289" s="2"/>
    </row>
    <row r="290" spans="2:2">
      <c r="B290" s="2"/>
    </row>
    <row r="291" spans="2:2">
      <c r="B291" s="2"/>
    </row>
    <row r="292" spans="2:2">
      <c r="B292" s="2"/>
    </row>
    <row r="293" spans="2:2">
      <c r="B293" s="2"/>
    </row>
    <row r="294" spans="2:2">
      <c r="B294" s="2"/>
    </row>
    <row r="295" spans="2:2">
      <c r="B295" s="2"/>
    </row>
    <row r="296" spans="2:2">
      <c r="B296" s="2"/>
    </row>
    <row r="297" spans="2:2">
      <c r="B297" s="2"/>
    </row>
    <row r="298" spans="2:2">
      <c r="B298" s="2"/>
    </row>
    <row r="299" spans="2:2">
      <c r="B299" s="2"/>
    </row>
    <row r="300" spans="2:2">
      <c r="B300" s="2"/>
    </row>
    <row r="301" spans="2:2">
      <c r="B301" s="2"/>
    </row>
    <row r="302" spans="2:2">
      <c r="B302" s="2"/>
    </row>
    <row r="303" spans="2:2">
      <c r="B303" s="2"/>
    </row>
    <row r="304" spans="2:2">
      <c r="B304" s="2"/>
    </row>
    <row r="305" spans="2:2">
      <c r="B305" s="2"/>
    </row>
    <row r="306" spans="2:2">
      <c r="B306" s="2"/>
    </row>
    <row r="307" spans="2:2">
      <c r="B307" s="2"/>
    </row>
    <row r="308" spans="2:2">
      <c r="B308" s="2"/>
    </row>
    <row r="309" spans="2:2">
      <c r="B309" s="2"/>
    </row>
    <row r="310" spans="2:2">
      <c r="B310" s="2"/>
    </row>
    <row r="311" spans="2:2">
      <c r="B311" s="2"/>
    </row>
    <row r="312" spans="2:2">
      <c r="B312" s="2"/>
    </row>
    <row r="313" spans="2:2">
      <c r="B313" s="2"/>
    </row>
    <row r="314" spans="2:2">
      <c r="B314" s="2"/>
    </row>
    <row r="315" spans="2:2">
      <c r="B315" s="2"/>
    </row>
    <row r="316" spans="2:2">
      <c r="B316" s="2"/>
    </row>
    <row r="317" spans="2:2">
      <c r="B317" s="2"/>
    </row>
    <row r="318" spans="2:2">
      <c r="B318" s="2"/>
    </row>
    <row r="319" spans="2:2">
      <c r="B319" s="2"/>
    </row>
    <row r="320" spans="2:2">
      <c r="B320" s="2"/>
    </row>
    <row r="321" spans="2:2">
      <c r="B321" s="2"/>
    </row>
    <row r="322" spans="2:2">
      <c r="B322" s="2"/>
    </row>
    <row r="323" spans="2:2">
      <c r="B323" s="2"/>
    </row>
    <row r="324" spans="2:2">
      <c r="B324" s="2"/>
    </row>
    <row r="325" spans="2:2">
      <c r="B325" s="2"/>
    </row>
    <row r="326" spans="2:2">
      <c r="B326" s="2"/>
    </row>
    <row r="327" spans="2:2">
      <c r="B327" s="2"/>
    </row>
    <row r="328" spans="2:2">
      <c r="B328" s="2"/>
    </row>
    <row r="329" spans="2:2">
      <c r="B329" s="2"/>
    </row>
    <row r="330" spans="2:2">
      <c r="B330" s="2"/>
    </row>
    <row r="331" spans="2:2">
      <c r="B331" s="2"/>
    </row>
    <row r="332" spans="2:2">
      <c r="B332" s="2"/>
    </row>
    <row r="333" spans="2:2">
      <c r="B333" s="2"/>
    </row>
    <row r="334" spans="2:2">
      <c r="B334" s="2"/>
    </row>
    <row r="335" spans="2:2">
      <c r="B335" s="2"/>
    </row>
    <row r="336" spans="2:2">
      <c r="B336" s="2"/>
    </row>
    <row r="337" spans="2:2">
      <c r="B337" s="2"/>
    </row>
    <row r="338" spans="2:2">
      <c r="B338" s="2"/>
    </row>
    <row r="339" spans="2:2">
      <c r="B339" s="2"/>
    </row>
    <row r="340" spans="2:2">
      <c r="B340" s="2"/>
    </row>
    <row r="341" spans="2:2">
      <c r="B341" s="2"/>
    </row>
    <row r="342" spans="2:2">
      <c r="B342" s="2"/>
    </row>
    <row r="343" spans="2:2">
      <c r="B343" s="2"/>
    </row>
    <row r="344" spans="2:2">
      <c r="B344" s="2"/>
    </row>
    <row r="345" spans="2:2">
      <c r="B345" s="2"/>
    </row>
    <row r="346" spans="2:2">
      <c r="B346" s="2"/>
    </row>
    <row r="347" spans="2:2">
      <c r="B347" s="2"/>
    </row>
    <row r="348" spans="2:2">
      <c r="B348" s="2"/>
    </row>
    <row r="349" spans="2:2">
      <c r="B349" s="2"/>
    </row>
    <row r="350" spans="2:2">
      <c r="B350" s="2"/>
    </row>
    <row r="351" spans="2:2">
      <c r="B351" s="2"/>
    </row>
    <row r="352" spans="2:2">
      <c r="B352" s="2"/>
    </row>
    <row r="353" spans="2:2">
      <c r="B353" s="2"/>
    </row>
    <row r="354" spans="2:2">
      <c r="B354" s="2"/>
    </row>
    <row r="355" spans="2:2">
      <c r="B355" s="2"/>
    </row>
    <row r="356" spans="2:2">
      <c r="B356" s="2"/>
    </row>
    <row r="357" spans="2:2">
      <c r="B357" s="2"/>
    </row>
    <row r="358" spans="2:2">
      <c r="B358" s="2"/>
    </row>
    <row r="359" spans="2:2">
      <c r="B359" s="2"/>
    </row>
    <row r="360" spans="2:2">
      <c r="B360" s="2"/>
    </row>
    <row r="361" spans="2:2">
      <c r="B361" s="2"/>
    </row>
    <row r="362" spans="2:2">
      <c r="B362" s="2"/>
    </row>
    <row r="363" spans="2:2">
      <c r="B363" s="2"/>
    </row>
    <row r="364" spans="2:2">
      <c r="B364" s="2"/>
    </row>
    <row r="365" spans="2:2">
      <c r="B365" s="2"/>
    </row>
    <row r="366" spans="2:2">
      <c r="B366" s="2"/>
    </row>
    <row r="367" spans="2:2">
      <c r="B367" s="2"/>
    </row>
    <row r="368" spans="2:2">
      <c r="B368" s="2"/>
    </row>
    <row r="369" spans="2:2">
      <c r="B369" s="2"/>
    </row>
    <row r="370" spans="2:2">
      <c r="B370" s="2"/>
    </row>
    <row r="371" spans="2:2">
      <c r="B371" s="2"/>
    </row>
    <row r="372" spans="2:2">
      <c r="B372" s="2"/>
    </row>
    <row r="373" spans="2:2">
      <c r="B373" s="2"/>
    </row>
    <row r="374" spans="2:2">
      <c r="B374" s="2"/>
    </row>
    <row r="375" spans="2:2">
      <c r="B375" s="2"/>
    </row>
    <row r="376" spans="2:2">
      <c r="B376" s="2"/>
    </row>
    <row r="377" spans="2:2">
      <c r="B377" s="2"/>
    </row>
    <row r="378" spans="2:2">
      <c r="B378" s="2"/>
    </row>
    <row r="379" spans="2:2">
      <c r="B379" s="2"/>
    </row>
    <row r="380" spans="2:2">
      <c r="B380" s="2"/>
    </row>
    <row r="381" spans="2:2">
      <c r="B381" s="2"/>
    </row>
    <row r="382" spans="2:2">
      <c r="B382" s="2"/>
    </row>
    <row r="383" spans="2:2">
      <c r="B383" s="2"/>
    </row>
    <row r="384" spans="2:2">
      <c r="B384" s="2"/>
    </row>
    <row r="385" spans="2:2">
      <c r="B385" s="2"/>
    </row>
    <row r="386" spans="2:2">
      <c r="B386" s="2"/>
    </row>
    <row r="387" spans="2:2">
      <c r="B387" s="2"/>
    </row>
    <row r="388" spans="2:2">
      <c r="B388" s="2"/>
    </row>
    <row r="389" spans="2:2">
      <c r="B389" s="2"/>
    </row>
    <row r="390" spans="2:2">
      <c r="B390" s="2"/>
    </row>
    <row r="391" spans="2:2">
      <c r="B391" s="2"/>
    </row>
    <row r="392" spans="2:2">
      <c r="B392" s="2"/>
    </row>
    <row r="393" spans="2:2">
      <c r="B393" s="2"/>
    </row>
    <row r="394" spans="2:2">
      <c r="B394" s="2"/>
    </row>
    <row r="395" spans="2:2">
      <c r="B395" s="2"/>
    </row>
    <row r="396" spans="2:2">
      <c r="B396" s="2"/>
    </row>
    <row r="397" spans="2:2">
      <c r="B397" s="2"/>
    </row>
    <row r="398" spans="2:2">
      <c r="B398" s="2"/>
    </row>
    <row r="399" spans="2:2">
      <c r="B399" s="2"/>
    </row>
    <row r="400" spans="2:2">
      <c r="B400" s="2"/>
    </row>
    <row r="401" spans="2:2">
      <c r="B401" s="2"/>
    </row>
    <row r="402" spans="2:2">
      <c r="B402" s="2"/>
    </row>
    <row r="403" spans="2:2">
      <c r="B403" s="2"/>
    </row>
    <row r="404" spans="2:2">
      <c r="B404" s="2"/>
    </row>
    <row r="405" spans="2:2">
      <c r="B405" s="2"/>
    </row>
    <row r="406" spans="2:2">
      <c r="B406" s="2"/>
    </row>
    <row r="407" spans="2:2">
      <c r="B407" s="2"/>
    </row>
    <row r="408" spans="2:2">
      <c r="B408" s="2"/>
    </row>
    <row r="409" spans="2:2">
      <c r="B409" s="2"/>
    </row>
    <row r="410" spans="2:2">
      <c r="B410" s="2"/>
    </row>
    <row r="411" spans="2:2">
      <c r="B411" s="2"/>
    </row>
    <row r="412" spans="2:2">
      <c r="B412" s="2"/>
    </row>
    <row r="413" spans="2:2">
      <c r="B413" s="2"/>
    </row>
    <row r="414" spans="2:2">
      <c r="B414" s="2"/>
    </row>
    <row r="415" spans="2:2">
      <c r="B415" s="2"/>
    </row>
    <row r="416" spans="2:2">
      <c r="B416" s="2"/>
    </row>
    <row r="417" spans="2:2">
      <c r="B417" s="2"/>
    </row>
    <row r="418" spans="2:2">
      <c r="B418" s="2"/>
    </row>
    <row r="419" spans="2:2">
      <c r="B419" s="2"/>
    </row>
    <row r="420" spans="2:2">
      <c r="B420" s="2"/>
    </row>
    <row r="421" spans="2:2">
      <c r="B421" s="2"/>
    </row>
    <row r="422" spans="2:2">
      <c r="B422" s="2"/>
    </row>
    <row r="423" spans="2:2">
      <c r="B423" s="2"/>
    </row>
    <row r="424" spans="2:2">
      <c r="B424" s="2"/>
    </row>
    <row r="425" spans="2:2">
      <c r="B425" s="2"/>
    </row>
    <row r="426" spans="2:2">
      <c r="B426" s="2"/>
    </row>
    <row r="427" spans="2:2">
      <c r="B427" s="2"/>
    </row>
    <row r="428" spans="2:2">
      <c r="B428" s="2"/>
    </row>
    <row r="429" spans="2:2">
      <c r="B429" s="2"/>
    </row>
    <row r="430" spans="2:2">
      <c r="B430" s="2"/>
    </row>
    <row r="431" spans="2:2">
      <c r="B431" s="2"/>
    </row>
    <row r="432" spans="2:2">
      <c r="B432" s="2"/>
    </row>
    <row r="433" spans="2:2">
      <c r="B433" s="2"/>
    </row>
    <row r="434" spans="2:2">
      <c r="B434" s="2"/>
    </row>
    <row r="435" spans="2:2">
      <c r="B435" s="2"/>
    </row>
    <row r="436" spans="2:2">
      <c r="B436" s="2"/>
    </row>
    <row r="437" spans="2:2">
      <c r="B437" s="2"/>
    </row>
    <row r="438" spans="2:2">
      <c r="B438" s="2"/>
    </row>
    <row r="439" spans="2:2">
      <c r="B439" s="2"/>
    </row>
    <row r="440" spans="2:2">
      <c r="B440" s="2"/>
    </row>
    <row r="441" spans="2:2">
      <c r="B441" s="2"/>
    </row>
    <row r="442" spans="2:2">
      <c r="B442" s="2"/>
    </row>
    <row r="443" spans="2:2">
      <c r="B443" s="2"/>
    </row>
    <row r="444" spans="2:2">
      <c r="B444" s="2"/>
    </row>
    <row r="445" spans="2:2">
      <c r="B445" s="2"/>
    </row>
    <row r="446" spans="2:2">
      <c r="B446" s="2"/>
    </row>
    <row r="447" spans="2:2">
      <c r="B447" s="2"/>
    </row>
    <row r="448" spans="2:2">
      <c r="B448" s="2"/>
    </row>
    <row r="449" spans="2:2">
      <c r="B449" s="2"/>
    </row>
    <row r="450" spans="2:2">
      <c r="B450" s="2"/>
    </row>
    <row r="451" spans="2:2">
      <c r="B451" s="2"/>
    </row>
    <row r="452" spans="2:2">
      <c r="B452" s="2"/>
    </row>
    <row r="453" spans="2:2">
      <c r="B453" s="2"/>
    </row>
    <row r="454" spans="2:2">
      <c r="B454" s="2"/>
    </row>
    <row r="455" spans="2:2">
      <c r="B455" s="2"/>
    </row>
    <row r="456" spans="2:2">
      <c r="B456" s="2"/>
    </row>
    <row r="457" spans="2:2">
      <c r="B457" s="2"/>
    </row>
    <row r="458" spans="2:2">
      <c r="B458" s="2"/>
    </row>
    <row r="459" spans="2:2">
      <c r="B459" s="2"/>
    </row>
    <row r="460" spans="2:2">
      <c r="B460" s="2"/>
    </row>
    <row r="461" spans="2:2">
      <c r="B461" s="2"/>
    </row>
    <row r="462" spans="2:2">
      <c r="B462" s="2"/>
    </row>
    <row r="463" spans="2:2">
      <c r="B463" s="2"/>
    </row>
    <row r="464" spans="2:2">
      <c r="B464" s="2"/>
    </row>
    <row r="465" spans="2:2">
      <c r="B465" s="2"/>
    </row>
    <row r="466" spans="2:2">
      <c r="B466" s="2"/>
    </row>
    <row r="467" spans="2:2">
      <c r="B467" s="2"/>
    </row>
    <row r="468" spans="2:2">
      <c r="B468" s="2"/>
    </row>
    <row r="469" spans="2:2">
      <c r="B469" s="2"/>
    </row>
    <row r="470" spans="2:2">
      <c r="B470" s="2"/>
    </row>
    <row r="471" spans="2:2">
      <c r="B471" s="2"/>
    </row>
    <row r="472" spans="2:2">
      <c r="B472" s="2"/>
    </row>
    <row r="473" spans="2:2">
      <c r="B473" s="2"/>
    </row>
    <row r="474" spans="2:2">
      <c r="B474" s="2"/>
    </row>
    <row r="475" spans="2:2">
      <c r="B475" s="2"/>
    </row>
    <row r="476" spans="2:2">
      <c r="B476" s="2"/>
    </row>
    <row r="477" spans="2:2">
      <c r="B477" s="2"/>
    </row>
    <row r="478" spans="2:2">
      <c r="B478" s="2"/>
    </row>
    <row r="479" spans="2:2">
      <c r="B479" s="2"/>
    </row>
    <row r="480" spans="2:2">
      <c r="B480" s="2"/>
    </row>
    <row r="481" spans="2:2">
      <c r="B481" s="2"/>
    </row>
    <row r="482" spans="2:2">
      <c r="B482" s="2"/>
    </row>
    <row r="483" spans="2:2">
      <c r="B483" s="2"/>
    </row>
    <row r="484" spans="2:2">
      <c r="B484" s="2"/>
    </row>
    <row r="485" spans="2:2">
      <c r="B485" s="2"/>
    </row>
    <row r="486" spans="2:2">
      <c r="B486" s="2"/>
    </row>
    <row r="487" spans="2:2">
      <c r="B487" s="2"/>
    </row>
    <row r="488" spans="2:2">
      <c r="B488" s="2"/>
    </row>
    <row r="489" spans="2:2">
      <c r="B489" s="2"/>
    </row>
    <row r="490" spans="2:2">
      <c r="B490" s="2"/>
    </row>
    <row r="491" spans="2:2">
      <c r="B491" s="2"/>
    </row>
    <row r="492" spans="2:2">
      <c r="B492" s="2"/>
    </row>
    <row r="493" spans="2:2">
      <c r="B493" s="2"/>
    </row>
    <row r="494" spans="2:2">
      <c r="B494" s="2"/>
    </row>
    <row r="495" spans="2:2">
      <c r="B495" s="2"/>
    </row>
    <row r="496" spans="2:2">
      <c r="B496" s="2"/>
    </row>
    <row r="497" spans="2:2">
      <c r="B497" s="2"/>
    </row>
  </sheetData>
  <mergeCells count="5">
    <mergeCell ref="A73:G73"/>
    <mergeCell ref="A71:G71"/>
    <mergeCell ref="A72:G72"/>
    <mergeCell ref="B5:I5"/>
    <mergeCell ref="B6:I6"/>
  </mergeCells>
  <phoneticPr fontId="0"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60420" r:id="rId3" name="Button 4">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60421"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60422"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60423"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dimension ref="A1:N497"/>
  <sheetViews>
    <sheetView workbookViewId="0"/>
  </sheetViews>
  <sheetFormatPr baseColWidth="10" defaultColWidth="8.83203125" defaultRowHeight="12" x14ac:dyDescent="0"/>
  <cols>
    <col min="2" max="2" width="13.33203125" customWidth="1"/>
    <col min="3" max="3" width="11.5" customWidth="1"/>
    <col min="4" max="9" width="10.5" customWidth="1"/>
  </cols>
  <sheetData>
    <row r="1" spans="1:14">
      <c r="A1" s="21"/>
      <c r="B1" s="21"/>
      <c r="C1" s="21" t="s">
        <v>846</v>
      </c>
      <c r="D1" s="21"/>
      <c r="E1" s="21"/>
      <c r="F1" s="21"/>
      <c r="G1" s="21"/>
      <c r="H1" s="21"/>
      <c r="I1" s="21"/>
    </row>
    <row r="2" spans="1:14" ht="21" customHeight="1">
      <c r="A2" s="21"/>
      <c r="B2" s="21"/>
      <c r="C2" s="21"/>
      <c r="D2" s="374"/>
      <c r="E2" s="374"/>
      <c r="F2" s="374"/>
      <c r="G2" s="374"/>
      <c r="H2" s="374"/>
      <c r="I2" s="374"/>
      <c r="J2" s="372"/>
      <c r="K2" s="372"/>
      <c r="L2" s="372"/>
      <c r="M2" s="372"/>
      <c r="N2" s="372"/>
    </row>
    <row r="3" spans="1:14">
      <c r="A3" s="19" t="s">
        <v>1045</v>
      </c>
      <c r="B3" s="20" t="s">
        <v>128</v>
      </c>
      <c r="C3" s="21"/>
      <c r="D3" s="21"/>
      <c r="E3" s="21"/>
      <c r="F3" s="21"/>
      <c r="G3" s="21"/>
      <c r="H3" s="21"/>
      <c r="I3" s="21"/>
    </row>
    <row r="4" spans="1:14">
      <c r="A4" s="19" t="s">
        <v>774</v>
      </c>
      <c r="B4" s="20" t="s">
        <v>129</v>
      </c>
      <c r="C4" s="21"/>
      <c r="D4" s="21"/>
      <c r="E4" s="21"/>
      <c r="F4" s="21"/>
      <c r="G4" s="21"/>
      <c r="H4" s="21"/>
      <c r="I4" s="21"/>
    </row>
    <row r="5" spans="1:14" ht="60" customHeight="1">
      <c r="A5" s="118" t="s">
        <v>779</v>
      </c>
      <c r="B5" s="446" t="s">
        <v>174</v>
      </c>
      <c r="C5" s="446"/>
      <c r="D5" s="446"/>
      <c r="E5" s="446"/>
      <c r="F5" s="446"/>
      <c r="G5" s="446"/>
      <c r="H5" s="446"/>
      <c r="I5" s="446"/>
    </row>
    <row r="6" spans="1:14" ht="14.25" customHeight="1">
      <c r="A6" s="21"/>
      <c r="B6" s="20"/>
      <c r="C6" s="21"/>
      <c r="D6" s="21"/>
      <c r="E6" s="21"/>
      <c r="F6" s="21"/>
      <c r="G6" s="21"/>
      <c r="H6" s="21"/>
      <c r="I6" s="21"/>
    </row>
    <row r="7" spans="1:14" ht="33" customHeight="1">
      <c r="A7" s="19"/>
      <c r="B7" s="21"/>
      <c r="C7" s="21"/>
      <c r="D7" s="21"/>
      <c r="E7" s="21"/>
      <c r="F7" s="21"/>
      <c r="G7" s="21"/>
      <c r="H7" s="21"/>
      <c r="I7" s="21"/>
    </row>
    <row r="8" spans="1:14" ht="37.5" customHeight="1">
      <c r="A8" s="22" t="s">
        <v>1090</v>
      </c>
      <c r="B8" s="22" t="s">
        <v>1098</v>
      </c>
      <c r="C8" s="196" t="s">
        <v>194</v>
      </c>
      <c r="D8" s="196" t="s">
        <v>195</v>
      </c>
      <c r="E8" s="196"/>
      <c r="F8" s="196"/>
      <c r="G8" s="196"/>
      <c r="H8" s="196"/>
      <c r="I8" s="196"/>
    </row>
    <row r="9" spans="1:14">
      <c r="A9" s="109">
        <v>35664</v>
      </c>
      <c r="B9" s="112">
        <v>25</v>
      </c>
      <c r="C9" s="53"/>
      <c r="D9" s="53"/>
      <c r="E9" s="53"/>
      <c r="F9" s="53"/>
      <c r="G9" s="53"/>
      <c r="H9" s="53"/>
      <c r="I9" s="53"/>
    </row>
    <row r="10" spans="1:14">
      <c r="A10" s="109">
        <v>35667</v>
      </c>
      <c r="B10" s="112">
        <v>24.875</v>
      </c>
      <c r="C10" s="53"/>
      <c r="D10" s="53"/>
      <c r="E10" s="53"/>
      <c r="F10" s="53"/>
      <c r="G10" s="53"/>
      <c r="H10" s="53"/>
      <c r="I10" s="53"/>
    </row>
    <row r="11" spans="1:14">
      <c r="A11" s="110">
        <v>35668</v>
      </c>
      <c r="B11" s="111">
        <v>24.781300000000002</v>
      </c>
      <c r="C11" s="56"/>
      <c r="D11" s="56"/>
      <c r="E11" s="56"/>
      <c r="F11" s="56"/>
      <c r="G11" s="56"/>
      <c r="H11" s="56"/>
      <c r="I11" s="56"/>
    </row>
    <row r="12" spans="1:14">
      <c r="A12" s="110">
        <v>35669</v>
      </c>
      <c r="B12" s="111">
        <v>24.593800000000002</v>
      </c>
      <c r="C12" s="56"/>
      <c r="D12" s="56"/>
      <c r="E12" s="56"/>
      <c r="F12" s="56"/>
      <c r="G12" s="56"/>
      <c r="H12" s="56"/>
      <c r="I12" s="56"/>
    </row>
    <row r="13" spans="1:14">
      <c r="A13" s="109">
        <v>35670</v>
      </c>
      <c r="B13" s="112">
        <v>24.5</v>
      </c>
      <c r="C13" s="41">
        <f>SUM(B9:B13)</f>
        <v>123.7501</v>
      </c>
      <c r="D13" s="41">
        <f>C13/5</f>
        <v>24.750019999999999</v>
      </c>
      <c r="E13" s="41"/>
      <c r="F13" s="41"/>
      <c r="G13" s="41"/>
      <c r="H13" s="41"/>
      <c r="I13" s="41"/>
    </row>
    <row r="14" spans="1:14">
      <c r="A14" s="109">
        <v>35671</v>
      </c>
      <c r="B14" s="112">
        <v>24.625</v>
      </c>
      <c r="C14" s="41">
        <f t="shared" ref="C14:C64" si="0">SUM(B10:B14)</f>
        <v>123.3751</v>
      </c>
      <c r="D14" s="41">
        <f t="shared" ref="D14:D64" si="1">C14/5</f>
        <v>24.67502</v>
      </c>
      <c r="E14" s="41"/>
      <c r="F14" s="41"/>
      <c r="G14" s="41"/>
      <c r="H14" s="41"/>
      <c r="I14" s="41"/>
    </row>
    <row r="15" spans="1:14">
      <c r="A15" s="110">
        <v>35675</v>
      </c>
      <c r="B15" s="111">
        <v>25.218800000000002</v>
      </c>
      <c r="C15" s="45">
        <f t="shared" si="0"/>
        <v>123.7189</v>
      </c>
      <c r="D15" s="45">
        <f t="shared" si="1"/>
        <v>24.743780000000001</v>
      </c>
      <c r="E15" s="45"/>
      <c r="F15" s="45"/>
      <c r="G15" s="45"/>
      <c r="H15" s="45"/>
      <c r="I15" s="45"/>
    </row>
    <row r="16" spans="1:14">
      <c r="A16" s="110">
        <v>35676</v>
      </c>
      <c r="B16" s="111">
        <v>27.25</v>
      </c>
      <c r="C16" s="45">
        <f t="shared" si="0"/>
        <v>126.1876</v>
      </c>
      <c r="D16" s="45">
        <f t="shared" si="1"/>
        <v>25.23752</v>
      </c>
      <c r="E16" s="45"/>
      <c r="F16" s="45"/>
      <c r="G16" s="45"/>
      <c r="H16" s="45"/>
      <c r="I16" s="45"/>
    </row>
    <row r="17" spans="1:9">
      <c r="A17" s="109">
        <v>35677</v>
      </c>
      <c r="B17" s="112">
        <v>26.25</v>
      </c>
      <c r="C17" s="41">
        <f t="shared" si="0"/>
        <v>127.8438</v>
      </c>
      <c r="D17" s="41">
        <f t="shared" si="1"/>
        <v>25.568760000000001</v>
      </c>
      <c r="E17" s="41"/>
      <c r="F17" s="41"/>
      <c r="G17" s="41"/>
      <c r="H17" s="41"/>
      <c r="I17" s="41"/>
    </row>
    <row r="18" spans="1:9">
      <c r="A18" s="109">
        <v>35678</v>
      </c>
      <c r="B18" s="112">
        <v>26.593800000000002</v>
      </c>
      <c r="C18" s="41">
        <f t="shared" si="0"/>
        <v>129.9376</v>
      </c>
      <c r="D18" s="41">
        <f t="shared" si="1"/>
        <v>25.98752</v>
      </c>
      <c r="E18" s="41"/>
      <c r="F18" s="41"/>
      <c r="G18" s="41"/>
      <c r="H18" s="41"/>
      <c r="I18" s="41"/>
    </row>
    <row r="19" spans="1:9">
      <c r="A19" s="110">
        <v>35681</v>
      </c>
      <c r="B19" s="111">
        <v>27.593800000000002</v>
      </c>
      <c r="C19" s="45">
        <f t="shared" si="0"/>
        <v>132.90640000000002</v>
      </c>
      <c r="D19" s="45">
        <f t="shared" si="1"/>
        <v>26.581280000000003</v>
      </c>
      <c r="E19" s="45"/>
      <c r="F19" s="45"/>
      <c r="G19" s="45"/>
      <c r="H19" s="45"/>
      <c r="I19" s="45"/>
    </row>
    <row r="20" spans="1:9">
      <c r="A20" s="110">
        <v>35682</v>
      </c>
      <c r="B20" s="111">
        <v>27.875</v>
      </c>
      <c r="C20" s="45">
        <f t="shared" si="0"/>
        <v>135.5626</v>
      </c>
      <c r="D20" s="45">
        <f t="shared" si="1"/>
        <v>27.11252</v>
      </c>
      <c r="E20" s="45"/>
      <c r="F20" s="45"/>
      <c r="G20" s="45"/>
      <c r="H20" s="45"/>
      <c r="I20" s="45"/>
    </row>
    <row r="21" spans="1:9">
      <c r="A21" s="109">
        <v>35683</v>
      </c>
      <c r="B21" s="112">
        <v>27.531300000000002</v>
      </c>
      <c r="C21" s="41">
        <f t="shared" si="0"/>
        <v>135.84390000000002</v>
      </c>
      <c r="D21" s="41">
        <f t="shared" si="1"/>
        <v>27.168780000000005</v>
      </c>
      <c r="E21" s="41"/>
      <c r="F21" s="41"/>
      <c r="G21" s="41"/>
      <c r="H21" s="41"/>
      <c r="I21" s="41"/>
    </row>
    <row r="22" spans="1:9">
      <c r="A22" s="109">
        <v>35684</v>
      </c>
      <c r="B22" s="112">
        <v>27.218800000000002</v>
      </c>
      <c r="C22" s="41">
        <f t="shared" si="0"/>
        <v>136.81270000000001</v>
      </c>
      <c r="D22" s="41">
        <f t="shared" si="1"/>
        <v>27.362540000000003</v>
      </c>
      <c r="E22" s="41"/>
      <c r="F22" s="41"/>
      <c r="G22" s="41"/>
      <c r="H22" s="41"/>
      <c r="I22" s="41"/>
    </row>
    <row r="23" spans="1:9">
      <c r="A23" s="110">
        <v>35685</v>
      </c>
      <c r="B23" s="111">
        <v>26.968800000000002</v>
      </c>
      <c r="C23" s="45">
        <f t="shared" si="0"/>
        <v>137.18770000000001</v>
      </c>
      <c r="D23" s="45">
        <f t="shared" si="1"/>
        <v>27.437540000000002</v>
      </c>
      <c r="E23" s="45"/>
      <c r="F23" s="45"/>
      <c r="G23" s="45"/>
      <c r="H23" s="45"/>
      <c r="I23" s="45"/>
    </row>
    <row r="24" spans="1:9">
      <c r="A24" s="110">
        <v>35688</v>
      </c>
      <c r="B24" s="111">
        <v>26.75</v>
      </c>
      <c r="C24" s="45">
        <f t="shared" si="0"/>
        <v>136.34390000000002</v>
      </c>
      <c r="D24" s="45">
        <f t="shared" si="1"/>
        <v>27.268780000000003</v>
      </c>
      <c r="E24" s="45"/>
      <c r="F24" s="45"/>
      <c r="G24" s="45"/>
      <c r="H24" s="45"/>
      <c r="I24" s="45"/>
    </row>
    <row r="25" spans="1:9">
      <c r="A25" s="109">
        <v>35689</v>
      </c>
      <c r="B25" s="112">
        <v>27.468800000000002</v>
      </c>
      <c r="C25" s="41">
        <f t="shared" si="0"/>
        <v>135.93770000000001</v>
      </c>
      <c r="D25" s="41">
        <f t="shared" si="1"/>
        <v>27.187540000000002</v>
      </c>
      <c r="E25" s="41"/>
      <c r="F25" s="41"/>
      <c r="G25" s="41"/>
      <c r="H25" s="41"/>
      <c r="I25" s="41"/>
    </row>
    <row r="26" spans="1:9">
      <c r="A26" s="109">
        <v>35690</v>
      </c>
      <c r="B26" s="112">
        <v>27.3125</v>
      </c>
      <c r="C26" s="41">
        <f t="shared" si="0"/>
        <v>135.71890000000002</v>
      </c>
      <c r="D26" s="41">
        <f t="shared" si="1"/>
        <v>27.143780000000003</v>
      </c>
      <c r="E26" s="41"/>
      <c r="F26" s="41"/>
      <c r="G26" s="41"/>
      <c r="H26" s="41"/>
      <c r="I26" s="41"/>
    </row>
    <row r="27" spans="1:9">
      <c r="A27" s="110">
        <v>35691</v>
      </c>
      <c r="B27" s="111">
        <v>27.5</v>
      </c>
      <c r="C27" s="45">
        <f t="shared" si="0"/>
        <v>136.0001</v>
      </c>
      <c r="D27" s="45">
        <f t="shared" si="1"/>
        <v>27.200020000000002</v>
      </c>
      <c r="E27" s="45"/>
      <c r="F27" s="45"/>
      <c r="G27" s="45"/>
      <c r="H27" s="45"/>
      <c r="I27" s="45"/>
    </row>
    <row r="28" spans="1:9">
      <c r="A28" s="110">
        <v>35692</v>
      </c>
      <c r="B28" s="111">
        <v>27.5</v>
      </c>
      <c r="C28" s="45">
        <f t="shared" si="0"/>
        <v>136.53129999999999</v>
      </c>
      <c r="D28" s="45">
        <f t="shared" si="1"/>
        <v>27.306259999999998</v>
      </c>
      <c r="E28" s="45"/>
      <c r="F28" s="45"/>
      <c r="G28" s="45"/>
      <c r="H28" s="45"/>
      <c r="I28" s="45"/>
    </row>
    <row r="29" spans="1:9">
      <c r="A29" s="109">
        <v>35695</v>
      </c>
      <c r="B29" s="112">
        <v>26.75</v>
      </c>
      <c r="C29" s="41">
        <f t="shared" si="0"/>
        <v>136.53129999999999</v>
      </c>
      <c r="D29" s="41">
        <f t="shared" si="1"/>
        <v>27.306259999999998</v>
      </c>
      <c r="E29" s="41"/>
      <c r="F29" s="41"/>
      <c r="G29" s="41"/>
      <c r="H29" s="41"/>
      <c r="I29" s="41"/>
    </row>
    <row r="30" spans="1:9">
      <c r="A30" s="109">
        <v>35696</v>
      </c>
      <c r="B30" s="112">
        <v>27.0625</v>
      </c>
      <c r="C30" s="41">
        <f t="shared" si="0"/>
        <v>136.125</v>
      </c>
      <c r="D30" s="41">
        <f t="shared" si="1"/>
        <v>27.225000000000001</v>
      </c>
      <c r="E30" s="41"/>
      <c r="F30" s="41"/>
      <c r="G30" s="41"/>
      <c r="H30" s="41"/>
      <c r="I30" s="41"/>
    </row>
    <row r="31" spans="1:9">
      <c r="A31" s="110">
        <v>35697</v>
      </c>
      <c r="B31" s="111">
        <v>28.656300000000002</v>
      </c>
      <c r="C31" s="45">
        <f t="shared" si="0"/>
        <v>137.46879999999999</v>
      </c>
      <c r="D31" s="45">
        <f t="shared" si="1"/>
        <v>27.493759999999998</v>
      </c>
      <c r="E31" s="45"/>
      <c r="F31" s="45"/>
      <c r="G31" s="45"/>
      <c r="H31" s="45"/>
      <c r="I31" s="45"/>
    </row>
    <row r="32" spans="1:9">
      <c r="A32" s="110">
        <v>35698</v>
      </c>
      <c r="B32" s="111">
        <v>28.093800000000002</v>
      </c>
      <c r="C32" s="45">
        <f t="shared" si="0"/>
        <v>138.0626</v>
      </c>
      <c r="D32" s="45">
        <f t="shared" si="1"/>
        <v>27.61252</v>
      </c>
      <c r="E32" s="45"/>
      <c r="F32" s="45"/>
      <c r="G32" s="45"/>
      <c r="H32" s="45"/>
      <c r="I32" s="45"/>
    </row>
    <row r="33" spans="1:9">
      <c r="A33" s="109">
        <v>35699</v>
      </c>
      <c r="B33" s="112">
        <v>28.8125</v>
      </c>
      <c r="C33" s="41">
        <f t="shared" si="0"/>
        <v>139.3751</v>
      </c>
      <c r="D33" s="41">
        <f t="shared" si="1"/>
        <v>27.875019999999999</v>
      </c>
      <c r="E33" s="41"/>
      <c r="F33" s="41"/>
      <c r="G33" s="41"/>
      <c r="H33" s="41"/>
      <c r="I33" s="41"/>
    </row>
    <row r="34" spans="1:9">
      <c r="A34" s="109">
        <v>35702</v>
      </c>
      <c r="B34" s="112">
        <v>29.781300000000002</v>
      </c>
      <c r="C34" s="41">
        <f t="shared" si="0"/>
        <v>142.40640000000002</v>
      </c>
      <c r="D34" s="41">
        <f t="shared" si="1"/>
        <v>28.481280000000005</v>
      </c>
      <c r="E34" s="41"/>
      <c r="F34" s="41"/>
      <c r="G34" s="41"/>
      <c r="H34" s="41"/>
      <c r="I34" s="41"/>
    </row>
    <row r="35" spans="1:9">
      <c r="A35" s="110">
        <v>35703</v>
      </c>
      <c r="B35" s="111">
        <v>30.281300000000002</v>
      </c>
      <c r="C35" s="45">
        <f t="shared" si="0"/>
        <v>145.62520000000001</v>
      </c>
      <c r="D35" s="45">
        <f t="shared" si="1"/>
        <v>29.125040000000002</v>
      </c>
      <c r="E35" s="45"/>
      <c r="F35" s="45"/>
      <c r="G35" s="45"/>
      <c r="H35" s="45"/>
      <c r="I35" s="45"/>
    </row>
    <row r="36" spans="1:9">
      <c r="A36" s="110">
        <v>35704</v>
      </c>
      <c r="B36" s="111">
        <v>31.281300000000002</v>
      </c>
      <c r="C36" s="45">
        <f t="shared" si="0"/>
        <v>148.25020000000001</v>
      </c>
      <c r="D36" s="45">
        <f t="shared" si="1"/>
        <v>29.650040000000001</v>
      </c>
      <c r="E36" s="45"/>
      <c r="F36" s="45"/>
      <c r="G36" s="45"/>
      <c r="H36" s="45"/>
      <c r="I36" s="45"/>
    </row>
    <row r="37" spans="1:9">
      <c r="A37" s="109">
        <v>35705</v>
      </c>
      <c r="B37" s="112">
        <v>31.593800000000002</v>
      </c>
      <c r="C37" s="41">
        <f t="shared" si="0"/>
        <v>151.75020000000001</v>
      </c>
      <c r="D37" s="41">
        <f t="shared" si="1"/>
        <v>30.35004</v>
      </c>
      <c r="E37" s="41"/>
      <c r="F37" s="41"/>
      <c r="G37" s="41"/>
      <c r="H37" s="41"/>
      <c r="I37" s="41"/>
    </row>
    <row r="38" spans="1:9">
      <c r="A38" s="109">
        <v>35706</v>
      </c>
      <c r="B38" s="112">
        <v>31.875</v>
      </c>
      <c r="C38" s="41">
        <f t="shared" si="0"/>
        <v>154.81270000000001</v>
      </c>
      <c r="D38" s="41">
        <f t="shared" si="1"/>
        <v>30.962540000000001</v>
      </c>
      <c r="E38" s="41"/>
      <c r="F38" s="41"/>
      <c r="G38" s="41"/>
      <c r="H38" s="41"/>
      <c r="I38" s="41"/>
    </row>
    <row r="39" spans="1:9">
      <c r="A39" s="110">
        <v>35709</v>
      </c>
      <c r="B39" s="111">
        <v>32.593800000000002</v>
      </c>
      <c r="C39" s="45">
        <f t="shared" si="0"/>
        <v>157.62520000000001</v>
      </c>
      <c r="D39" s="45">
        <f t="shared" si="1"/>
        <v>31.525040000000001</v>
      </c>
      <c r="E39" s="45"/>
      <c r="F39" s="45"/>
      <c r="G39" s="45"/>
      <c r="H39" s="45"/>
      <c r="I39" s="45"/>
    </row>
    <row r="40" spans="1:9">
      <c r="A40" s="110">
        <v>35710</v>
      </c>
      <c r="B40" s="111">
        <v>33.5</v>
      </c>
      <c r="C40" s="45">
        <f t="shared" si="0"/>
        <v>160.84390000000002</v>
      </c>
      <c r="D40" s="45">
        <f t="shared" si="1"/>
        <v>32.168780000000005</v>
      </c>
      <c r="E40" s="45"/>
      <c r="F40" s="45"/>
      <c r="G40" s="45"/>
      <c r="H40" s="45"/>
      <c r="I40" s="45"/>
    </row>
    <row r="41" spans="1:9">
      <c r="A41" s="109">
        <v>35711</v>
      </c>
      <c r="B41" s="112">
        <v>33.75</v>
      </c>
      <c r="C41" s="41">
        <f t="shared" si="0"/>
        <v>163.3126</v>
      </c>
      <c r="D41" s="41">
        <f t="shared" si="1"/>
        <v>32.662520000000001</v>
      </c>
      <c r="E41" s="41"/>
      <c r="F41" s="41"/>
      <c r="G41" s="41"/>
      <c r="H41" s="41"/>
      <c r="I41" s="41"/>
    </row>
    <row r="42" spans="1:9">
      <c r="A42" s="109">
        <v>35712</v>
      </c>
      <c r="B42" s="112">
        <v>33.218800000000002</v>
      </c>
      <c r="C42" s="41">
        <f t="shared" si="0"/>
        <v>164.93759999999997</v>
      </c>
      <c r="D42" s="41">
        <f t="shared" si="1"/>
        <v>32.987519999999996</v>
      </c>
      <c r="E42" s="41"/>
      <c r="F42" s="41"/>
      <c r="G42" s="41"/>
      <c r="H42" s="41"/>
      <c r="I42" s="41"/>
    </row>
    <row r="43" spans="1:9">
      <c r="A43" s="110">
        <v>35713</v>
      </c>
      <c r="B43" s="111">
        <v>32.9375</v>
      </c>
      <c r="C43" s="45">
        <f t="shared" si="0"/>
        <v>166.0001</v>
      </c>
      <c r="D43" s="45">
        <f t="shared" si="1"/>
        <v>33.200020000000002</v>
      </c>
      <c r="E43" s="45"/>
      <c r="F43" s="45"/>
      <c r="G43" s="45"/>
      <c r="H43" s="45"/>
      <c r="I43" s="45"/>
    </row>
    <row r="44" spans="1:9">
      <c r="A44" s="110">
        <v>35716</v>
      </c>
      <c r="B44" s="111">
        <v>33.4375</v>
      </c>
      <c r="C44" s="45">
        <f t="shared" si="0"/>
        <v>166.84379999999999</v>
      </c>
      <c r="D44" s="45">
        <f t="shared" si="1"/>
        <v>33.368759999999995</v>
      </c>
      <c r="E44" s="45"/>
      <c r="F44" s="45"/>
      <c r="G44" s="45"/>
      <c r="H44" s="45"/>
      <c r="I44" s="45"/>
    </row>
    <row r="45" spans="1:9">
      <c r="A45" s="109">
        <v>35717</v>
      </c>
      <c r="B45" s="112">
        <v>33.906300000000002</v>
      </c>
      <c r="C45" s="41">
        <f t="shared" si="0"/>
        <v>167.25009999999997</v>
      </c>
      <c r="D45" s="41">
        <f t="shared" si="1"/>
        <v>33.450019999999995</v>
      </c>
      <c r="E45" s="41"/>
      <c r="F45" s="41"/>
      <c r="G45" s="41"/>
      <c r="H45" s="41"/>
      <c r="I45" s="41"/>
    </row>
    <row r="46" spans="1:9">
      <c r="A46" s="109">
        <v>35718</v>
      </c>
      <c r="B46" s="112">
        <v>33.968800000000002</v>
      </c>
      <c r="C46" s="41">
        <f t="shared" si="0"/>
        <v>167.46890000000002</v>
      </c>
      <c r="D46" s="41">
        <f t="shared" si="1"/>
        <v>33.493780000000001</v>
      </c>
      <c r="E46" s="41"/>
      <c r="F46" s="41"/>
      <c r="G46" s="41"/>
      <c r="H46" s="41"/>
      <c r="I46" s="41"/>
    </row>
    <row r="47" spans="1:9">
      <c r="A47" s="110">
        <v>35719</v>
      </c>
      <c r="B47" s="111">
        <v>33.3125</v>
      </c>
      <c r="C47" s="45">
        <f t="shared" si="0"/>
        <v>167.5626</v>
      </c>
      <c r="D47" s="45">
        <f t="shared" si="1"/>
        <v>33.512520000000002</v>
      </c>
      <c r="E47" s="45"/>
      <c r="F47" s="45"/>
      <c r="G47" s="45"/>
      <c r="H47" s="45"/>
      <c r="I47" s="45"/>
    </row>
    <row r="48" spans="1:9">
      <c r="A48" s="110">
        <v>35720</v>
      </c>
      <c r="B48" s="111">
        <v>31.6875</v>
      </c>
      <c r="C48" s="45">
        <f t="shared" si="0"/>
        <v>166.3126</v>
      </c>
      <c r="D48" s="45">
        <f t="shared" si="1"/>
        <v>33.262520000000002</v>
      </c>
      <c r="E48" s="45"/>
      <c r="F48" s="45"/>
      <c r="G48" s="45"/>
      <c r="H48" s="45"/>
      <c r="I48" s="45"/>
    </row>
    <row r="49" spans="1:9">
      <c r="A49" s="109">
        <v>35723</v>
      </c>
      <c r="B49" s="112">
        <v>31.75</v>
      </c>
      <c r="C49" s="41">
        <f t="shared" si="0"/>
        <v>164.6251</v>
      </c>
      <c r="D49" s="41">
        <f t="shared" si="1"/>
        <v>32.925020000000004</v>
      </c>
      <c r="E49" s="41"/>
      <c r="F49" s="41"/>
      <c r="G49" s="41"/>
      <c r="H49" s="41"/>
      <c r="I49" s="41"/>
    </row>
    <row r="50" spans="1:9">
      <c r="A50" s="109">
        <v>35724</v>
      </c>
      <c r="B50" s="112">
        <v>33.25</v>
      </c>
      <c r="C50" s="41">
        <f t="shared" si="0"/>
        <v>163.96879999999999</v>
      </c>
      <c r="D50" s="41">
        <f t="shared" si="1"/>
        <v>32.793759999999999</v>
      </c>
      <c r="E50" s="41"/>
      <c r="F50" s="41"/>
      <c r="G50" s="41"/>
      <c r="H50" s="41"/>
      <c r="I50" s="41"/>
    </row>
    <row r="51" spans="1:9">
      <c r="A51" s="110">
        <v>35725</v>
      </c>
      <c r="B51" s="111">
        <v>32.906300000000002</v>
      </c>
      <c r="C51" s="45">
        <f t="shared" si="0"/>
        <v>162.90629999999999</v>
      </c>
      <c r="D51" s="45">
        <f t="shared" si="1"/>
        <v>32.58126</v>
      </c>
      <c r="E51" s="45"/>
      <c r="F51" s="45"/>
      <c r="G51" s="45"/>
      <c r="H51" s="45"/>
      <c r="I51" s="45"/>
    </row>
    <row r="52" spans="1:9">
      <c r="A52" s="110">
        <v>35726</v>
      </c>
      <c r="B52" s="111">
        <v>31.6875</v>
      </c>
      <c r="C52" s="45">
        <f t="shared" si="0"/>
        <v>161.28129999999999</v>
      </c>
      <c r="D52" s="45">
        <f t="shared" si="1"/>
        <v>32.256259999999997</v>
      </c>
      <c r="E52" s="45"/>
      <c r="F52" s="45"/>
      <c r="G52" s="45"/>
      <c r="H52" s="45"/>
      <c r="I52" s="45"/>
    </row>
    <row r="53" spans="1:9">
      <c r="A53" s="109">
        <v>35727</v>
      </c>
      <c r="B53" s="112">
        <v>31.406300000000002</v>
      </c>
      <c r="C53" s="41">
        <f t="shared" si="0"/>
        <v>161.00009999999997</v>
      </c>
      <c r="D53" s="41">
        <f t="shared" si="1"/>
        <v>32.200019999999995</v>
      </c>
      <c r="E53" s="41"/>
      <c r="F53" s="41"/>
      <c r="G53" s="41"/>
      <c r="H53" s="41"/>
      <c r="I53" s="41"/>
    </row>
    <row r="54" spans="1:9">
      <c r="A54" s="109">
        <v>35730</v>
      </c>
      <c r="B54" s="112">
        <v>27.968800000000002</v>
      </c>
      <c r="C54" s="41">
        <f t="shared" si="0"/>
        <v>157.21890000000002</v>
      </c>
      <c r="D54" s="41">
        <f t="shared" si="1"/>
        <v>31.443780000000004</v>
      </c>
      <c r="E54" s="41"/>
      <c r="F54" s="41"/>
      <c r="G54" s="41"/>
      <c r="H54" s="41"/>
      <c r="I54" s="41"/>
    </row>
    <row r="55" spans="1:9">
      <c r="A55" s="110">
        <v>35731</v>
      </c>
      <c r="B55" s="111">
        <v>29.531300000000002</v>
      </c>
      <c r="C55" s="45">
        <f t="shared" si="0"/>
        <v>153.50020000000001</v>
      </c>
      <c r="D55" s="45">
        <f t="shared" si="1"/>
        <v>30.700040000000001</v>
      </c>
      <c r="E55" s="45"/>
      <c r="F55" s="45"/>
      <c r="G55" s="45"/>
      <c r="H55" s="45"/>
      <c r="I55" s="45"/>
    </row>
    <row r="56" spans="1:9">
      <c r="A56" s="110">
        <v>35732</v>
      </c>
      <c r="B56" s="111">
        <v>30.5</v>
      </c>
      <c r="C56" s="45">
        <f t="shared" si="0"/>
        <v>151.09390000000002</v>
      </c>
      <c r="D56" s="45">
        <f t="shared" si="1"/>
        <v>30.218780000000002</v>
      </c>
      <c r="E56" s="45"/>
      <c r="F56" s="45"/>
      <c r="G56" s="45"/>
      <c r="H56" s="45"/>
      <c r="I56" s="45"/>
    </row>
    <row r="57" spans="1:9">
      <c r="A57" s="109">
        <v>35733</v>
      </c>
      <c r="B57" s="112">
        <v>31.5</v>
      </c>
      <c r="C57" s="41">
        <f t="shared" si="0"/>
        <v>150.90640000000002</v>
      </c>
      <c r="D57" s="41">
        <f t="shared" si="1"/>
        <v>30.181280000000005</v>
      </c>
      <c r="E57" s="41"/>
      <c r="F57" s="41"/>
      <c r="G57" s="41"/>
      <c r="H57" s="41"/>
      <c r="I57" s="41"/>
    </row>
    <row r="58" spans="1:9">
      <c r="A58" s="109">
        <v>35734</v>
      </c>
      <c r="B58" s="112">
        <v>31.6875</v>
      </c>
      <c r="C58" s="41">
        <f t="shared" si="0"/>
        <v>151.1876</v>
      </c>
      <c r="D58" s="41">
        <f t="shared" si="1"/>
        <v>30.23752</v>
      </c>
      <c r="E58" s="41"/>
      <c r="F58" s="41"/>
      <c r="G58" s="41"/>
      <c r="H58" s="41"/>
      <c r="I58" s="41"/>
    </row>
    <row r="59" spans="1:9">
      <c r="A59" s="110">
        <v>35737</v>
      </c>
      <c r="B59" s="111">
        <v>32.375</v>
      </c>
      <c r="C59" s="45">
        <f t="shared" si="0"/>
        <v>155.59379999999999</v>
      </c>
      <c r="D59" s="45">
        <f t="shared" si="1"/>
        <v>31.118759999999998</v>
      </c>
      <c r="E59" s="45"/>
      <c r="F59" s="45"/>
      <c r="G59" s="45"/>
      <c r="H59" s="45"/>
      <c r="I59" s="45"/>
    </row>
    <row r="60" spans="1:9">
      <c r="A60" s="110">
        <v>35738</v>
      </c>
      <c r="B60" s="111">
        <v>33.093800000000002</v>
      </c>
      <c r="C60" s="45">
        <f t="shared" si="0"/>
        <v>159.15629999999999</v>
      </c>
      <c r="D60" s="45">
        <f t="shared" si="1"/>
        <v>31.831259999999997</v>
      </c>
      <c r="E60" s="45"/>
      <c r="F60" s="45"/>
      <c r="G60" s="45"/>
      <c r="H60" s="45"/>
      <c r="I60" s="45"/>
    </row>
    <row r="61" spans="1:9">
      <c r="A61" s="109">
        <v>35739</v>
      </c>
      <c r="B61" s="112">
        <v>34.093800000000002</v>
      </c>
      <c r="C61" s="41">
        <f t="shared" si="0"/>
        <v>162.75009999999997</v>
      </c>
      <c r="D61" s="41">
        <f t="shared" si="1"/>
        <v>32.550019999999996</v>
      </c>
      <c r="E61" s="41"/>
      <c r="F61" s="41"/>
      <c r="G61" s="41"/>
      <c r="H61" s="41"/>
      <c r="I61" s="41"/>
    </row>
    <row r="62" spans="1:9">
      <c r="A62" s="109">
        <v>35740</v>
      </c>
      <c r="B62" s="112">
        <v>33.468800000000002</v>
      </c>
      <c r="C62" s="41">
        <f t="shared" si="0"/>
        <v>164.71890000000002</v>
      </c>
      <c r="D62" s="41">
        <f t="shared" si="1"/>
        <v>32.943780000000004</v>
      </c>
      <c r="E62" s="41"/>
      <c r="F62" s="41"/>
      <c r="G62" s="41"/>
      <c r="H62" s="41"/>
      <c r="I62" s="41"/>
    </row>
    <row r="63" spans="1:9">
      <c r="A63" s="110">
        <v>35741</v>
      </c>
      <c r="B63" s="111">
        <v>32.968800000000002</v>
      </c>
      <c r="C63" s="45">
        <f t="shared" si="0"/>
        <v>166.00020000000001</v>
      </c>
      <c r="D63" s="45">
        <f t="shared" si="1"/>
        <v>33.200040000000001</v>
      </c>
      <c r="E63" s="45"/>
      <c r="F63" s="45"/>
      <c r="G63" s="45"/>
      <c r="H63" s="45"/>
      <c r="I63" s="45"/>
    </row>
    <row r="64" spans="1:9">
      <c r="A64" s="110">
        <v>35744</v>
      </c>
      <c r="B64" s="111">
        <v>32.6875</v>
      </c>
      <c r="C64" s="45">
        <f t="shared" si="0"/>
        <v>166.31270000000001</v>
      </c>
      <c r="D64" s="45">
        <f t="shared" si="1"/>
        <v>33.262540000000001</v>
      </c>
      <c r="E64" s="45"/>
      <c r="F64" s="45"/>
      <c r="G64" s="45"/>
      <c r="H64" s="45"/>
      <c r="I64" s="45"/>
    </row>
    <row r="65" spans="1:3">
      <c r="B65" s="2"/>
      <c r="C65" s="32"/>
    </row>
    <row r="66" spans="1:3" ht="15">
      <c r="A66" s="241" t="s">
        <v>192</v>
      </c>
      <c r="B66" s="2"/>
    </row>
    <row r="67" spans="1:3" ht="15">
      <c r="A67" s="241" t="s">
        <v>193</v>
      </c>
      <c r="B67" s="2"/>
    </row>
    <row r="68" spans="1:3">
      <c r="B68" s="2"/>
    </row>
    <row r="69" spans="1:3">
      <c r="B69" s="2"/>
    </row>
    <row r="70" spans="1:3">
      <c r="B70" s="2"/>
    </row>
    <row r="71" spans="1:3">
      <c r="B71" s="2"/>
    </row>
    <row r="72" spans="1:3">
      <c r="B72" s="2"/>
    </row>
    <row r="73" spans="1:3">
      <c r="B73" s="2"/>
    </row>
    <row r="74" spans="1:3">
      <c r="B74" s="2"/>
    </row>
    <row r="75" spans="1:3">
      <c r="B75" s="2"/>
    </row>
    <row r="76" spans="1:3">
      <c r="B76" s="2"/>
    </row>
    <row r="77" spans="1:3">
      <c r="B77" s="2"/>
    </row>
    <row r="78" spans="1:3">
      <c r="B78" s="2"/>
    </row>
    <row r="79" spans="1:3">
      <c r="B79" s="2"/>
    </row>
    <row r="80" spans="1:3">
      <c r="B80" s="2"/>
    </row>
    <row r="81" spans="2:2">
      <c r="B81" s="2"/>
    </row>
    <row r="82" spans="2:2">
      <c r="B82" s="2"/>
    </row>
    <row r="83" spans="2:2">
      <c r="B83" s="2"/>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2"/>
    </row>
    <row r="217" spans="2:2">
      <c r="B217" s="2"/>
    </row>
    <row r="218" spans="2:2">
      <c r="B218" s="2"/>
    </row>
    <row r="219" spans="2:2">
      <c r="B219" s="2"/>
    </row>
    <row r="220" spans="2:2">
      <c r="B220" s="2"/>
    </row>
    <row r="221" spans="2:2">
      <c r="B221" s="2"/>
    </row>
    <row r="222" spans="2:2">
      <c r="B222" s="2"/>
    </row>
    <row r="223" spans="2:2">
      <c r="B223" s="2"/>
    </row>
    <row r="224" spans="2:2">
      <c r="B224" s="2"/>
    </row>
    <row r="225" spans="2:2">
      <c r="B225" s="2"/>
    </row>
    <row r="226" spans="2:2">
      <c r="B226" s="2"/>
    </row>
    <row r="227" spans="2:2">
      <c r="B227" s="2"/>
    </row>
    <row r="228" spans="2:2">
      <c r="B228" s="2"/>
    </row>
    <row r="229" spans="2:2">
      <c r="B229" s="2"/>
    </row>
    <row r="230" spans="2:2">
      <c r="B230" s="2"/>
    </row>
    <row r="231" spans="2:2">
      <c r="B231" s="2"/>
    </row>
    <row r="232" spans="2:2">
      <c r="B232" s="2"/>
    </row>
    <row r="233" spans="2:2">
      <c r="B233" s="2"/>
    </row>
    <row r="234" spans="2:2">
      <c r="B234" s="2"/>
    </row>
    <row r="235" spans="2:2">
      <c r="B235" s="2"/>
    </row>
    <row r="236" spans="2:2">
      <c r="B236" s="2"/>
    </row>
    <row r="237" spans="2:2">
      <c r="B237" s="2"/>
    </row>
    <row r="238" spans="2:2">
      <c r="B238" s="2"/>
    </row>
    <row r="239" spans="2:2">
      <c r="B239" s="2"/>
    </row>
    <row r="240" spans="2:2">
      <c r="B240" s="2"/>
    </row>
    <row r="241" spans="2:2">
      <c r="B241" s="2"/>
    </row>
    <row r="242" spans="2:2">
      <c r="B242" s="2"/>
    </row>
    <row r="243" spans="2:2">
      <c r="B243" s="2"/>
    </row>
    <row r="244" spans="2:2">
      <c r="B244" s="2"/>
    </row>
    <row r="245" spans="2:2">
      <c r="B245" s="2"/>
    </row>
    <row r="246" spans="2:2">
      <c r="B246" s="2"/>
    </row>
    <row r="247" spans="2:2">
      <c r="B247" s="2"/>
    </row>
    <row r="248" spans="2:2">
      <c r="B248" s="2"/>
    </row>
    <row r="249" spans="2:2">
      <c r="B249" s="2"/>
    </row>
    <row r="250" spans="2:2">
      <c r="B250" s="2"/>
    </row>
    <row r="251" spans="2:2">
      <c r="B251" s="2"/>
    </row>
    <row r="252" spans="2:2">
      <c r="B252" s="2"/>
    </row>
    <row r="253" spans="2:2">
      <c r="B253" s="2"/>
    </row>
    <row r="254" spans="2:2">
      <c r="B254" s="2"/>
    </row>
    <row r="255" spans="2:2">
      <c r="B255" s="2"/>
    </row>
    <row r="256" spans="2:2">
      <c r="B256" s="2"/>
    </row>
    <row r="257" spans="2:2">
      <c r="B257" s="2"/>
    </row>
    <row r="258" spans="2:2">
      <c r="B258" s="2"/>
    </row>
    <row r="259" spans="2:2">
      <c r="B259" s="2"/>
    </row>
    <row r="260" spans="2:2">
      <c r="B260" s="2"/>
    </row>
    <row r="261" spans="2:2">
      <c r="B261" s="2"/>
    </row>
    <row r="262" spans="2:2">
      <c r="B262" s="2"/>
    </row>
    <row r="263" spans="2:2">
      <c r="B263" s="2"/>
    </row>
    <row r="264" spans="2:2">
      <c r="B264" s="2"/>
    </row>
    <row r="265" spans="2:2">
      <c r="B265" s="2"/>
    </row>
    <row r="266" spans="2:2">
      <c r="B266" s="2"/>
    </row>
    <row r="267" spans="2:2">
      <c r="B267" s="2"/>
    </row>
    <row r="268" spans="2:2">
      <c r="B268" s="2"/>
    </row>
    <row r="269" spans="2:2">
      <c r="B269" s="2"/>
    </row>
    <row r="270" spans="2:2">
      <c r="B270" s="2"/>
    </row>
    <row r="271" spans="2:2">
      <c r="B271" s="2"/>
    </row>
    <row r="272" spans="2:2">
      <c r="B272" s="2"/>
    </row>
    <row r="273" spans="2:2">
      <c r="B273" s="2"/>
    </row>
    <row r="274" spans="2:2">
      <c r="B274" s="2"/>
    </row>
    <row r="275" spans="2:2">
      <c r="B275" s="2"/>
    </row>
    <row r="276" spans="2:2">
      <c r="B276" s="2"/>
    </row>
    <row r="277" spans="2:2">
      <c r="B277" s="2"/>
    </row>
    <row r="278" spans="2:2">
      <c r="B278" s="2"/>
    </row>
    <row r="279" spans="2:2">
      <c r="B279" s="2"/>
    </row>
    <row r="280" spans="2:2">
      <c r="B280" s="2"/>
    </row>
    <row r="281" spans="2:2">
      <c r="B281" s="2"/>
    </row>
    <row r="282" spans="2:2">
      <c r="B282" s="2"/>
    </row>
    <row r="283" spans="2:2">
      <c r="B283" s="2"/>
    </row>
    <row r="284" spans="2:2">
      <c r="B284" s="2"/>
    </row>
    <row r="285" spans="2:2">
      <c r="B285" s="2"/>
    </row>
    <row r="286" spans="2:2">
      <c r="B286" s="2"/>
    </row>
    <row r="287" spans="2:2">
      <c r="B287" s="2"/>
    </row>
    <row r="288" spans="2:2">
      <c r="B288" s="2"/>
    </row>
    <row r="289" spans="2:2">
      <c r="B289" s="2"/>
    </row>
    <row r="290" spans="2:2">
      <c r="B290" s="2"/>
    </row>
    <row r="291" spans="2:2">
      <c r="B291" s="2"/>
    </row>
    <row r="292" spans="2:2">
      <c r="B292" s="2"/>
    </row>
    <row r="293" spans="2:2">
      <c r="B293" s="2"/>
    </row>
    <row r="294" spans="2:2">
      <c r="B294" s="2"/>
    </row>
    <row r="295" spans="2:2">
      <c r="B295" s="2"/>
    </row>
    <row r="296" spans="2:2">
      <c r="B296" s="2"/>
    </row>
    <row r="297" spans="2:2">
      <c r="B297" s="2"/>
    </row>
    <row r="298" spans="2:2">
      <c r="B298" s="2"/>
    </row>
    <row r="299" spans="2:2">
      <c r="B299" s="2"/>
    </row>
    <row r="300" spans="2:2">
      <c r="B300" s="2"/>
    </row>
    <row r="301" spans="2:2">
      <c r="B301" s="2"/>
    </row>
    <row r="302" spans="2:2">
      <c r="B302" s="2"/>
    </row>
    <row r="303" spans="2:2">
      <c r="B303" s="2"/>
    </row>
    <row r="304" spans="2:2">
      <c r="B304" s="2"/>
    </row>
    <row r="305" spans="2:2">
      <c r="B305" s="2"/>
    </row>
    <row r="306" spans="2:2">
      <c r="B306" s="2"/>
    </row>
    <row r="307" spans="2:2">
      <c r="B307" s="2"/>
    </row>
    <row r="308" spans="2:2">
      <c r="B308" s="2"/>
    </row>
    <row r="309" spans="2:2">
      <c r="B309" s="2"/>
    </row>
    <row r="310" spans="2:2">
      <c r="B310" s="2"/>
    </row>
    <row r="311" spans="2:2">
      <c r="B311" s="2"/>
    </row>
    <row r="312" spans="2:2">
      <c r="B312" s="2"/>
    </row>
    <row r="313" spans="2:2">
      <c r="B313" s="2"/>
    </row>
    <row r="314" spans="2:2">
      <c r="B314" s="2"/>
    </row>
    <row r="315" spans="2:2">
      <c r="B315" s="2"/>
    </row>
    <row r="316" spans="2:2">
      <c r="B316" s="2"/>
    </row>
    <row r="317" spans="2:2">
      <c r="B317" s="2"/>
    </row>
    <row r="318" spans="2:2">
      <c r="B318" s="2"/>
    </row>
    <row r="319" spans="2:2">
      <c r="B319" s="2"/>
    </row>
    <row r="320" spans="2:2">
      <c r="B320" s="2"/>
    </row>
    <row r="321" spans="2:2">
      <c r="B321" s="2"/>
    </row>
    <row r="322" spans="2:2">
      <c r="B322" s="2"/>
    </row>
    <row r="323" spans="2:2">
      <c r="B323" s="2"/>
    </row>
    <row r="324" spans="2:2">
      <c r="B324" s="2"/>
    </row>
    <row r="325" spans="2:2">
      <c r="B325" s="2"/>
    </row>
    <row r="326" spans="2:2">
      <c r="B326" s="2"/>
    </row>
    <row r="327" spans="2:2">
      <c r="B327" s="2"/>
    </row>
    <row r="328" spans="2:2">
      <c r="B328" s="2"/>
    </row>
    <row r="329" spans="2:2">
      <c r="B329" s="2"/>
    </row>
    <row r="330" spans="2:2">
      <c r="B330" s="2"/>
    </row>
    <row r="331" spans="2:2">
      <c r="B331" s="2"/>
    </row>
    <row r="332" spans="2:2">
      <c r="B332" s="2"/>
    </row>
    <row r="333" spans="2:2">
      <c r="B333" s="2"/>
    </row>
    <row r="334" spans="2:2">
      <c r="B334" s="2"/>
    </row>
    <row r="335" spans="2:2">
      <c r="B335" s="2"/>
    </row>
    <row r="336" spans="2:2">
      <c r="B336" s="2"/>
    </row>
    <row r="337" spans="2:2">
      <c r="B337" s="2"/>
    </row>
    <row r="338" spans="2:2">
      <c r="B338" s="2"/>
    </row>
    <row r="339" spans="2:2">
      <c r="B339" s="2"/>
    </row>
    <row r="340" spans="2:2">
      <c r="B340" s="2"/>
    </row>
    <row r="341" spans="2:2">
      <c r="B341" s="2"/>
    </row>
    <row r="342" spans="2:2">
      <c r="B342" s="2"/>
    </row>
    <row r="343" spans="2:2">
      <c r="B343" s="2"/>
    </row>
    <row r="344" spans="2:2">
      <c r="B344" s="2"/>
    </row>
    <row r="345" spans="2:2">
      <c r="B345" s="2"/>
    </row>
    <row r="346" spans="2:2">
      <c r="B346" s="2"/>
    </row>
    <row r="347" spans="2:2">
      <c r="B347" s="2"/>
    </row>
    <row r="348" spans="2:2">
      <c r="B348" s="2"/>
    </row>
    <row r="349" spans="2:2">
      <c r="B349" s="2"/>
    </row>
    <row r="350" spans="2:2">
      <c r="B350" s="2"/>
    </row>
    <row r="351" spans="2:2">
      <c r="B351" s="2"/>
    </row>
    <row r="352" spans="2:2">
      <c r="B352" s="2"/>
    </row>
    <row r="353" spans="2:2">
      <c r="B353" s="2"/>
    </row>
    <row r="354" spans="2:2">
      <c r="B354" s="2"/>
    </row>
    <row r="355" spans="2:2">
      <c r="B355" s="2"/>
    </row>
    <row r="356" spans="2:2">
      <c r="B356" s="2"/>
    </row>
    <row r="357" spans="2:2">
      <c r="B357" s="2"/>
    </row>
    <row r="358" spans="2:2">
      <c r="B358" s="2"/>
    </row>
    <row r="359" spans="2:2">
      <c r="B359" s="2"/>
    </row>
    <row r="360" spans="2:2">
      <c r="B360" s="2"/>
    </row>
    <row r="361" spans="2:2">
      <c r="B361" s="2"/>
    </row>
    <row r="362" spans="2:2">
      <c r="B362" s="2"/>
    </row>
    <row r="363" spans="2:2">
      <c r="B363" s="2"/>
    </row>
    <row r="364" spans="2:2">
      <c r="B364" s="2"/>
    </row>
    <row r="365" spans="2:2">
      <c r="B365" s="2"/>
    </row>
    <row r="366" spans="2:2">
      <c r="B366" s="2"/>
    </row>
    <row r="367" spans="2:2">
      <c r="B367" s="2"/>
    </row>
    <row r="368" spans="2:2">
      <c r="B368" s="2"/>
    </row>
    <row r="369" spans="2:2">
      <c r="B369" s="2"/>
    </row>
    <row r="370" spans="2:2">
      <c r="B370" s="2"/>
    </row>
    <row r="371" spans="2:2">
      <c r="B371" s="2"/>
    </row>
    <row r="372" spans="2:2">
      <c r="B372" s="2"/>
    </row>
    <row r="373" spans="2:2">
      <c r="B373" s="2"/>
    </row>
    <row r="374" spans="2:2">
      <c r="B374" s="2"/>
    </row>
    <row r="375" spans="2:2">
      <c r="B375" s="2"/>
    </row>
    <row r="376" spans="2:2">
      <c r="B376" s="2"/>
    </row>
    <row r="377" spans="2:2">
      <c r="B377" s="2"/>
    </row>
    <row r="378" spans="2:2">
      <c r="B378" s="2"/>
    </row>
    <row r="379" spans="2:2">
      <c r="B379" s="2"/>
    </row>
    <row r="380" spans="2:2">
      <c r="B380" s="2"/>
    </row>
    <row r="381" spans="2:2">
      <c r="B381" s="2"/>
    </row>
    <row r="382" spans="2:2">
      <c r="B382" s="2"/>
    </row>
    <row r="383" spans="2:2">
      <c r="B383" s="2"/>
    </row>
    <row r="384" spans="2:2">
      <c r="B384" s="2"/>
    </row>
    <row r="385" spans="2:2">
      <c r="B385" s="2"/>
    </row>
    <row r="386" spans="2:2">
      <c r="B386" s="2"/>
    </row>
    <row r="387" spans="2:2">
      <c r="B387" s="2"/>
    </row>
    <row r="388" spans="2:2">
      <c r="B388" s="2"/>
    </row>
    <row r="389" spans="2:2">
      <c r="B389" s="2"/>
    </row>
    <row r="390" spans="2:2">
      <c r="B390" s="2"/>
    </row>
    <row r="391" spans="2:2">
      <c r="B391" s="2"/>
    </row>
    <row r="392" spans="2:2">
      <c r="B392" s="2"/>
    </row>
    <row r="393" spans="2:2">
      <c r="B393" s="2"/>
    </row>
    <row r="394" spans="2:2">
      <c r="B394" s="2"/>
    </row>
    <row r="395" spans="2:2">
      <c r="B395" s="2"/>
    </row>
    <row r="396" spans="2:2">
      <c r="B396" s="2"/>
    </row>
    <row r="397" spans="2:2">
      <c r="B397" s="2"/>
    </row>
    <row r="398" spans="2:2">
      <c r="B398" s="2"/>
    </row>
    <row r="399" spans="2:2">
      <c r="B399" s="2"/>
    </row>
    <row r="400" spans="2:2">
      <c r="B400" s="2"/>
    </row>
    <row r="401" spans="2:2">
      <c r="B401" s="2"/>
    </row>
    <row r="402" spans="2:2">
      <c r="B402" s="2"/>
    </row>
    <row r="403" spans="2:2">
      <c r="B403" s="2"/>
    </row>
    <row r="404" spans="2:2">
      <c r="B404" s="2"/>
    </row>
    <row r="405" spans="2:2">
      <c r="B405" s="2"/>
    </row>
    <row r="406" spans="2:2">
      <c r="B406" s="2"/>
    </row>
    <row r="407" spans="2:2">
      <c r="B407" s="2"/>
    </row>
    <row r="408" spans="2:2">
      <c r="B408" s="2"/>
    </row>
    <row r="409" spans="2:2">
      <c r="B409" s="2"/>
    </row>
    <row r="410" spans="2:2">
      <c r="B410" s="2"/>
    </row>
    <row r="411" spans="2:2">
      <c r="B411" s="2"/>
    </row>
    <row r="412" spans="2:2">
      <c r="B412" s="2"/>
    </row>
    <row r="413" spans="2:2">
      <c r="B413" s="2"/>
    </row>
    <row r="414" spans="2:2">
      <c r="B414" s="2"/>
    </row>
    <row r="415" spans="2:2">
      <c r="B415" s="2"/>
    </row>
    <row r="416" spans="2:2">
      <c r="B416" s="2"/>
    </row>
    <row r="417" spans="2:2">
      <c r="B417" s="2"/>
    </row>
    <row r="418" spans="2:2">
      <c r="B418" s="2"/>
    </row>
    <row r="419" spans="2:2">
      <c r="B419" s="2"/>
    </row>
    <row r="420" spans="2:2">
      <c r="B420" s="2"/>
    </row>
    <row r="421" spans="2:2">
      <c r="B421" s="2"/>
    </row>
    <row r="422" spans="2:2">
      <c r="B422" s="2"/>
    </row>
    <row r="423" spans="2:2">
      <c r="B423" s="2"/>
    </row>
    <row r="424" spans="2:2">
      <c r="B424" s="2"/>
    </row>
    <row r="425" spans="2:2">
      <c r="B425" s="2"/>
    </row>
    <row r="426" spans="2:2">
      <c r="B426" s="2"/>
    </row>
    <row r="427" spans="2:2">
      <c r="B427" s="2"/>
    </row>
    <row r="428" spans="2:2">
      <c r="B428" s="2"/>
    </row>
    <row r="429" spans="2:2">
      <c r="B429" s="2"/>
    </row>
    <row r="430" spans="2:2">
      <c r="B430" s="2"/>
    </row>
    <row r="431" spans="2:2">
      <c r="B431" s="2"/>
    </row>
    <row r="432" spans="2:2">
      <c r="B432" s="2"/>
    </row>
    <row r="433" spans="2:2">
      <c r="B433" s="2"/>
    </row>
    <row r="434" spans="2:2">
      <c r="B434" s="2"/>
    </row>
    <row r="435" spans="2:2">
      <c r="B435" s="2"/>
    </row>
    <row r="436" spans="2:2">
      <c r="B436" s="2"/>
    </row>
    <row r="437" spans="2:2">
      <c r="B437" s="2"/>
    </row>
    <row r="438" spans="2:2">
      <c r="B438" s="2"/>
    </row>
    <row r="439" spans="2:2">
      <c r="B439" s="2"/>
    </row>
    <row r="440" spans="2:2">
      <c r="B440" s="2"/>
    </row>
    <row r="441" spans="2:2">
      <c r="B441" s="2"/>
    </row>
    <row r="442" spans="2:2">
      <c r="B442" s="2"/>
    </row>
    <row r="443" spans="2:2">
      <c r="B443" s="2"/>
    </row>
    <row r="444" spans="2:2">
      <c r="B444" s="2"/>
    </row>
    <row r="445" spans="2:2">
      <c r="B445" s="2"/>
    </row>
    <row r="446" spans="2:2">
      <c r="B446" s="2"/>
    </row>
    <row r="447" spans="2:2">
      <c r="B447" s="2"/>
    </row>
    <row r="448" spans="2:2">
      <c r="B448" s="2"/>
    </row>
    <row r="449" spans="2:2">
      <c r="B449" s="2"/>
    </row>
    <row r="450" spans="2:2">
      <c r="B450" s="2"/>
    </row>
    <row r="451" spans="2:2">
      <c r="B451" s="2"/>
    </row>
    <row r="452" spans="2:2">
      <c r="B452" s="2"/>
    </row>
    <row r="453" spans="2:2">
      <c r="B453" s="2"/>
    </row>
    <row r="454" spans="2:2">
      <c r="B454" s="2"/>
    </row>
    <row r="455" spans="2:2">
      <c r="B455" s="2"/>
    </row>
    <row r="456" spans="2:2">
      <c r="B456" s="2"/>
    </row>
    <row r="457" spans="2:2">
      <c r="B457" s="2"/>
    </row>
    <row r="458" spans="2:2">
      <c r="B458" s="2"/>
    </row>
    <row r="459" spans="2:2">
      <c r="B459" s="2"/>
    </row>
    <row r="460" spans="2:2">
      <c r="B460" s="2"/>
    </row>
    <row r="461" spans="2:2">
      <c r="B461" s="2"/>
    </row>
    <row r="462" spans="2:2">
      <c r="B462" s="2"/>
    </row>
    <row r="463" spans="2:2">
      <c r="B463" s="2"/>
    </row>
    <row r="464" spans="2:2">
      <c r="B464" s="2"/>
    </row>
    <row r="465" spans="2:2">
      <c r="B465" s="2"/>
    </row>
    <row r="466" spans="2:2">
      <c r="B466" s="2"/>
    </row>
    <row r="467" spans="2:2">
      <c r="B467" s="2"/>
    </row>
    <row r="468" spans="2:2">
      <c r="B468" s="2"/>
    </row>
    <row r="469" spans="2:2">
      <c r="B469" s="2"/>
    </row>
    <row r="470" spans="2:2">
      <c r="B470" s="2"/>
    </row>
    <row r="471" spans="2:2">
      <c r="B471" s="2"/>
    </row>
    <row r="472" spans="2:2">
      <c r="B472" s="2"/>
    </row>
    <row r="473" spans="2:2">
      <c r="B473" s="2"/>
    </row>
    <row r="474" spans="2:2">
      <c r="B474" s="2"/>
    </row>
    <row r="475" spans="2:2">
      <c r="B475" s="2"/>
    </row>
    <row r="476" spans="2:2">
      <c r="B476" s="2"/>
    </row>
    <row r="477" spans="2:2">
      <c r="B477" s="2"/>
    </row>
    <row r="478" spans="2:2">
      <c r="B478" s="2"/>
    </row>
    <row r="479" spans="2:2">
      <c r="B479" s="2"/>
    </row>
    <row r="480" spans="2:2">
      <c r="B480" s="2"/>
    </row>
    <row r="481" spans="2:2">
      <c r="B481" s="2"/>
    </row>
    <row r="482" spans="2:2">
      <c r="B482" s="2"/>
    </row>
    <row r="483" spans="2:2">
      <c r="B483" s="2"/>
    </row>
    <row r="484" spans="2:2">
      <c r="B484" s="2"/>
    </row>
    <row r="485" spans="2:2">
      <c r="B485" s="2"/>
    </row>
    <row r="486" spans="2:2">
      <c r="B486" s="2"/>
    </row>
    <row r="487" spans="2:2">
      <c r="B487" s="2"/>
    </row>
    <row r="488" spans="2:2">
      <c r="B488" s="2"/>
    </row>
    <row r="489" spans="2:2">
      <c r="B489" s="2"/>
    </row>
    <row r="490" spans="2:2">
      <c r="B490" s="2"/>
    </row>
    <row r="491" spans="2:2">
      <c r="B491" s="2"/>
    </row>
    <row r="492" spans="2:2">
      <c r="B492" s="2"/>
    </row>
    <row r="493" spans="2:2">
      <c r="B493" s="2"/>
    </row>
    <row r="494" spans="2:2">
      <c r="B494" s="2"/>
    </row>
    <row r="495" spans="2:2">
      <c r="B495" s="2"/>
    </row>
    <row r="496" spans="2:2">
      <c r="B496" s="2"/>
    </row>
    <row r="497" spans="2:2">
      <c r="B497" s="2"/>
    </row>
  </sheetData>
  <mergeCells count="1">
    <mergeCell ref="B5:I5"/>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40963" r:id="rId3" name="Button 3">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40964"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40965"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40966"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5" enableFormatConditionsCalculation="0"/>
  <dimension ref="A1:N500"/>
  <sheetViews>
    <sheetView workbookViewId="0"/>
  </sheetViews>
  <sheetFormatPr baseColWidth="10" defaultColWidth="8.83203125" defaultRowHeight="12" x14ac:dyDescent="0"/>
  <cols>
    <col min="2" max="2" width="13.33203125" customWidth="1"/>
    <col min="4" max="4" width="12.1640625" customWidth="1"/>
    <col min="5" max="5" width="11" customWidth="1"/>
    <col min="6" max="7" width="12.1640625" customWidth="1"/>
  </cols>
  <sheetData>
    <row r="1" spans="1:14">
      <c r="A1" s="21"/>
      <c r="B1" s="21"/>
      <c r="C1" s="21" t="s">
        <v>846</v>
      </c>
      <c r="D1" s="21"/>
      <c r="E1" s="21"/>
      <c r="F1" s="21"/>
      <c r="G1" s="21"/>
      <c r="H1" s="30"/>
    </row>
    <row r="2" spans="1:14" ht="21" customHeight="1">
      <c r="A2" s="21"/>
      <c r="B2" s="21"/>
      <c r="C2" s="21"/>
      <c r="D2" s="374"/>
      <c r="E2" s="374"/>
      <c r="F2" s="374"/>
      <c r="G2" s="374"/>
      <c r="H2" s="372"/>
      <c r="I2" s="372"/>
      <c r="J2" s="372"/>
      <c r="K2" s="372"/>
      <c r="L2" s="372"/>
      <c r="M2" s="372"/>
      <c r="N2" s="372"/>
    </row>
    <row r="3" spans="1:14">
      <c r="A3" s="19" t="s">
        <v>1045</v>
      </c>
      <c r="B3" s="20" t="s">
        <v>128</v>
      </c>
      <c r="C3" s="21"/>
      <c r="D3" s="21"/>
      <c r="E3" s="21"/>
      <c r="F3" s="21"/>
      <c r="G3" s="21"/>
    </row>
    <row r="4" spans="1:14">
      <c r="A4" s="19" t="s">
        <v>774</v>
      </c>
      <c r="B4" s="20" t="s">
        <v>129</v>
      </c>
      <c r="C4" s="21"/>
      <c r="D4" s="21"/>
      <c r="E4" s="21"/>
      <c r="F4" s="21"/>
      <c r="G4" s="21"/>
    </row>
    <row r="5" spans="1:14">
      <c r="A5" s="19" t="s">
        <v>779</v>
      </c>
      <c r="B5" s="187" t="s">
        <v>191</v>
      </c>
      <c r="C5" s="21"/>
      <c r="D5" s="21"/>
      <c r="E5" s="21"/>
      <c r="F5" s="21"/>
      <c r="G5" s="21"/>
    </row>
    <row r="6" spans="1:14" ht="14.25" customHeight="1">
      <c r="A6" s="21"/>
      <c r="B6" s="352" t="s">
        <v>190</v>
      </c>
      <c r="C6" s="21"/>
      <c r="D6" s="21"/>
      <c r="E6" s="21"/>
      <c r="F6" s="21"/>
      <c r="G6" s="21"/>
    </row>
    <row r="7" spans="1:14" ht="37.5" customHeight="1">
      <c r="A7" s="22"/>
      <c r="B7" s="22" t="s">
        <v>1090</v>
      </c>
      <c r="C7" s="22" t="s">
        <v>1098</v>
      </c>
      <c r="D7" s="198" t="s">
        <v>772</v>
      </c>
      <c r="E7" s="198"/>
      <c r="F7" s="198"/>
      <c r="G7" s="198"/>
    </row>
    <row r="8" spans="1:14">
      <c r="A8" s="103">
        <v>1</v>
      </c>
      <c r="B8" s="109">
        <v>35664</v>
      </c>
      <c r="C8" s="112">
        <v>25</v>
      </c>
      <c r="D8" s="92"/>
      <c r="E8" s="92"/>
      <c r="F8" s="92"/>
      <c r="G8" s="92"/>
    </row>
    <row r="9" spans="1:14">
      <c r="A9" s="103">
        <v>2</v>
      </c>
      <c r="B9" s="109">
        <v>35667</v>
      </c>
      <c r="C9" s="112">
        <v>24.875</v>
      </c>
      <c r="D9" s="92"/>
      <c r="E9" s="92"/>
      <c r="F9" s="92"/>
      <c r="G9" s="92"/>
    </row>
    <row r="10" spans="1:14">
      <c r="A10" s="104">
        <v>3</v>
      </c>
      <c r="B10" s="110">
        <v>35668</v>
      </c>
      <c r="C10" s="111">
        <v>24.781300000000002</v>
      </c>
      <c r="D10" s="93"/>
      <c r="E10" s="93"/>
      <c r="F10" s="93"/>
      <c r="G10" s="93"/>
    </row>
    <row r="11" spans="1:14">
      <c r="A11" s="104">
        <v>4</v>
      </c>
      <c r="B11" s="110">
        <v>35669</v>
      </c>
      <c r="C11" s="111">
        <v>24.593800000000002</v>
      </c>
      <c r="D11" s="93"/>
      <c r="E11" s="93"/>
      <c r="F11" s="93"/>
      <c r="G11" s="93"/>
    </row>
    <row r="12" spans="1:14">
      <c r="A12" s="103">
        <v>5</v>
      </c>
      <c r="B12" s="109">
        <v>35670</v>
      </c>
      <c r="C12" s="112">
        <v>24.5</v>
      </c>
      <c r="D12" s="112">
        <f t="shared" ref="D12:D63" si="0">FORECAST(A13,C8:C12,A8:A12)</f>
        <v>24.365660000000002</v>
      </c>
      <c r="E12" s="112"/>
      <c r="F12" s="112"/>
      <c r="G12" s="112"/>
    </row>
    <row r="13" spans="1:14">
      <c r="A13" s="103">
        <v>6</v>
      </c>
      <c r="B13" s="109">
        <v>35671</v>
      </c>
      <c r="C13" s="112">
        <v>24.625</v>
      </c>
      <c r="D13" s="112">
        <f t="shared" si="0"/>
        <v>24.440629999999999</v>
      </c>
      <c r="E13" s="112"/>
      <c r="F13" s="112"/>
      <c r="G13" s="112"/>
    </row>
    <row r="14" spans="1:14">
      <c r="A14" s="104">
        <v>7</v>
      </c>
      <c r="B14" s="110">
        <v>35675</v>
      </c>
      <c r="C14" s="111">
        <v>25.218800000000002</v>
      </c>
      <c r="D14" s="111">
        <f t="shared" si="0"/>
        <v>25.015640000000001</v>
      </c>
      <c r="E14" s="111"/>
      <c r="F14" s="111"/>
      <c r="G14" s="111"/>
    </row>
    <row r="15" spans="1:14">
      <c r="A15" s="104">
        <v>8</v>
      </c>
      <c r="B15" s="110">
        <v>35676</v>
      </c>
      <c r="C15" s="111">
        <v>27.25</v>
      </c>
      <c r="D15" s="111">
        <f t="shared" si="0"/>
        <v>27.046879999999998</v>
      </c>
      <c r="E15" s="111"/>
      <c r="F15" s="111"/>
      <c r="G15" s="111"/>
    </row>
    <row r="16" spans="1:14">
      <c r="A16" s="103">
        <v>9</v>
      </c>
      <c r="B16" s="109">
        <v>35677</v>
      </c>
      <c r="C16" s="112">
        <v>26.25</v>
      </c>
      <c r="D16" s="112">
        <f t="shared" si="0"/>
        <v>27.40626</v>
      </c>
      <c r="E16" s="112"/>
      <c r="F16" s="112"/>
      <c r="G16" s="112"/>
    </row>
    <row r="17" spans="1:7">
      <c r="A17" s="103">
        <v>10</v>
      </c>
      <c r="B17" s="109">
        <v>35678</v>
      </c>
      <c r="C17" s="112">
        <v>26.593800000000002</v>
      </c>
      <c r="D17" s="112">
        <f t="shared" si="0"/>
        <v>27.478160000000003</v>
      </c>
      <c r="E17" s="112"/>
      <c r="F17" s="112"/>
      <c r="G17" s="112"/>
    </row>
    <row r="18" spans="1:7">
      <c r="A18" s="104">
        <v>11</v>
      </c>
      <c r="B18" s="110">
        <v>35681</v>
      </c>
      <c r="C18" s="111">
        <v>27.593800000000002</v>
      </c>
      <c r="D18" s="111">
        <f t="shared" si="0"/>
        <v>27.809420000000003</v>
      </c>
      <c r="E18" s="111"/>
      <c r="F18" s="111"/>
      <c r="G18" s="111"/>
    </row>
    <row r="19" spans="1:7">
      <c r="A19" s="104">
        <v>12</v>
      </c>
      <c r="B19" s="110">
        <v>35682</v>
      </c>
      <c r="C19" s="111">
        <v>27.875</v>
      </c>
      <c r="D19" s="111">
        <f t="shared" si="0"/>
        <v>27.89066</v>
      </c>
      <c r="E19" s="111"/>
      <c r="F19" s="111"/>
      <c r="G19" s="111"/>
    </row>
    <row r="20" spans="1:7">
      <c r="A20" s="103">
        <v>13</v>
      </c>
      <c r="B20" s="109">
        <v>35683</v>
      </c>
      <c r="C20" s="112">
        <v>27.531300000000002</v>
      </c>
      <c r="D20" s="112">
        <f t="shared" si="0"/>
        <v>28.321920000000006</v>
      </c>
      <c r="E20" s="112"/>
      <c r="F20" s="112"/>
      <c r="G20" s="112"/>
    </row>
    <row r="21" spans="1:7">
      <c r="A21" s="103">
        <v>14</v>
      </c>
      <c r="B21" s="109">
        <v>35684</v>
      </c>
      <c r="C21" s="112">
        <v>27.218800000000002</v>
      </c>
      <c r="D21" s="112">
        <f t="shared" si="0"/>
        <v>27.718790000000002</v>
      </c>
      <c r="E21" s="112"/>
      <c r="F21" s="112"/>
      <c r="G21" s="112"/>
    </row>
    <row r="22" spans="1:7">
      <c r="A22" s="104">
        <v>15</v>
      </c>
      <c r="B22" s="110">
        <v>35685</v>
      </c>
      <c r="C22" s="111">
        <v>26.968800000000002</v>
      </c>
      <c r="D22" s="111">
        <f t="shared" si="0"/>
        <v>26.865680000000005</v>
      </c>
      <c r="E22" s="111"/>
      <c r="F22" s="111"/>
      <c r="G22" s="111"/>
    </row>
    <row r="23" spans="1:7">
      <c r="A23" s="104">
        <v>16</v>
      </c>
      <c r="B23" s="110">
        <v>35688</v>
      </c>
      <c r="C23" s="111">
        <v>26.75</v>
      </c>
      <c r="D23" s="111">
        <f t="shared" si="0"/>
        <v>26.425030000000003</v>
      </c>
      <c r="E23" s="111"/>
      <c r="F23" s="111"/>
      <c r="G23" s="111"/>
    </row>
    <row r="24" spans="1:7">
      <c r="A24" s="103">
        <v>17</v>
      </c>
      <c r="B24" s="109">
        <v>35689</v>
      </c>
      <c r="C24" s="112">
        <v>27.468800000000002</v>
      </c>
      <c r="D24" s="112">
        <f t="shared" si="0"/>
        <v>27.009400000000003</v>
      </c>
      <c r="E24" s="112"/>
      <c r="F24" s="112"/>
      <c r="G24" s="112"/>
    </row>
    <row r="25" spans="1:7">
      <c r="A25" s="103">
        <v>18</v>
      </c>
      <c r="B25" s="109">
        <v>35690</v>
      </c>
      <c r="C25" s="112">
        <v>27.3125</v>
      </c>
      <c r="D25" s="112">
        <f t="shared" si="0"/>
        <v>27.350000000000005</v>
      </c>
      <c r="E25" s="112"/>
      <c r="F25" s="112"/>
      <c r="G25" s="112"/>
    </row>
    <row r="26" spans="1:7">
      <c r="A26" s="104">
        <v>19</v>
      </c>
      <c r="B26" s="110">
        <v>35691</v>
      </c>
      <c r="C26" s="111">
        <v>27.5</v>
      </c>
      <c r="D26" s="111">
        <f t="shared" si="0"/>
        <v>27.68749</v>
      </c>
      <c r="E26" s="111"/>
      <c r="F26" s="111"/>
      <c r="G26" s="111"/>
    </row>
    <row r="27" spans="1:7">
      <c r="A27" s="104">
        <v>20</v>
      </c>
      <c r="B27" s="110">
        <v>35692</v>
      </c>
      <c r="C27" s="111">
        <v>27.5</v>
      </c>
      <c r="D27" s="111">
        <f t="shared" si="0"/>
        <v>27.765619999999998</v>
      </c>
      <c r="E27" s="111"/>
      <c r="F27" s="111"/>
      <c r="G27" s="111"/>
    </row>
    <row r="28" spans="1:7">
      <c r="A28" s="103">
        <v>21</v>
      </c>
      <c r="B28" s="109">
        <v>35695</v>
      </c>
      <c r="C28" s="112">
        <v>26.75</v>
      </c>
      <c r="D28" s="112">
        <f t="shared" si="0"/>
        <v>26.931229999999999</v>
      </c>
      <c r="E28" s="112"/>
      <c r="F28" s="112"/>
      <c r="G28" s="112"/>
    </row>
    <row r="29" spans="1:7">
      <c r="A29" s="103">
        <v>22</v>
      </c>
      <c r="B29" s="109">
        <v>35696</v>
      </c>
      <c r="C29" s="112">
        <v>27.0625</v>
      </c>
      <c r="D29" s="112">
        <f t="shared" si="0"/>
        <v>26.85</v>
      </c>
      <c r="E29" s="112"/>
      <c r="F29" s="112"/>
      <c r="G29" s="112"/>
    </row>
    <row r="30" spans="1:7">
      <c r="A30" s="104">
        <v>23</v>
      </c>
      <c r="B30" s="110">
        <v>35697</v>
      </c>
      <c r="C30" s="111">
        <v>28.656300000000002</v>
      </c>
      <c r="D30" s="111">
        <f t="shared" si="0"/>
        <v>28.056290000000001</v>
      </c>
      <c r="E30" s="111"/>
      <c r="F30" s="111"/>
      <c r="G30" s="111"/>
    </row>
    <row r="31" spans="1:7">
      <c r="A31" s="104">
        <v>24</v>
      </c>
      <c r="B31" s="110">
        <v>35698</v>
      </c>
      <c r="C31" s="111">
        <v>28.093800000000002</v>
      </c>
      <c r="D31" s="111">
        <f t="shared" si="0"/>
        <v>28.540690000000001</v>
      </c>
      <c r="E31" s="111"/>
      <c r="F31" s="111"/>
      <c r="G31" s="111"/>
    </row>
    <row r="32" spans="1:7">
      <c r="A32" s="103">
        <v>25</v>
      </c>
      <c r="B32" s="109">
        <v>35699</v>
      </c>
      <c r="C32" s="112">
        <v>28.8125</v>
      </c>
      <c r="D32" s="112">
        <f t="shared" si="0"/>
        <v>29.421910000000004</v>
      </c>
      <c r="E32" s="112"/>
      <c r="F32" s="112"/>
      <c r="G32" s="112"/>
    </row>
    <row r="33" spans="1:7">
      <c r="A33" s="103">
        <v>26</v>
      </c>
      <c r="B33" s="109">
        <v>35702</v>
      </c>
      <c r="C33" s="112">
        <v>29.781300000000002</v>
      </c>
      <c r="D33" s="112">
        <f t="shared" si="0"/>
        <v>30.159420000000004</v>
      </c>
      <c r="E33" s="112"/>
      <c r="F33" s="112"/>
      <c r="G33" s="112"/>
    </row>
    <row r="34" spans="1:7">
      <c r="A34" s="104">
        <v>27</v>
      </c>
      <c r="B34" s="110">
        <v>35703</v>
      </c>
      <c r="C34" s="111">
        <v>30.281300000000002</v>
      </c>
      <c r="D34" s="111">
        <f t="shared" si="0"/>
        <v>30.606290000000001</v>
      </c>
      <c r="E34" s="111"/>
      <c r="F34" s="111"/>
      <c r="G34" s="111"/>
    </row>
    <row r="35" spans="1:7">
      <c r="A35" s="104">
        <v>28</v>
      </c>
      <c r="B35" s="110">
        <v>35704</v>
      </c>
      <c r="C35" s="111">
        <v>31.281300000000002</v>
      </c>
      <c r="D35" s="111">
        <f t="shared" si="0"/>
        <v>32.00318</v>
      </c>
      <c r="E35" s="111"/>
      <c r="F35" s="111"/>
      <c r="G35" s="111"/>
    </row>
    <row r="36" spans="1:7">
      <c r="A36" s="103">
        <v>29</v>
      </c>
      <c r="B36" s="109">
        <v>35705</v>
      </c>
      <c r="C36" s="112">
        <v>31.593800000000002</v>
      </c>
      <c r="D36" s="112">
        <f t="shared" si="0"/>
        <v>32.468820000000001</v>
      </c>
      <c r="E36" s="112"/>
      <c r="F36" s="112"/>
      <c r="G36" s="112"/>
    </row>
    <row r="37" spans="1:7">
      <c r="A37" s="103">
        <v>30</v>
      </c>
      <c r="B37" s="109">
        <v>35706</v>
      </c>
      <c r="C37" s="112">
        <v>31.875</v>
      </c>
      <c r="D37" s="112">
        <f t="shared" si="0"/>
        <v>32.61251</v>
      </c>
      <c r="E37" s="112"/>
      <c r="F37" s="112"/>
      <c r="G37" s="112"/>
    </row>
    <row r="38" spans="1:7">
      <c r="A38" s="104">
        <v>31</v>
      </c>
      <c r="B38" s="110">
        <v>35709</v>
      </c>
      <c r="C38" s="111">
        <v>32.593800000000002</v>
      </c>
      <c r="D38" s="111">
        <f t="shared" si="0"/>
        <v>33.090649999999997</v>
      </c>
      <c r="E38" s="111"/>
      <c r="F38" s="111"/>
      <c r="G38" s="111"/>
    </row>
    <row r="39" spans="1:7">
      <c r="A39" s="104">
        <v>32</v>
      </c>
      <c r="B39" s="110">
        <v>35710</v>
      </c>
      <c r="C39" s="111">
        <v>33.5</v>
      </c>
      <c r="D39" s="111">
        <f t="shared" si="0"/>
        <v>33.800000000000004</v>
      </c>
      <c r="E39" s="111"/>
      <c r="F39" s="111"/>
      <c r="G39" s="111"/>
    </row>
    <row r="40" spans="1:7">
      <c r="A40" s="103">
        <v>33</v>
      </c>
      <c r="B40" s="109">
        <v>35711</v>
      </c>
      <c r="C40" s="112">
        <v>33.75</v>
      </c>
      <c r="D40" s="112">
        <f t="shared" si="0"/>
        <v>34.443740000000005</v>
      </c>
      <c r="E40" s="112"/>
      <c r="F40" s="112"/>
      <c r="G40" s="112"/>
    </row>
    <row r="41" spans="1:7">
      <c r="A41" s="103">
        <v>34</v>
      </c>
      <c r="B41" s="109">
        <v>35712</v>
      </c>
      <c r="C41" s="112">
        <v>33.218800000000002</v>
      </c>
      <c r="D41" s="112">
        <f t="shared" si="0"/>
        <v>34.140659999999997</v>
      </c>
      <c r="E41" s="112"/>
      <c r="F41" s="112"/>
      <c r="G41" s="112"/>
    </row>
    <row r="42" spans="1:7">
      <c r="A42" s="104">
        <v>35</v>
      </c>
      <c r="B42" s="110">
        <v>35713</v>
      </c>
      <c r="C42" s="111">
        <v>32.9375</v>
      </c>
      <c r="D42" s="111">
        <f t="shared" si="0"/>
        <v>33.32188</v>
      </c>
      <c r="E42" s="111"/>
      <c r="F42" s="111"/>
      <c r="G42" s="111"/>
    </row>
    <row r="43" spans="1:7">
      <c r="A43" s="104">
        <v>36</v>
      </c>
      <c r="B43" s="110">
        <v>35716</v>
      </c>
      <c r="C43" s="111">
        <v>33.4375</v>
      </c>
      <c r="D43" s="111">
        <f t="shared" si="0"/>
        <v>33.087509999999995</v>
      </c>
      <c r="E43" s="111"/>
      <c r="F43" s="111"/>
      <c r="G43" s="111"/>
    </row>
    <row r="44" spans="1:7">
      <c r="A44" s="103">
        <v>37</v>
      </c>
      <c r="B44" s="109">
        <v>35717</v>
      </c>
      <c r="C44" s="112">
        <v>33.906300000000002</v>
      </c>
      <c r="D44" s="112">
        <f t="shared" si="0"/>
        <v>33.609409999999997</v>
      </c>
      <c r="E44" s="112"/>
      <c r="F44" s="112"/>
      <c r="G44" s="112"/>
    </row>
    <row r="45" spans="1:7">
      <c r="A45" s="103">
        <v>38</v>
      </c>
      <c r="B45" s="109">
        <v>35718</v>
      </c>
      <c r="C45" s="112">
        <v>33.968800000000002</v>
      </c>
      <c r="D45" s="112">
        <f t="shared" si="0"/>
        <v>34.23442</v>
      </c>
      <c r="E45" s="112"/>
      <c r="F45" s="112"/>
      <c r="G45" s="112"/>
    </row>
    <row r="46" spans="1:7">
      <c r="A46" s="104">
        <v>39</v>
      </c>
      <c r="B46" s="110">
        <v>35719</v>
      </c>
      <c r="C46" s="111">
        <v>33.3125</v>
      </c>
      <c r="D46" s="111">
        <f t="shared" si="0"/>
        <v>33.896910000000005</v>
      </c>
      <c r="E46" s="111"/>
      <c r="F46" s="111"/>
      <c r="G46" s="111"/>
    </row>
    <row r="47" spans="1:7">
      <c r="A47" s="104">
        <v>40</v>
      </c>
      <c r="B47" s="110">
        <v>35720</v>
      </c>
      <c r="C47" s="111">
        <v>31.6875</v>
      </c>
      <c r="D47" s="111">
        <f t="shared" si="0"/>
        <v>32.034379999999999</v>
      </c>
      <c r="E47" s="111"/>
      <c r="F47" s="111"/>
      <c r="G47" s="111"/>
    </row>
    <row r="48" spans="1:7">
      <c r="A48" s="103">
        <v>41</v>
      </c>
      <c r="B48" s="109">
        <v>35723</v>
      </c>
      <c r="C48" s="112">
        <v>31.75</v>
      </c>
      <c r="D48" s="112">
        <f t="shared" si="0"/>
        <v>30.946850000000001</v>
      </c>
      <c r="E48" s="112"/>
      <c r="F48" s="112"/>
      <c r="G48" s="112"/>
    </row>
    <row r="49" spans="1:7">
      <c r="A49" s="103">
        <v>42</v>
      </c>
      <c r="B49" s="109">
        <v>35724</v>
      </c>
      <c r="C49" s="112">
        <v>33.25</v>
      </c>
      <c r="D49" s="112">
        <f t="shared" si="0"/>
        <v>31.893729999999998</v>
      </c>
      <c r="E49" s="112"/>
      <c r="F49" s="112"/>
      <c r="G49" s="112"/>
    </row>
    <row r="50" spans="1:7">
      <c r="A50" s="104">
        <v>43</v>
      </c>
      <c r="B50" s="110">
        <v>35725</v>
      </c>
      <c r="C50" s="111">
        <v>32.906300000000002</v>
      </c>
      <c r="D50" s="111">
        <f t="shared" si="0"/>
        <v>32.806290000000004</v>
      </c>
      <c r="E50" s="111"/>
      <c r="F50" s="111"/>
      <c r="G50" s="111"/>
    </row>
    <row r="51" spans="1:7">
      <c r="A51" s="104">
        <v>44</v>
      </c>
      <c r="B51" s="110">
        <v>35726</v>
      </c>
      <c r="C51" s="111">
        <v>31.6875</v>
      </c>
      <c r="D51" s="111">
        <f t="shared" si="0"/>
        <v>32.603149999999999</v>
      </c>
      <c r="E51" s="111"/>
      <c r="F51" s="111"/>
      <c r="G51" s="111"/>
    </row>
    <row r="52" spans="1:7">
      <c r="A52" s="103">
        <v>45</v>
      </c>
      <c r="B52" s="109">
        <v>35727</v>
      </c>
      <c r="C52" s="112">
        <v>31.406300000000002</v>
      </c>
      <c r="D52" s="112">
        <f t="shared" si="0"/>
        <v>31.52505</v>
      </c>
      <c r="E52" s="112"/>
      <c r="F52" s="112"/>
      <c r="G52" s="112"/>
    </row>
    <row r="53" spans="1:7">
      <c r="A53" s="103">
        <v>46</v>
      </c>
      <c r="B53" s="109">
        <v>35730</v>
      </c>
      <c r="C53" s="112">
        <v>27.968800000000002</v>
      </c>
      <c r="D53" s="112">
        <f t="shared" si="0"/>
        <v>27.825060000000008</v>
      </c>
      <c r="E53" s="112"/>
      <c r="F53" s="112"/>
      <c r="G53" s="112"/>
    </row>
    <row r="54" spans="1:7">
      <c r="A54" s="104">
        <v>47</v>
      </c>
      <c r="B54" s="110">
        <v>35731</v>
      </c>
      <c r="C54" s="111">
        <v>29.531300000000002</v>
      </c>
      <c r="D54" s="111">
        <f t="shared" si="0"/>
        <v>27.559429999999999</v>
      </c>
      <c r="E54" s="111"/>
      <c r="F54" s="111"/>
      <c r="G54" s="111"/>
    </row>
    <row r="55" spans="1:7">
      <c r="A55" s="104">
        <v>48</v>
      </c>
      <c r="B55" s="110">
        <v>35732</v>
      </c>
      <c r="C55" s="111">
        <v>30.5</v>
      </c>
      <c r="D55" s="111">
        <f t="shared" si="0"/>
        <v>28.943780000000007</v>
      </c>
      <c r="E55" s="111"/>
      <c r="F55" s="111"/>
      <c r="G55" s="111"/>
    </row>
    <row r="56" spans="1:7">
      <c r="A56" s="103">
        <v>49</v>
      </c>
      <c r="B56" s="109">
        <v>35733</v>
      </c>
      <c r="C56" s="112">
        <v>31.5</v>
      </c>
      <c r="D56" s="112">
        <f t="shared" si="0"/>
        <v>30.996860000000005</v>
      </c>
      <c r="E56" s="112"/>
      <c r="F56" s="112"/>
      <c r="G56" s="112"/>
    </row>
    <row r="57" spans="1:7">
      <c r="A57" s="103">
        <v>50</v>
      </c>
      <c r="B57" s="109">
        <v>35734</v>
      </c>
      <c r="C57" s="112">
        <v>31.6875</v>
      </c>
      <c r="D57" s="112">
        <f t="shared" si="0"/>
        <v>33.059349999999995</v>
      </c>
      <c r="E57" s="112"/>
      <c r="F57" s="112"/>
      <c r="G57" s="112"/>
    </row>
    <row r="58" spans="1:7">
      <c r="A58" s="104">
        <v>51</v>
      </c>
      <c r="B58" s="110">
        <v>35737</v>
      </c>
      <c r="C58" s="111">
        <v>32.375</v>
      </c>
      <c r="D58" s="111">
        <f t="shared" si="0"/>
        <v>33.181229999999999</v>
      </c>
      <c r="E58" s="111"/>
      <c r="F58" s="111"/>
      <c r="G58" s="111"/>
    </row>
    <row r="59" spans="1:7">
      <c r="A59" s="104">
        <v>52</v>
      </c>
      <c r="B59" s="110">
        <v>35738</v>
      </c>
      <c r="C59" s="111">
        <v>33.093800000000002</v>
      </c>
      <c r="D59" s="111">
        <f t="shared" si="0"/>
        <v>33.650040000000004</v>
      </c>
      <c r="E59" s="111"/>
      <c r="F59" s="111"/>
      <c r="G59" s="111"/>
    </row>
    <row r="60" spans="1:7">
      <c r="A60" s="103">
        <v>53</v>
      </c>
      <c r="B60" s="109">
        <v>35739</v>
      </c>
      <c r="C60" s="112">
        <v>34.093800000000002</v>
      </c>
      <c r="D60" s="112">
        <f t="shared" si="0"/>
        <v>34.528189999999995</v>
      </c>
      <c r="E60" s="112"/>
      <c r="F60" s="112"/>
      <c r="G60" s="112"/>
    </row>
    <row r="61" spans="1:7">
      <c r="A61" s="103">
        <v>54</v>
      </c>
      <c r="B61" s="109">
        <v>35740</v>
      </c>
      <c r="C61" s="112">
        <v>33.468800000000002</v>
      </c>
      <c r="D61" s="112">
        <f>FORECAST(A62,C57:C61,A57:A61)</f>
        <v>34.528200000000005</v>
      </c>
      <c r="E61" s="112"/>
      <c r="F61" s="112"/>
      <c r="G61" s="112"/>
    </row>
    <row r="62" spans="1:7">
      <c r="A62" s="71">
        <v>55</v>
      </c>
      <c r="B62" s="110">
        <v>35741</v>
      </c>
      <c r="C62" s="111">
        <v>32.968800000000002</v>
      </c>
      <c r="D62" s="111">
        <f t="shared" si="0"/>
        <v>33.668820000000004</v>
      </c>
      <c r="E62" s="111"/>
      <c r="F62" s="111"/>
      <c r="G62" s="111"/>
    </row>
    <row r="63" spans="1:7">
      <c r="A63" s="71">
        <v>56</v>
      </c>
      <c r="B63" s="110">
        <v>35744</v>
      </c>
      <c r="C63" s="111">
        <v>32.6875</v>
      </c>
      <c r="D63" s="111">
        <f t="shared" si="0"/>
        <v>32.681260000000002</v>
      </c>
      <c r="E63" s="111"/>
      <c r="F63" s="111"/>
      <c r="G63" s="111"/>
    </row>
    <row r="64" spans="1:7">
      <c r="A64">
        <v>57</v>
      </c>
      <c r="B64" s="2"/>
      <c r="C64" s="32"/>
      <c r="D64" s="9"/>
      <c r="E64" s="9"/>
      <c r="F64" s="9"/>
      <c r="G64" s="9"/>
    </row>
    <row r="65" spans="2:7">
      <c r="B65" s="2"/>
      <c r="D65" s="9"/>
      <c r="E65" s="9"/>
      <c r="F65" s="9"/>
      <c r="G65" s="9"/>
    </row>
    <row r="66" spans="2:7">
      <c r="B66" s="2"/>
      <c r="D66" s="9"/>
      <c r="E66" s="9"/>
      <c r="F66" s="9"/>
      <c r="G66" s="9"/>
    </row>
    <row r="67" spans="2:7">
      <c r="B67" s="2"/>
      <c r="D67" s="9"/>
      <c r="E67" s="9"/>
      <c r="F67" s="9"/>
      <c r="G67" s="9"/>
    </row>
    <row r="68" spans="2:7">
      <c r="B68" s="2"/>
      <c r="D68" s="9"/>
      <c r="E68" s="9"/>
      <c r="F68" s="9"/>
      <c r="G68" s="9"/>
    </row>
    <row r="69" spans="2:7">
      <c r="B69" s="2"/>
      <c r="D69" s="9"/>
      <c r="E69" s="9"/>
      <c r="F69" s="9"/>
      <c r="G69" s="9"/>
    </row>
    <row r="70" spans="2:7">
      <c r="B70" s="2"/>
      <c r="D70" s="9"/>
      <c r="E70" s="9"/>
      <c r="F70" s="9"/>
      <c r="G70" s="9"/>
    </row>
    <row r="71" spans="2:7">
      <c r="B71" s="2"/>
      <c r="D71" s="9"/>
      <c r="E71" s="9"/>
      <c r="F71" s="9"/>
      <c r="G71" s="9"/>
    </row>
    <row r="72" spans="2:7">
      <c r="B72" s="2"/>
      <c r="D72" s="9"/>
      <c r="E72" s="9"/>
      <c r="F72" s="9"/>
      <c r="G72" s="9"/>
    </row>
    <row r="73" spans="2:7">
      <c r="B73" s="2"/>
      <c r="D73" s="9"/>
      <c r="E73" s="9"/>
      <c r="F73" s="9"/>
      <c r="G73" s="9"/>
    </row>
    <row r="74" spans="2:7">
      <c r="B74" s="2"/>
      <c r="D74" s="9"/>
      <c r="E74" s="9"/>
      <c r="F74" s="9"/>
      <c r="G74" s="9"/>
    </row>
    <row r="75" spans="2:7">
      <c r="B75" s="2"/>
      <c r="D75" s="9"/>
      <c r="E75" s="9"/>
      <c r="F75" s="9"/>
      <c r="G75" s="9"/>
    </row>
    <row r="76" spans="2:7">
      <c r="B76" s="2"/>
      <c r="D76" s="9"/>
      <c r="E76" s="9"/>
      <c r="F76" s="9"/>
      <c r="G76" s="9"/>
    </row>
    <row r="77" spans="2:7">
      <c r="B77" s="2"/>
      <c r="D77" s="9"/>
      <c r="E77" s="9"/>
      <c r="F77" s="9"/>
      <c r="G77" s="9"/>
    </row>
    <row r="78" spans="2:7">
      <c r="B78" s="2"/>
      <c r="D78" s="9"/>
      <c r="E78" s="9"/>
      <c r="F78" s="9"/>
      <c r="G78" s="9"/>
    </row>
    <row r="79" spans="2:7">
      <c r="B79" s="2"/>
    </row>
    <row r="80" spans="2:7">
      <c r="B80" s="2"/>
    </row>
    <row r="81" spans="2:2">
      <c r="B81" s="2"/>
    </row>
    <row r="82" spans="2:2">
      <c r="B82" s="2"/>
    </row>
    <row r="83" spans="2:2">
      <c r="B83" s="2"/>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2"/>
    </row>
    <row r="217" spans="2:2">
      <c r="B217" s="2"/>
    </row>
    <row r="218" spans="2:2">
      <c r="B218" s="2"/>
    </row>
    <row r="219" spans="2:2">
      <c r="B219" s="2"/>
    </row>
    <row r="220" spans="2:2">
      <c r="B220" s="2"/>
    </row>
    <row r="221" spans="2:2">
      <c r="B221" s="2"/>
    </row>
    <row r="222" spans="2:2">
      <c r="B222" s="2"/>
    </row>
    <row r="223" spans="2:2">
      <c r="B223" s="2"/>
    </row>
    <row r="224" spans="2:2">
      <c r="B224" s="2"/>
    </row>
    <row r="225" spans="2:2">
      <c r="B225" s="2"/>
    </row>
    <row r="226" spans="2:2">
      <c r="B226" s="2"/>
    </row>
    <row r="227" spans="2:2">
      <c r="B227" s="2"/>
    </row>
    <row r="228" spans="2:2">
      <c r="B228" s="2"/>
    </row>
    <row r="229" spans="2:2">
      <c r="B229" s="2"/>
    </row>
    <row r="230" spans="2:2">
      <c r="B230" s="2"/>
    </row>
    <row r="231" spans="2:2">
      <c r="B231" s="2"/>
    </row>
    <row r="232" spans="2:2">
      <c r="B232" s="2"/>
    </row>
    <row r="233" spans="2:2">
      <c r="B233" s="2"/>
    </row>
    <row r="234" spans="2:2">
      <c r="B234" s="2"/>
    </row>
    <row r="235" spans="2:2">
      <c r="B235" s="2"/>
    </row>
    <row r="236" spans="2:2">
      <c r="B236" s="2"/>
    </row>
    <row r="237" spans="2:2">
      <c r="B237" s="2"/>
    </row>
    <row r="238" spans="2:2">
      <c r="B238" s="2"/>
    </row>
    <row r="239" spans="2:2">
      <c r="B239" s="2"/>
    </row>
    <row r="240" spans="2:2">
      <c r="B240" s="2"/>
    </row>
    <row r="241" spans="2:2">
      <c r="B241" s="2"/>
    </row>
    <row r="242" spans="2:2">
      <c r="B242" s="2"/>
    </row>
    <row r="243" spans="2:2">
      <c r="B243" s="2"/>
    </row>
    <row r="244" spans="2:2">
      <c r="B244" s="2"/>
    </row>
    <row r="245" spans="2:2">
      <c r="B245" s="2"/>
    </row>
    <row r="246" spans="2:2">
      <c r="B246" s="2"/>
    </row>
    <row r="247" spans="2:2">
      <c r="B247" s="2"/>
    </row>
    <row r="248" spans="2:2">
      <c r="B248" s="2"/>
    </row>
    <row r="249" spans="2:2">
      <c r="B249" s="2"/>
    </row>
    <row r="250" spans="2:2">
      <c r="B250" s="2"/>
    </row>
    <row r="251" spans="2:2">
      <c r="B251" s="2"/>
    </row>
    <row r="252" spans="2:2">
      <c r="B252" s="2"/>
    </row>
    <row r="253" spans="2:2">
      <c r="B253" s="2"/>
    </row>
    <row r="254" spans="2:2">
      <c r="B254" s="2"/>
    </row>
    <row r="255" spans="2:2">
      <c r="B255" s="2"/>
    </row>
    <row r="256" spans="2:2">
      <c r="B256" s="2"/>
    </row>
    <row r="257" spans="2:2">
      <c r="B257" s="2"/>
    </row>
    <row r="258" spans="2:2">
      <c r="B258" s="2"/>
    </row>
    <row r="259" spans="2:2">
      <c r="B259" s="2"/>
    </row>
    <row r="260" spans="2:2">
      <c r="B260" s="2"/>
    </row>
    <row r="261" spans="2:2">
      <c r="B261" s="2"/>
    </row>
    <row r="262" spans="2:2">
      <c r="B262" s="2"/>
    </row>
    <row r="263" spans="2:2">
      <c r="B263" s="2"/>
    </row>
    <row r="264" spans="2:2">
      <c r="B264" s="2"/>
    </row>
    <row r="265" spans="2:2">
      <c r="B265" s="2"/>
    </row>
    <row r="266" spans="2:2">
      <c r="B266" s="2"/>
    </row>
    <row r="267" spans="2:2">
      <c r="B267" s="2"/>
    </row>
    <row r="268" spans="2:2">
      <c r="B268" s="2"/>
    </row>
    <row r="269" spans="2:2">
      <c r="B269" s="2"/>
    </row>
    <row r="270" spans="2:2">
      <c r="B270" s="2"/>
    </row>
    <row r="271" spans="2:2">
      <c r="B271" s="2"/>
    </row>
    <row r="272" spans="2:2">
      <c r="B272" s="2"/>
    </row>
    <row r="273" spans="2:2">
      <c r="B273" s="2"/>
    </row>
    <row r="274" spans="2:2">
      <c r="B274" s="2"/>
    </row>
    <row r="275" spans="2:2">
      <c r="B275" s="2"/>
    </row>
    <row r="276" spans="2:2">
      <c r="B276" s="2"/>
    </row>
    <row r="277" spans="2:2">
      <c r="B277" s="2"/>
    </row>
    <row r="278" spans="2:2">
      <c r="B278" s="2"/>
    </row>
    <row r="279" spans="2:2">
      <c r="B279" s="2"/>
    </row>
    <row r="280" spans="2:2">
      <c r="B280" s="2"/>
    </row>
    <row r="281" spans="2:2">
      <c r="B281" s="2"/>
    </row>
    <row r="282" spans="2:2">
      <c r="B282" s="2"/>
    </row>
    <row r="283" spans="2:2">
      <c r="B283" s="2"/>
    </row>
    <row r="284" spans="2:2">
      <c r="B284" s="2"/>
    </row>
    <row r="285" spans="2:2">
      <c r="B285" s="2"/>
    </row>
    <row r="286" spans="2:2">
      <c r="B286" s="2"/>
    </row>
    <row r="287" spans="2:2">
      <c r="B287" s="2"/>
    </row>
    <row r="288" spans="2:2">
      <c r="B288" s="2"/>
    </row>
    <row r="289" spans="2:2">
      <c r="B289" s="2"/>
    </row>
    <row r="290" spans="2:2">
      <c r="B290" s="2"/>
    </row>
    <row r="291" spans="2:2">
      <c r="B291" s="2"/>
    </row>
    <row r="292" spans="2:2">
      <c r="B292" s="2"/>
    </row>
    <row r="293" spans="2:2">
      <c r="B293" s="2"/>
    </row>
    <row r="294" spans="2:2">
      <c r="B294" s="2"/>
    </row>
    <row r="295" spans="2:2">
      <c r="B295" s="2"/>
    </row>
    <row r="296" spans="2:2">
      <c r="B296" s="2"/>
    </row>
    <row r="297" spans="2:2">
      <c r="B297" s="2"/>
    </row>
    <row r="298" spans="2:2">
      <c r="B298" s="2"/>
    </row>
    <row r="299" spans="2:2">
      <c r="B299" s="2"/>
    </row>
    <row r="300" spans="2:2">
      <c r="B300" s="2"/>
    </row>
    <row r="301" spans="2:2">
      <c r="B301" s="2"/>
    </row>
    <row r="302" spans="2:2">
      <c r="B302" s="2"/>
    </row>
    <row r="303" spans="2:2">
      <c r="B303" s="2"/>
    </row>
    <row r="304" spans="2:2">
      <c r="B304" s="2"/>
    </row>
    <row r="305" spans="2:2">
      <c r="B305" s="2"/>
    </row>
    <row r="306" spans="2:2">
      <c r="B306" s="2"/>
    </row>
    <row r="307" spans="2:2">
      <c r="B307" s="2"/>
    </row>
    <row r="308" spans="2:2">
      <c r="B308" s="2"/>
    </row>
    <row r="309" spans="2:2">
      <c r="B309" s="2"/>
    </row>
    <row r="310" spans="2:2">
      <c r="B310" s="2"/>
    </row>
    <row r="311" spans="2:2">
      <c r="B311" s="2"/>
    </row>
    <row r="312" spans="2:2">
      <c r="B312" s="2"/>
    </row>
    <row r="313" spans="2:2">
      <c r="B313" s="2"/>
    </row>
    <row r="314" spans="2:2">
      <c r="B314" s="2"/>
    </row>
    <row r="315" spans="2:2">
      <c r="B315" s="2"/>
    </row>
    <row r="316" spans="2:2">
      <c r="B316" s="2"/>
    </row>
    <row r="317" spans="2:2">
      <c r="B317" s="2"/>
    </row>
    <row r="318" spans="2:2">
      <c r="B318" s="2"/>
    </row>
    <row r="319" spans="2:2">
      <c r="B319" s="2"/>
    </row>
    <row r="320" spans="2:2">
      <c r="B320" s="2"/>
    </row>
    <row r="321" spans="2:2">
      <c r="B321" s="2"/>
    </row>
    <row r="322" spans="2:2">
      <c r="B322" s="2"/>
    </row>
    <row r="323" spans="2:2">
      <c r="B323" s="2"/>
    </row>
    <row r="324" spans="2:2">
      <c r="B324" s="2"/>
    </row>
    <row r="325" spans="2:2">
      <c r="B325" s="2"/>
    </row>
    <row r="326" spans="2:2">
      <c r="B326" s="2"/>
    </row>
    <row r="327" spans="2:2">
      <c r="B327" s="2"/>
    </row>
    <row r="328" spans="2:2">
      <c r="B328" s="2"/>
    </row>
    <row r="329" spans="2:2">
      <c r="B329" s="2"/>
    </row>
    <row r="330" spans="2:2">
      <c r="B330" s="2"/>
    </row>
    <row r="331" spans="2:2">
      <c r="B331" s="2"/>
    </row>
    <row r="332" spans="2:2">
      <c r="B332" s="2"/>
    </row>
    <row r="333" spans="2:2">
      <c r="B333" s="2"/>
    </row>
    <row r="334" spans="2:2">
      <c r="B334" s="2"/>
    </row>
    <row r="335" spans="2:2">
      <c r="B335" s="2"/>
    </row>
    <row r="336" spans="2:2">
      <c r="B336" s="2"/>
    </row>
    <row r="337" spans="2:2">
      <c r="B337" s="2"/>
    </row>
    <row r="338" spans="2:2">
      <c r="B338" s="2"/>
    </row>
    <row r="339" spans="2:2">
      <c r="B339" s="2"/>
    </row>
    <row r="340" spans="2:2">
      <c r="B340" s="2"/>
    </row>
    <row r="341" spans="2:2">
      <c r="B341" s="2"/>
    </row>
    <row r="342" spans="2:2">
      <c r="B342" s="2"/>
    </row>
    <row r="343" spans="2:2">
      <c r="B343" s="2"/>
    </row>
    <row r="344" spans="2:2">
      <c r="B344" s="2"/>
    </row>
    <row r="345" spans="2:2">
      <c r="B345" s="2"/>
    </row>
    <row r="346" spans="2:2">
      <c r="B346" s="2"/>
    </row>
    <row r="347" spans="2:2">
      <c r="B347" s="2"/>
    </row>
    <row r="348" spans="2:2">
      <c r="B348" s="2"/>
    </row>
    <row r="349" spans="2:2">
      <c r="B349" s="2"/>
    </row>
    <row r="350" spans="2:2">
      <c r="B350" s="2"/>
    </row>
    <row r="351" spans="2:2">
      <c r="B351" s="2"/>
    </row>
    <row r="352" spans="2:2">
      <c r="B352" s="2"/>
    </row>
    <row r="353" spans="2:2">
      <c r="B353" s="2"/>
    </row>
    <row r="354" spans="2:2">
      <c r="B354" s="2"/>
    </row>
    <row r="355" spans="2:2">
      <c r="B355" s="2"/>
    </row>
    <row r="356" spans="2:2">
      <c r="B356" s="2"/>
    </row>
    <row r="357" spans="2:2">
      <c r="B357" s="2"/>
    </row>
    <row r="358" spans="2:2">
      <c r="B358" s="2"/>
    </row>
    <row r="359" spans="2:2">
      <c r="B359" s="2"/>
    </row>
    <row r="360" spans="2:2">
      <c r="B360" s="2"/>
    </row>
    <row r="361" spans="2:2">
      <c r="B361" s="2"/>
    </row>
    <row r="362" spans="2:2">
      <c r="B362" s="2"/>
    </row>
    <row r="363" spans="2:2">
      <c r="B363" s="2"/>
    </row>
    <row r="364" spans="2:2">
      <c r="B364" s="2"/>
    </row>
    <row r="365" spans="2:2">
      <c r="B365" s="2"/>
    </row>
    <row r="366" spans="2:2">
      <c r="B366" s="2"/>
    </row>
    <row r="367" spans="2:2">
      <c r="B367" s="2"/>
    </row>
    <row r="368" spans="2:2">
      <c r="B368" s="2"/>
    </row>
    <row r="369" spans="2:2">
      <c r="B369" s="2"/>
    </row>
    <row r="370" spans="2:2">
      <c r="B370" s="2"/>
    </row>
    <row r="371" spans="2:2">
      <c r="B371" s="2"/>
    </row>
    <row r="372" spans="2:2">
      <c r="B372" s="2"/>
    </row>
    <row r="373" spans="2:2">
      <c r="B373" s="2"/>
    </row>
    <row r="374" spans="2:2">
      <c r="B374" s="2"/>
    </row>
    <row r="375" spans="2:2">
      <c r="B375" s="2"/>
    </row>
    <row r="376" spans="2:2">
      <c r="B376" s="2"/>
    </row>
    <row r="377" spans="2:2">
      <c r="B377" s="2"/>
    </row>
    <row r="378" spans="2:2">
      <c r="B378" s="2"/>
    </row>
    <row r="379" spans="2:2">
      <c r="B379" s="2"/>
    </row>
    <row r="380" spans="2:2">
      <c r="B380" s="2"/>
    </row>
    <row r="381" spans="2:2">
      <c r="B381" s="2"/>
    </row>
    <row r="382" spans="2:2">
      <c r="B382" s="2"/>
    </row>
    <row r="383" spans="2:2">
      <c r="B383" s="2"/>
    </row>
    <row r="384" spans="2:2">
      <c r="B384" s="2"/>
    </row>
    <row r="385" spans="2:2">
      <c r="B385" s="2"/>
    </row>
    <row r="386" spans="2:2">
      <c r="B386" s="2"/>
    </row>
    <row r="387" spans="2:2">
      <c r="B387" s="2"/>
    </row>
    <row r="388" spans="2:2">
      <c r="B388" s="2"/>
    </row>
    <row r="389" spans="2:2">
      <c r="B389" s="2"/>
    </row>
    <row r="390" spans="2:2">
      <c r="B390" s="2"/>
    </row>
    <row r="391" spans="2:2">
      <c r="B391" s="2"/>
    </row>
    <row r="392" spans="2:2">
      <c r="B392" s="2"/>
    </row>
    <row r="393" spans="2:2">
      <c r="B393" s="2"/>
    </row>
    <row r="394" spans="2:2">
      <c r="B394" s="2"/>
    </row>
    <row r="395" spans="2:2">
      <c r="B395" s="2"/>
    </row>
    <row r="396" spans="2:2">
      <c r="B396" s="2"/>
    </row>
    <row r="397" spans="2:2">
      <c r="B397" s="2"/>
    </row>
    <row r="398" spans="2:2">
      <c r="B398" s="2"/>
    </row>
    <row r="399" spans="2:2">
      <c r="B399" s="2"/>
    </row>
    <row r="400" spans="2:2">
      <c r="B400" s="2"/>
    </row>
    <row r="401" spans="2:2">
      <c r="B401" s="2"/>
    </row>
    <row r="402" spans="2:2">
      <c r="B402" s="2"/>
    </row>
    <row r="403" spans="2:2">
      <c r="B403" s="2"/>
    </row>
    <row r="404" spans="2:2">
      <c r="B404" s="2"/>
    </row>
    <row r="405" spans="2:2">
      <c r="B405" s="2"/>
    </row>
    <row r="406" spans="2:2">
      <c r="B406" s="2"/>
    </row>
    <row r="407" spans="2:2">
      <c r="B407" s="2"/>
    </row>
    <row r="408" spans="2:2">
      <c r="B408" s="2"/>
    </row>
    <row r="409" spans="2:2">
      <c r="B409" s="2"/>
    </row>
    <row r="410" spans="2:2">
      <c r="B410" s="2"/>
    </row>
    <row r="411" spans="2:2">
      <c r="B411" s="2"/>
    </row>
    <row r="412" spans="2:2">
      <c r="B412" s="2"/>
    </row>
    <row r="413" spans="2:2">
      <c r="B413" s="2"/>
    </row>
    <row r="414" spans="2:2">
      <c r="B414" s="2"/>
    </row>
    <row r="415" spans="2:2">
      <c r="B415" s="2"/>
    </row>
    <row r="416" spans="2:2">
      <c r="B416" s="2"/>
    </row>
    <row r="417" spans="2:2">
      <c r="B417" s="2"/>
    </row>
    <row r="418" spans="2:2">
      <c r="B418" s="2"/>
    </row>
    <row r="419" spans="2:2">
      <c r="B419" s="2"/>
    </row>
    <row r="420" spans="2:2">
      <c r="B420" s="2"/>
    </row>
    <row r="421" spans="2:2">
      <c r="B421" s="2"/>
    </row>
    <row r="422" spans="2:2">
      <c r="B422" s="2"/>
    </row>
    <row r="423" spans="2:2">
      <c r="B423" s="2"/>
    </row>
    <row r="424" spans="2:2">
      <c r="B424" s="2"/>
    </row>
    <row r="425" spans="2:2">
      <c r="B425" s="2"/>
    </row>
    <row r="426" spans="2:2">
      <c r="B426" s="2"/>
    </row>
    <row r="427" spans="2:2">
      <c r="B427" s="2"/>
    </row>
    <row r="428" spans="2:2">
      <c r="B428" s="2"/>
    </row>
    <row r="429" spans="2:2">
      <c r="B429" s="2"/>
    </row>
    <row r="430" spans="2:2">
      <c r="B430" s="2"/>
    </row>
    <row r="431" spans="2:2">
      <c r="B431" s="2"/>
    </row>
    <row r="432" spans="2:2">
      <c r="B432" s="2"/>
    </row>
    <row r="433" spans="2:2">
      <c r="B433" s="2"/>
    </row>
    <row r="434" spans="2:2">
      <c r="B434" s="2"/>
    </row>
    <row r="435" spans="2:2">
      <c r="B435" s="2"/>
    </row>
    <row r="436" spans="2:2">
      <c r="B436" s="2"/>
    </row>
    <row r="437" spans="2:2">
      <c r="B437" s="2"/>
    </row>
    <row r="438" spans="2:2">
      <c r="B438" s="2"/>
    </row>
    <row r="439" spans="2:2">
      <c r="B439" s="2"/>
    </row>
    <row r="440" spans="2:2">
      <c r="B440" s="2"/>
    </row>
    <row r="441" spans="2:2">
      <c r="B441" s="2"/>
    </row>
    <row r="442" spans="2:2">
      <c r="B442" s="2"/>
    </row>
    <row r="443" spans="2:2">
      <c r="B443" s="2"/>
    </row>
    <row r="444" spans="2:2">
      <c r="B444" s="2"/>
    </row>
    <row r="445" spans="2:2">
      <c r="B445" s="2"/>
    </row>
    <row r="446" spans="2:2">
      <c r="B446" s="2"/>
    </row>
    <row r="447" spans="2:2">
      <c r="B447" s="2"/>
    </row>
    <row r="448" spans="2:2">
      <c r="B448" s="2"/>
    </row>
    <row r="449" spans="2:2">
      <c r="B449" s="2"/>
    </row>
    <row r="450" spans="2:2">
      <c r="B450" s="2"/>
    </row>
    <row r="451" spans="2:2">
      <c r="B451" s="2"/>
    </row>
    <row r="452" spans="2:2">
      <c r="B452" s="2"/>
    </row>
    <row r="453" spans="2:2">
      <c r="B453" s="2"/>
    </row>
    <row r="454" spans="2:2">
      <c r="B454" s="2"/>
    </row>
    <row r="455" spans="2:2">
      <c r="B455" s="2"/>
    </row>
    <row r="456" spans="2:2">
      <c r="B456" s="2"/>
    </row>
    <row r="457" spans="2:2">
      <c r="B457" s="2"/>
    </row>
    <row r="458" spans="2:2">
      <c r="B458" s="2"/>
    </row>
    <row r="459" spans="2:2">
      <c r="B459" s="2"/>
    </row>
    <row r="460" spans="2:2">
      <c r="B460" s="2"/>
    </row>
    <row r="461" spans="2:2">
      <c r="B461" s="2"/>
    </row>
    <row r="462" spans="2:2">
      <c r="B462" s="2"/>
    </row>
    <row r="463" spans="2:2">
      <c r="B463" s="2"/>
    </row>
    <row r="464" spans="2:2">
      <c r="B464" s="2"/>
    </row>
    <row r="465" spans="2:2">
      <c r="B465" s="2"/>
    </row>
    <row r="466" spans="2:2">
      <c r="B466" s="2"/>
    </row>
    <row r="467" spans="2:2">
      <c r="B467" s="2"/>
    </row>
    <row r="468" spans="2:2">
      <c r="B468" s="2"/>
    </row>
    <row r="469" spans="2:2">
      <c r="B469" s="2"/>
    </row>
    <row r="470" spans="2:2">
      <c r="B470" s="2"/>
    </row>
    <row r="471" spans="2:2">
      <c r="B471" s="2"/>
    </row>
    <row r="472" spans="2:2">
      <c r="B472" s="2"/>
    </row>
    <row r="473" spans="2:2">
      <c r="B473" s="2"/>
    </row>
    <row r="474" spans="2:2">
      <c r="B474" s="2"/>
    </row>
    <row r="475" spans="2:2">
      <c r="B475" s="2"/>
    </row>
    <row r="476" spans="2:2">
      <c r="B476" s="2"/>
    </row>
    <row r="477" spans="2:2">
      <c r="B477" s="2"/>
    </row>
    <row r="478" spans="2:2">
      <c r="B478" s="2"/>
    </row>
    <row r="479" spans="2:2">
      <c r="B479" s="2"/>
    </row>
    <row r="480" spans="2:2">
      <c r="B480" s="2"/>
    </row>
    <row r="481" spans="2:2">
      <c r="B481" s="2"/>
    </row>
    <row r="482" spans="2:2">
      <c r="B482" s="2"/>
    </row>
    <row r="483" spans="2:2">
      <c r="B483" s="2"/>
    </row>
    <row r="484" spans="2:2">
      <c r="B484" s="2"/>
    </row>
    <row r="485" spans="2:2">
      <c r="B485" s="2"/>
    </row>
    <row r="486" spans="2:2">
      <c r="B486" s="2"/>
    </row>
    <row r="487" spans="2:2">
      <c r="B487" s="2"/>
    </row>
    <row r="488" spans="2:2">
      <c r="B488" s="2"/>
    </row>
    <row r="489" spans="2:2">
      <c r="B489" s="2"/>
    </row>
    <row r="490" spans="2:2">
      <c r="B490" s="2"/>
    </row>
    <row r="491" spans="2:2">
      <c r="B491" s="2"/>
    </row>
    <row r="492" spans="2:2">
      <c r="B492" s="2"/>
    </row>
    <row r="493" spans="2:2">
      <c r="B493" s="2"/>
    </row>
    <row r="494" spans="2:2">
      <c r="B494" s="2"/>
    </row>
    <row r="495" spans="2:2">
      <c r="B495" s="2"/>
    </row>
    <row r="496" spans="2:2">
      <c r="B496" s="2"/>
    </row>
    <row r="497" spans="2:2">
      <c r="B497" s="2"/>
    </row>
    <row r="498" spans="2:2">
      <c r="B498" s="2"/>
    </row>
    <row r="499" spans="2:2">
      <c r="B499" s="2"/>
    </row>
    <row r="500" spans="2:2">
      <c r="B500" s="2"/>
    </row>
  </sheetData>
  <phoneticPr fontId="0" type="noConversion"/>
  <hyperlinks>
    <hyperlink ref="B6" location="'Time Series Forecast'!A1" display="See Time Series Forecast"/>
  </hyperlink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63490" r:id="rId3" name="Button 2">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63491" r:id="rId4" name="Button 3">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63492" r:id="rId5" name="Button 4">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63493" r:id="rId6" name="Button 5">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6" enableFormatConditionsCalculation="0"/>
  <dimension ref="A1:N499"/>
  <sheetViews>
    <sheetView workbookViewId="0"/>
  </sheetViews>
  <sheetFormatPr baseColWidth="10" defaultColWidth="8.83203125" defaultRowHeight="12" x14ac:dyDescent="0"/>
  <cols>
    <col min="2" max="2" width="13.33203125" customWidth="1"/>
    <col min="4" max="4" width="11.83203125" customWidth="1"/>
    <col min="5" max="5" width="12.5" customWidth="1"/>
    <col min="6" max="6" width="10.5" customWidth="1"/>
    <col min="7" max="8" width="11.33203125" customWidth="1"/>
  </cols>
  <sheetData>
    <row r="1" spans="1:14">
      <c r="A1" s="21"/>
      <c r="B1" s="21"/>
      <c r="C1" s="21" t="s">
        <v>846</v>
      </c>
      <c r="D1" s="21"/>
      <c r="E1" s="21"/>
      <c r="F1" s="21"/>
      <c r="G1" s="21"/>
      <c r="H1" s="21"/>
    </row>
    <row r="2" spans="1:14" ht="21" customHeight="1">
      <c r="A2" s="21"/>
      <c r="B2" s="21"/>
      <c r="C2" s="21"/>
      <c r="D2" s="374"/>
      <c r="E2" s="374"/>
      <c r="F2" s="374"/>
      <c r="G2" s="374"/>
      <c r="H2" s="374"/>
      <c r="I2" s="372"/>
      <c r="J2" s="372"/>
      <c r="K2" s="372"/>
      <c r="L2" s="372"/>
      <c r="M2" s="372"/>
      <c r="N2" s="372"/>
    </row>
    <row r="3" spans="1:14">
      <c r="A3" s="19" t="s">
        <v>1045</v>
      </c>
      <c r="B3" s="20" t="s">
        <v>128</v>
      </c>
      <c r="C3" s="21"/>
      <c r="D3" s="21"/>
      <c r="E3" s="21"/>
      <c r="F3" s="21"/>
      <c r="G3" s="21"/>
      <c r="H3" s="21"/>
    </row>
    <row r="4" spans="1:14">
      <c r="A4" s="19" t="s">
        <v>774</v>
      </c>
      <c r="B4" s="20" t="s">
        <v>129</v>
      </c>
      <c r="C4" s="21"/>
      <c r="D4" s="21"/>
      <c r="E4" s="21"/>
      <c r="F4" s="21"/>
      <c r="G4" s="21"/>
      <c r="H4" s="21"/>
    </row>
    <row r="5" spans="1:14" ht="63" customHeight="1">
      <c r="A5" s="118" t="s">
        <v>779</v>
      </c>
      <c r="B5" s="446" t="s">
        <v>200</v>
      </c>
      <c r="C5" s="446"/>
      <c r="D5" s="446"/>
      <c r="E5" s="446"/>
      <c r="F5" s="446"/>
      <c r="G5" s="446"/>
      <c r="H5" s="446"/>
    </row>
    <row r="6" spans="1:14" ht="29.25" customHeight="1">
      <c r="A6" s="21"/>
      <c r="B6" s="446" t="s">
        <v>196</v>
      </c>
      <c r="C6" s="446"/>
      <c r="D6" s="446"/>
      <c r="E6" s="446"/>
      <c r="F6" s="446"/>
      <c r="G6" s="446"/>
      <c r="H6" s="446"/>
    </row>
    <row r="7" spans="1:14" ht="33.75" customHeight="1">
      <c r="A7" s="19"/>
      <c r="B7" s="446" t="s">
        <v>201</v>
      </c>
      <c r="C7" s="446"/>
      <c r="D7" s="446"/>
      <c r="E7" s="446"/>
      <c r="F7" s="446"/>
      <c r="G7" s="446"/>
      <c r="H7" s="446"/>
    </row>
    <row r="8" spans="1:14" ht="36.75" customHeight="1">
      <c r="A8" s="19"/>
      <c r="B8" s="446" t="s">
        <v>202</v>
      </c>
      <c r="C8" s="446"/>
      <c r="D8" s="446"/>
      <c r="E8" s="446"/>
      <c r="F8" s="446"/>
      <c r="G8" s="446"/>
      <c r="H8" s="446"/>
    </row>
    <row r="9" spans="1:14" ht="52.5" customHeight="1">
      <c r="A9" s="19"/>
      <c r="B9" s="446" t="s">
        <v>203</v>
      </c>
      <c r="C9" s="446"/>
      <c r="D9" s="446"/>
      <c r="E9" s="446"/>
      <c r="F9" s="446"/>
      <c r="G9" s="446"/>
      <c r="H9" s="446"/>
    </row>
    <row r="10" spans="1:14" ht="37.5" customHeight="1">
      <c r="A10" s="22"/>
      <c r="B10" s="22" t="s">
        <v>1090</v>
      </c>
      <c r="C10" s="22" t="s">
        <v>1098</v>
      </c>
      <c r="D10" s="196" t="s">
        <v>204</v>
      </c>
      <c r="E10" s="196" t="s">
        <v>205</v>
      </c>
      <c r="F10" s="198"/>
      <c r="G10" s="198"/>
      <c r="H10" s="198"/>
    </row>
    <row r="11" spans="1:14">
      <c r="A11" s="103">
        <v>1</v>
      </c>
      <c r="B11" s="109">
        <v>35664</v>
      </c>
      <c r="C11" s="112">
        <v>25</v>
      </c>
      <c r="D11" s="28"/>
      <c r="E11" s="28"/>
      <c r="F11" s="28"/>
      <c r="G11" s="28"/>
      <c r="H11" s="28"/>
    </row>
    <row r="12" spans="1:14">
      <c r="A12" s="103">
        <v>2</v>
      </c>
      <c r="B12" s="109">
        <v>35667</v>
      </c>
      <c r="C12" s="112">
        <v>24.875</v>
      </c>
      <c r="D12" s="28"/>
      <c r="E12" s="28"/>
      <c r="F12" s="28"/>
      <c r="G12" s="28"/>
      <c r="H12" s="28"/>
    </row>
    <row r="13" spans="1:14">
      <c r="A13" s="104">
        <v>3</v>
      </c>
      <c r="B13" s="110">
        <v>35668</v>
      </c>
      <c r="C13" s="111">
        <v>24.781300000000002</v>
      </c>
      <c r="D13" s="55">
        <f t="shared" ref="D13:D66" si="0">SUM(C11:C13)/3</f>
        <v>24.885433333333335</v>
      </c>
      <c r="E13" s="55"/>
      <c r="F13" s="55"/>
      <c r="G13" s="55"/>
      <c r="H13" s="55"/>
    </row>
    <row r="14" spans="1:14">
      <c r="A14" s="104">
        <v>4</v>
      </c>
      <c r="B14" s="110">
        <v>35669</v>
      </c>
      <c r="C14" s="111">
        <v>24.593800000000002</v>
      </c>
      <c r="D14" s="55">
        <f t="shared" si="0"/>
        <v>24.750033333333334</v>
      </c>
      <c r="E14" s="55"/>
      <c r="F14" s="55"/>
      <c r="G14" s="55"/>
      <c r="H14" s="55"/>
    </row>
    <row r="15" spans="1:14">
      <c r="A15" s="103">
        <v>5</v>
      </c>
      <c r="B15" s="109">
        <v>35670</v>
      </c>
      <c r="C15" s="112">
        <v>24.5</v>
      </c>
      <c r="D15" s="52">
        <f t="shared" si="0"/>
        <v>24.625033333333334</v>
      </c>
      <c r="E15" s="52">
        <f>SUM(D13:D15)/3</f>
        <v>24.753500000000003</v>
      </c>
      <c r="F15" s="52"/>
      <c r="G15" s="52"/>
      <c r="H15" s="52"/>
    </row>
    <row r="16" spans="1:14">
      <c r="A16" s="103">
        <v>6</v>
      </c>
      <c r="B16" s="109">
        <v>35671</v>
      </c>
      <c r="C16" s="112">
        <v>24.625</v>
      </c>
      <c r="D16" s="52">
        <f t="shared" si="0"/>
        <v>24.572933333333335</v>
      </c>
      <c r="E16" s="52">
        <f t="shared" ref="E16:E66" si="1">SUM(D14:D16)/3</f>
        <v>24.649333333333335</v>
      </c>
      <c r="F16" s="52"/>
      <c r="G16" s="52"/>
      <c r="H16" s="52"/>
    </row>
    <row r="17" spans="1:8">
      <c r="A17" s="104">
        <v>7</v>
      </c>
      <c r="B17" s="110">
        <v>35675</v>
      </c>
      <c r="C17" s="111">
        <v>25.218800000000002</v>
      </c>
      <c r="D17" s="55">
        <f t="shared" si="0"/>
        <v>24.781266666666667</v>
      </c>
      <c r="E17" s="55">
        <f t="shared" si="1"/>
        <v>24.659744444444446</v>
      </c>
      <c r="F17" s="55"/>
      <c r="G17" s="55"/>
      <c r="H17" s="55"/>
    </row>
    <row r="18" spans="1:8">
      <c r="A18" s="104">
        <v>8</v>
      </c>
      <c r="B18" s="110">
        <v>35676</v>
      </c>
      <c r="C18" s="111">
        <v>27.25</v>
      </c>
      <c r="D18" s="55">
        <f t="shared" si="0"/>
        <v>25.697933333333335</v>
      </c>
      <c r="E18" s="55">
        <f t="shared" si="1"/>
        <v>25.017377777777781</v>
      </c>
      <c r="F18" s="55"/>
      <c r="G18" s="55"/>
      <c r="H18" s="55"/>
    </row>
    <row r="19" spans="1:8">
      <c r="A19" s="103">
        <v>9</v>
      </c>
      <c r="B19" s="109">
        <v>35677</v>
      </c>
      <c r="C19" s="112">
        <v>26.25</v>
      </c>
      <c r="D19" s="52">
        <f t="shared" si="0"/>
        <v>26.239599999999999</v>
      </c>
      <c r="E19" s="52">
        <f t="shared" si="1"/>
        <v>25.572933333333335</v>
      </c>
      <c r="F19" s="52"/>
      <c r="G19" s="52"/>
      <c r="H19" s="52"/>
    </row>
    <row r="20" spans="1:8">
      <c r="A20" s="103">
        <v>10</v>
      </c>
      <c r="B20" s="109">
        <v>35678</v>
      </c>
      <c r="C20" s="112">
        <v>26.593800000000002</v>
      </c>
      <c r="D20" s="52">
        <f t="shared" si="0"/>
        <v>26.697933333333335</v>
      </c>
      <c r="E20" s="52">
        <f t="shared" si="1"/>
        <v>26.211822222222224</v>
      </c>
      <c r="F20" s="52"/>
      <c r="G20" s="52"/>
      <c r="H20" s="52"/>
    </row>
    <row r="21" spans="1:8">
      <c r="A21" s="104">
        <v>11</v>
      </c>
      <c r="B21" s="110">
        <v>35681</v>
      </c>
      <c r="C21" s="111">
        <v>27.593800000000002</v>
      </c>
      <c r="D21" s="55">
        <f t="shared" si="0"/>
        <v>26.812533333333334</v>
      </c>
      <c r="E21" s="55">
        <f t="shared" si="1"/>
        <v>26.583355555555556</v>
      </c>
      <c r="F21" s="55"/>
      <c r="G21" s="55"/>
      <c r="H21" s="55"/>
    </row>
    <row r="22" spans="1:8">
      <c r="A22" s="104">
        <v>12</v>
      </c>
      <c r="B22" s="110">
        <v>35682</v>
      </c>
      <c r="C22" s="111">
        <v>27.875</v>
      </c>
      <c r="D22" s="55">
        <f t="shared" si="0"/>
        <v>27.354200000000002</v>
      </c>
      <c r="E22" s="55">
        <f t="shared" si="1"/>
        <v>26.954888888888892</v>
      </c>
      <c r="F22" s="55"/>
      <c r="G22" s="55"/>
      <c r="H22" s="55"/>
    </row>
    <row r="23" spans="1:8">
      <c r="A23" s="103">
        <v>13</v>
      </c>
      <c r="B23" s="109">
        <v>35683</v>
      </c>
      <c r="C23" s="112">
        <v>27.531300000000002</v>
      </c>
      <c r="D23" s="52">
        <f t="shared" si="0"/>
        <v>27.666700000000002</v>
      </c>
      <c r="E23" s="52">
        <f t="shared" si="1"/>
        <v>27.277811111111117</v>
      </c>
      <c r="F23" s="52"/>
      <c r="G23" s="52"/>
      <c r="H23" s="52"/>
    </row>
    <row r="24" spans="1:8">
      <c r="A24" s="103">
        <v>14</v>
      </c>
      <c r="B24" s="109">
        <v>35684</v>
      </c>
      <c r="C24" s="112">
        <v>27.218800000000002</v>
      </c>
      <c r="D24" s="52">
        <f t="shared" si="0"/>
        <v>27.541700000000002</v>
      </c>
      <c r="E24" s="52">
        <f t="shared" si="1"/>
        <v>27.520866666666667</v>
      </c>
      <c r="F24" s="52"/>
      <c r="G24" s="52"/>
      <c r="H24" s="52"/>
    </row>
    <row r="25" spans="1:8">
      <c r="A25" s="104">
        <v>15</v>
      </c>
      <c r="B25" s="110">
        <v>35685</v>
      </c>
      <c r="C25" s="111">
        <v>26.968800000000002</v>
      </c>
      <c r="D25" s="55">
        <f t="shared" si="0"/>
        <v>27.239633333333334</v>
      </c>
      <c r="E25" s="55">
        <f t="shared" si="1"/>
        <v>27.482677777777781</v>
      </c>
      <c r="F25" s="55"/>
      <c r="G25" s="55"/>
      <c r="H25" s="55"/>
    </row>
    <row r="26" spans="1:8">
      <c r="A26" s="104">
        <v>16</v>
      </c>
      <c r="B26" s="110">
        <v>35688</v>
      </c>
      <c r="C26" s="111">
        <v>26.75</v>
      </c>
      <c r="D26" s="55">
        <f t="shared" si="0"/>
        <v>26.979200000000002</v>
      </c>
      <c r="E26" s="55">
        <f t="shared" si="1"/>
        <v>27.253511111111113</v>
      </c>
      <c r="F26" s="55"/>
      <c r="G26" s="55"/>
      <c r="H26" s="55"/>
    </row>
    <row r="27" spans="1:8">
      <c r="A27" s="103">
        <v>17</v>
      </c>
      <c r="B27" s="109">
        <v>35689</v>
      </c>
      <c r="C27" s="112">
        <v>27.468800000000002</v>
      </c>
      <c r="D27" s="52">
        <f t="shared" si="0"/>
        <v>27.062533333333334</v>
      </c>
      <c r="E27" s="52">
        <f t="shared" si="1"/>
        <v>27.093788888888891</v>
      </c>
      <c r="F27" s="52"/>
      <c r="G27" s="52"/>
      <c r="H27" s="52"/>
    </row>
    <row r="28" spans="1:8">
      <c r="A28" s="103">
        <v>18</v>
      </c>
      <c r="B28" s="109">
        <v>35690</v>
      </c>
      <c r="C28" s="112">
        <v>27.3125</v>
      </c>
      <c r="D28" s="52">
        <f t="shared" si="0"/>
        <v>27.177099999999999</v>
      </c>
      <c r="E28" s="52">
        <f t="shared" si="1"/>
        <v>27.072944444444445</v>
      </c>
      <c r="F28" s="52"/>
      <c r="G28" s="52"/>
      <c r="H28" s="52"/>
    </row>
    <row r="29" spans="1:8">
      <c r="A29" s="104">
        <v>19</v>
      </c>
      <c r="B29" s="110">
        <v>35691</v>
      </c>
      <c r="C29" s="111">
        <v>27.5</v>
      </c>
      <c r="D29" s="55">
        <f t="shared" si="0"/>
        <v>27.427099999999999</v>
      </c>
      <c r="E29" s="55">
        <f t="shared" si="1"/>
        <v>27.222244444444442</v>
      </c>
      <c r="F29" s="55"/>
      <c r="G29" s="55"/>
      <c r="H29" s="55"/>
    </row>
    <row r="30" spans="1:8">
      <c r="A30" s="104">
        <v>20</v>
      </c>
      <c r="B30" s="110">
        <v>35692</v>
      </c>
      <c r="C30" s="111">
        <v>27.5</v>
      </c>
      <c r="D30" s="55">
        <f t="shared" si="0"/>
        <v>27.4375</v>
      </c>
      <c r="E30" s="55">
        <f t="shared" si="1"/>
        <v>27.347233333333332</v>
      </c>
      <c r="F30" s="55"/>
      <c r="G30" s="55"/>
      <c r="H30" s="55"/>
    </row>
    <row r="31" spans="1:8">
      <c r="A31" s="103">
        <v>21</v>
      </c>
      <c r="B31" s="109">
        <v>35695</v>
      </c>
      <c r="C31" s="112">
        <v>26.75</v>
      </c>
      <c r="D31" s="52">
        <f t="shared" si="0"/>
        <v>27.25</v>
      </c>
      <c r="E31" s="52">
        <f t="shared" si="1"/>
        <v>27.371533333333332</v>
      </c>
      <c r="F31" s="52"/>
      <c r="G31" s="52"/>
      <c r="H31" s="52"/>
    </row>
    <row r="32" spans="1:8">
      <c r="A32" s="103">
        <v>22</v>
      </c>
      <c r="B32" s="109">
        <v>35696</v>
      </c>
      <c r="C32" s="112">
        <v>27.0625</v>
      </c>
      <c r="D32" s="52">
        <f t="shared" si="0"/>
        <v>27.104166666666668</v>
      </c>
      <c r="E32" s="52">
        <f t="shared" si="1"/>
        <v>27.263888888888889</v>
      </c>
      <c r="F32" s="52"/>
      <c r="G32" s="52"/>
      <c r="H32" s="52"/>
    </row>
    <row r="33" spans="1:8">
      <c r="A33" s="104">
        <v>23</v>
      </c>
      <c r="B33" s="110">
        <v>35697</v>
      </c>
      <c r="C33" s="111">
        <v>28.656300000000002</v>
      </c>
      <c r="D33" s="55">
        <f t="shared" si="0"/>
        <v>27.489599999999999</v>
      </c>
      <c r="E33" s="55">
        <f t="shared" si="1"/>
        <v>27.281255555555557</v>
      </c>
      <c r="F33" s="55"/>
      <c r="G33" s="55"/>
      <c r="H33" s="55"/>
    </row>
    <row r="34" spans="1:8">
      <c r="A34" s="104">
        <v>24</v>
      </c>
      <c r="B34" s="110">
        <v>35698</v>
      </c>
      <c r="C34" s="111">
        <v>28.093800000000002</v>
      </c>
      <c r="D34" s="55">
        <f t="shared" si="0"/>
        <v>27.937533333333334</v>
      </c>
      <c r="E34" s="55">
        <f t="shared" si="1"/>
        <v>27.510433333333335</v>
      </c>
      <c r="F34" s="55"/>
      <c r="G34" s="55"/>
      <c r="H34" s="55"/>
    </row>
    <row r="35" spans="1:8">
      <c r="A35" s="103">
        <v>25</v>
      </c>
      <c r="B35" s="109">
        <v>35699</v>
      </c>
      <c r="C35" s="112">
        <v>28.8125</v>
      </c>
      <c r="D35" s="52">
        <f t="shared" si="0"/>
        <v>28.520866666666667</v>
      </c>
      <c r="E35" s="52">
        <f t="shared" si="1"/>
        <v>27.982666666666663</v>
      </c>
      <c r="F35" s="52"/>
      <c r="G35" s="52"/>
      <c r="H35" s="52"/>
    </row>
    <row r="36" spans="1:8">
      <c r="A36" s="103">
        <v>26</v>
      </c>
      <c r="B36" s="109">
        <v>35702</v>
      </c>
      <c r="C36" s="112">
        <v>29.781300000000002</v>
      </c>
      <c r="D36" s="52">
        <f t="shared" si="0"/>
        <v>28.895866666666667</v>
      </c>
      <c r="E36" s="52">
        <f t="shared" si="1"/>
        <v>28.45142222222222</v>
      </c>
      <c r="F36" s="52"/>
      <c r="G36" s="52"/>
      <c r="H36" s="52"/>
    </row>
    <row r="37" spans="1:8">
      <c r="A37" s="104">
        <v>27</v>
      </c>
      <c r="B37" s="110">
        <v>35703</v>
      </c>
      <c r="C37" s="111">
        <v>30.281300000000002</v>
      </c>
      <c r="D37" s="55">
        <f t="shared" si="0"/>
        <v>29.625033333333334</v>
      </c>
      <c r="E37" s="55">
        <f t="shared" si="1"/>
        <v>29.01392222222222</v>
      </c>
      <c r="F37" s="55"/>
      <c r="G37" s="55"/>
      <c r="H37" s="55"/>
    </row>
    <row r="38" spans="1:8">
      <c r="A38" s="104">
        <v>28</v>
      </c>
      <c r="B38" s="110">
        <v>35704</v>
      </c>
      <c r="C38" s="111">
        <v>31.281300000000002</v>
      </c>
      <c r="D38" s="55">
        <f t="shared" si="0"/>
        <v>30.44796666666667</v>
      </c>
      <c r="E38" s="55">
        <f t="shared" si="1"/>
        <v>29.656288888888891</v>
      </c>
      <c r="F38" s="55"/>
      <c r="G38" s="55"/>
      <c r="H38" s="55"/>
    </row>
    <row r="39" spans="1:8">
      <c r="A39" s="103">
        <v>29</v>
      </c>
      <c r="B39" s="109">
        <v>35705</v>
      </c>
      <c r="C39" s="112">
        <v>31.593800000000002</v>
      </c>
      <c r="D39" s="52">
        <f t="shared" si="0"/>
        <v>31.052133333333334</v>
      </c>
      <c r="E39" s="52">
        <f t="shared" si="1"/>
        <v>30.375044444444445</v>
      </c>
      <c r="F39" s="52"/>
      <c r="G39" s="52"/>
      <c r="H39" s="52"/>
    </row>
    <row r="40" spans="1:8">
      <c r="A40" s="103">
        <v>30</v>
      </c>
      <c r="B40" s="109">
        <v>35706</v>
      </c>
      <c r="C40" s="112">
        <v>31.875</v>
      </c>
      <c r="D40" s="52">
        <f t="shared" si="0"/>
        <v>31.583366666666667</v>
      </c>
      <c r="E40" s="52">
        <f t="shared" si="1"/>
        <v>31.027822222222223</v>
      </c>
      <c r="F40" s="52"/>
      <c r="G40" s="52"/>
      <c r="H40" s="52"/>
    </row>
    <row r="41" spans="1:8">
      <c r="A41" s="104">
        <v>31</v>
      </c>
      <c r="B41" s="110">
        <v>35709</v>
      </c>
      <c r="C41" s="111">
        <v>32.593800000000002</v>
      </c>
      <c r="D41" s="55">
        <f t="shared" si="0"/>
        <v>32.02086666666667</v>
      </c>
      <c r="E41" s="55">
        <f t="shared" si="1"/>
        <v>31.552122222222224</v>
      </c>
      <c r="F41" s="55"/>
      <c r="G41" s="55"/>
      <c r="H41" s="55"/>
    </row>
    <row r="42" spans="1:8">
      <c r="A42" s="104">
        <v>32</v>
      </c>
      <c r="B42" s="110">
        <v>35710</v>
      </c>
      <c r="C42" s="111">
        <v>33.5</v>
      </c>
      <c r="D42" s="55">
        <f t="shared" si="0"/>
        <v>32.656266666666667</v>
      </c>
      <c r="E42" s="55">
        <f t="shared" si="1"/>
        <v>32.086833333333338</v>
      </c>
      <c r="F42" s="55"/>
      <c r="G42" s="55"/>
      <c r="H42" s="55"/>
    </row>
    <row r="43" spans="1:8">
      <c r="A43" s="103">
        <v>33</v>
      </c>
      <c r="B43" s="109">
        <v>35711</v>
      </c>
      <c r="C43" s="112">
        <v>33.75</v>
      </c>
      <c r="D43" s="52">
        <f t="shared" si="0"/>
        <v>33.281266666666667</v>
      </c>
      <c r="E43" s="52">
        <f t="shared" si="1"/>
        <v>32.652799999999999</v>
      </c>
      <c r="F43" s="52"/>
      <c r="G43" s="52"/>
      <c r="H43" s="52"/>
    </row>
    <row r="44" spans="1:8">
      <c r="A44" s="103">
        <v>34</v>
      </c>
      <c r="B44" s="109">
        <v>35712</v>
      </c>
      <c r="C44" s="112">
        <v>33.218800000000002</v>
      </c>
      <c r="D44" s="52">
        <f t="shared" si="0"/>
        <v>33.489600000000003</v>
      </c>
      <c r="E44" s="52">
        <f t="shared" si="1"/>
        <v>33.142377777777774</v>
      </c>
      <c r="F44" s="52"/>
      <c r="G44" s="52"/>
      <c r="H44" s="52"/>
    </row>
    <row r="45" spans="1:8">
      <c r="A45" s="104">
        <v>35</v>
      </c>
      <c r="B45" s="110">
        <v>35713</v>
      </c>
      <c r="C45" s="111">
        <v>32.9375</v>
      </c>
      <c r="D45" s="55">
        <f t="shared" si="0"/>
        <v>33.302100000000003</v>
      </c>
      <c r="E45" s="55">
        <f t="shared" si="1"/>
        <v>33.35765555555556</v>
      </c>
      <c r="F45" s="55"/>
      <c r="G45" s="55"/>
      <c r="H45" s="55"/>
    </row>
    <row r="46" spans="1:8">
      <c r="A46" s="104">
        <v>36</v>
      </c>
      <c r="B46" s="110">
        <v>35716</v>
      </c>
      <c r="C46" s="111">
        <v>33.4375</v>
      </c>
      <c r="D46" s="55">
        <f t="shared" si="0"/>
        <v>33.197933333333332</v>
      </c>
      <c r="E46" s="55">
        <f t="shared" si="1"/>
        <v>33.329877777777774</v>
      </c>
      <c r="F46" s="55"/>
      <c r="G46" s="55"/>
      <c r="H46" s="55"/>
    </row>
    <row r="47" spans="1:8">
      <c r="A47" s="103">
        <v>37</v>
      </c>
      <c r="B47" s="109">
        <v>35717</v>
      </c>
      <c r="C47" s="112">
        <v>33.906300000000002</v>
      </c>
      <c r="D47" s="52">
        <f t="shared" si="0"/>
        <v>33.427100000000003</v>
      </c>
      <c r="E47" s="52">
        <f t="shared" si="1"/>
        <v>33.309044444444446</v>
      </c>
      <c r="F47" s="52"/>
      <c r="G47" s="52"/>
      <c r="H47" s="52"/>
    </row>
    <row r="48" spans="1:8">
      <c r="A48" s="103">
        <v>38</v>
      </c>
      <c r="B48" s="109">
        <v>35718</v>
      </c>
      <c r="C48" s="112">
        <v>33.968800000000002</v>
      </c>
      <c r="D48" s="52">
        <f t="shared" si="0"/>
        <v>33.77086666666667</v>
      </c>
      <c r="E48" s="52">
        <f t="shared" si="1"/>
        <v>33.465300000000006</v>
      </c>
      <c r="F48" s="52"/>
      <c r="G48" s="52"/>
      <c r="H48" s="52"/>
    </row>
    <row r="49" spans="1:8">
      <c r="A49" s="104">
        <v>39</v>
      </c>
      <c r="B49" s="110">
        <v>35719</v>
      </c>
      <c r="C49" s="111">
        <v>33.3125</v>
      </c>
      <c r="D49" s="55">
        <f t="shared" si="0"/>
        <v>33.729199999999999</v>
      </c>
      <c r="E49" s="55">
        <f t="shared" si="1"/>
        <v>33.642388888888888</v>
      </c>
      <c r="F49" s="55"/>
      <c r="G49" s="55"/>
      <c r="H49" s="55"/>
    </row>
    <row r="50" spans="1:8">
      <c r="A50" s="104">
        <v>40</v>
      </c>
      <c r="B50" s="110">
        <v>35720</v>
      </c>
      <c r="C50" s="111">
        <v>31.6875</v>
      </c>
      <c r="D50" s="55">
        <f t="shared" si="0"/>
        <v>32.989600000000003</v>
      </c>
      <c r="E50" s="55">
        <f t="shared" si="1"/>
        <v>33.496555555555553</v>
      </c>
      <c r="F50" s="55"/>
      <c r="G50" s="55"/>
      <c r="H50" s="55"/>
    </row>
    <row r="51" spans="1:8">
      <c r="A51" s="103">
        <v>41</v>
      </c>
      <c r="B51" s="109">
        <v>35723</v>
      </c>
      <c r="C51" s="112">
        <v>31.75</v>
      </c>
      <c r="D51" s="52">
        <f t="shared" si="0"/>
        <v>32.25</v>
      </c>
      <c r="E51" s="52">
        <f t="shared" si="1"/>
        <v>32.989600000000003</v>
      </c>
      <c r="F51" s="52"/>
      <c r="G51" s="52"/>
      <c r="H51" s="52"/>
    </row>
    <row r="52" spans="1:8">
      <c r="A52" s="103">
        <v>42</v>
      </c>
      <c r="B52" s="109">
        <v>35724</v>
      </c>
      <c r="C52" s="112">
        <v>33.25</v>
      </c>
      <c r="D52" s="52">
        <f t="shared" si="0"/>
        <v>32.229166666666664</v>
      </c>
      <c r="E52" s="52">
        <f t="shared" si="1"/>
        <v>32.489588888888882</v>
      </c>
      <c r="F52" s="52"/>
      <c r="G52" s="52"/>
      <c r="H52" s="52"/>
    </row>
    <row r="53" spans="1:8">
      <c r="A53" s="104">
        <v>43</v>
      </c>
      <c r="B53" s="110">
        <v>35725</v>
      </c>
      <c r="C53" s="111">
        <v>32.906300000000002</v>
      </c>
      <c r="D53" s="55">
        <f t="shared" si="0"/>
        <v>32.635433333333332</v>
      </c>
      <c r="E53" s="55">
        <f t="shared" si="1"/>
        <v>32.371533333333332</v>
      </c>
      <c r="F53" s="55"/>
      <c r="G53" s="55"/>
      <c r="H53" s="55"/>
    </row>
    <row r="54" spans="1:8">
      <c r="A54" s="104">
        <v>44</v>
      </c>
      <c r="B54" s="110">
        <v>35726</v>
      </c>
      <c r="C54" s="111">
        <v>31.6875</v>
      </c>
      <c r="D54" s="55">
        <f t="shared" si="0"/>
        <v>32.614600000000003</v>
      </c>
      <c r="E54" s="55">
        <f t="shared" si="1"/>
        <v>32.493066666666664</v>
      </c>
      <c r="F54" s="55"/>
      <c r="G54" s="55"/>
      <c r="H54" s="55"/>
    </row>
    <row r="55" spans="1:8">
      <c r="A55" s="103">
        <v>45</v>
      </c>
      <c r="B55" s="109">
        <v>35727</v>
      </c>
      <c r="C55" s="112">
        <v>31.406300000000002</v>
      </c>
      <c r="D55" s="52">
        <f t="shared" si="0"/>
        <v>32.000033333333334</v>
      </c>
      <c r="E55" s="52">
        <f t="shared" si="1"/>
        <v>32.416688888888892</v>
      </c>
      <c r="F55" s="52"/>
      <c r="G55" s="52"/>
      <c r="H55" s="52"/>
    </row>
    <row r="56" spans="1:8">
      <c r="A56" s="103">
        <v>46</v>
      </c>
      <c r="B56" s="109">
        <v>35730</v>
      </c>
      <c r="C56" s="112">
        <v>27.968800000000002</v>
      </c>
      <c r="D56" s="52">
        <f t="shared" si="0"/>
        <v>30.354200000000002</v>
      </c>
      <c r="E56" s="52">
        <f t="shared" si="1"/>
        <v>31.656277777777778</v>
      </c>
      <c r="F56" s="52"/>
      <c r="G56" s="52"/>
      <c r="H56" s="52"/>
    </row>
    <row r="57" spans="1:8">
      <c r="A57" s="104">
        <v>47</v>
      </c>
      <c r="B57" s="110">
        <v>35731</v>
      </c>
      <c r="C57" s="111">
        <v>29.531300000000002</v>
      </c>
      <c r="D57" s="55">
        <f t="shared" si="0"/>
        <v>29.63546666666667</v>
      </c>
      <c r="E57" s="55">
        <f t="shared" si="1"/>
        <v>30.663233333333338</v>
      </c>
      <c r="F57" s="55"/>
      <c r="G57" s="55"/>
      <c r="H57" s="55"/>
    </row>
    <row r="58" spans="1:8">
      <c r="A58" s="104">
        <v>48</v>
      </c>
      <c r="B58" s="110">
        <v>35732</v>
      </c>
      <c r="C58" s="111">
        <v>30.5</v>
      </c>
      <c r="D58" s="55">
        <f t="shared" si="0"/>
        <v>29.333366666666667</v>
      </c>
      <c r="E58" s="55">
        <f t="shared" si="1"/>
        <v>29.774344444444448</v>
      </c>
      <c r="F58" s="55"/>
      <c r="G58" s="55"/>
      <c r="H58" s="55"/>
    </row>
    <row r="59" spans="1:8">
      <c r="A59" s="103">
        <v>49</v>
      </c>
      <c r="B59" s="109">
        <v>35733</v>
      </c>
      <c r="C59" s="112">
        <v>31.5</v>
      </c>
      <c r="D59" s="52">
        <f t="shared" si="0"/>
        <v>30.510433333333335</v>
      </c>
      <c r="E59" s="52">
        <f t="shared" si="1"/>
        <v>29.826422222222224</v>
      </c>
      <c r="F59" s="52"/>
      <c r="G59" s="52"/>
      <c r="H59" s="52"/>
    </row>
    <row r="60" spans="1:8">
      <c r="A60" s="103">
        <v>50</v>
      </c>
      <c r="B60" s="109">
        <v>35734</v>
      </c>
      <c r="C60" s="112">
        <v>31.6875</v>
      </c>
      <c r="D60" s="52">
        <f t="shared" si="0"/>
        <v>31.229166666666668</v>
      </c>
      <c r="E60" s="52">
        <f t="shared" si="1"/>
        <v>30.357655555555557</v>
      </c>
      <c r="F60" s="52"/>
      <c r="G60" s="52"/>
      <c r="H60" s="52"/>
    </row>
    <row r="61" spans="1:8">
      <c r="A61" s="104">
        <v>51</v>
      </c>
      <c r="B61" s="110">
        <v>35737</v>
      </c>
      <c r="C61" s="111">
        <v>32.375</v>
      </c>
      <c r="D61" s="55">
        <f t="shared" si="0"/>
        <v>31.854166666666668</v>
      </c>
      <c r="E61" s="55">
        <f t="shared" si="1"/>
        <v>31.197922222222221</v>
      </c>
      <c r="F61" s="55"/>
      <c r="G61" s="55"/>
      <c r="H61" s="55"/>
    </row>
    <row r="62" spans="1:8">
      <c r="A62" s="104">
        <v>52</v>
      </c>
      <c r="B62" s="110">
        <v>35738</v>
      </c>
      <c r="C62" s="111">
        <v>33.093800000000002</v>
      </c>
      <c r="D62" s="55">
        <f t="shared" si="0"/>
        <v>32.385433333333332</v>
      </c>
      <c r="E62" s="55">
        <f t="shared" si="1"/>
        <v>31.822922222222221</v>
      </c>
      <c r="F62" s="55"/>
      <c r="G62" s="55"/>
      <c r="H62" s="55"/>
    </row>
    <row r="63" spans="1:8">
      <c r="A63" s="103">
        <v>53</v>
      </c>
      <c r="B63" s="109">
        <v>35739</v>
      </c>
      <c r="C63" s="112">
        <v>34.093800000000002</v>
      </c>
      <c r="D63" s="52">
        <f t="shared" si="0"/>
        <v>33.187533333333334</v>
      </c>
      <c r="E63" s="52">
        <f t="shared" si="1"/>
        <v>32.47571111111111</v>
      </c>
      <c r="F63" s="52"/>
      <c r="G63" s="52"/>
      <c r="H63" s="52"/>
    </row>
    <row r="64" spans="1:8">
      <c r="A64" s="103">
        <v>54</v>
      </c>
      <c r="B64" s="109">
        <v>35740</v>
      </c>
      <c r="C64" s="112">
        <v>33.468800000000002</v>
      </c>
      <c r="D64" s="52">
        <f t="shared" si="0"/>
        <v>33.552133333333337</v>
      </c>
      <c r="E64" s="52">
        <f t="shared" si="1"/>
        <v>33.041699999999999</v>
      </c>
      <c r="F64" s="52"/>
      <c r="G64" s="52"/>
      <c r="H64" s="52"/>
    </row>
    <row r="65" spans="1:8">
      <c r="A65" s="71">
        <v>55</v>
      </c>
      <c r="B65" s="110">
        <v>35741</v>
      </c>
      <c r="C65" s="111">
        <v>32.968800000000002</v>
      </c>
      <c r="D65" s="55">
        <f t="shared" si="0"/>
        <v>33.510466666666666</v>
      </c>
      <c r="E65" s="55">
        <f t="shared" si="1"/>
        <v>33.416711111111113</v>
      </c>
      <c r="F65" s="55"/>
      <c r="G65" s="55"/>
      <c r="H65" s="55"/>
    </row>
    <row r="66" spans="1:8">
      <c r="A66" s="71">
        <v>56</v>
      </c>
      <c r="B66" s="110">
        <v>35744</v>
      </c>
      <c r="C66" s="111">
        <v>32.6875</v>
      </c>
      <c r="D66" s="55">
        <f t="shared" si="0"/>
        <v>33.041699999999999</v>
      </c>
      <c r="E66" s="55">
        <f t="shared" si="1"/>
        <v>33.368099999999998</v>
      </c>
      <c r="F66" s="55"/>
      <c r="G66" s="55"/>
      <c r="H66" s="55"/>
    </row>
    <row r="67" spans="1:8">
      <c r="B67" s="2"/>
      <c r="C67" s="32"/>
      <c r="D67" s="4"/>
      <c r="E67" s="4"/>
      <c r="F67" s="4"/>
      <c r="G67" s="4"/>
      <c r="H67" s="4"/>
    </row>
    <row r="68" spans="1:8">
      <c r="B68" s="2"/>
      <c r="D68" s="4"/>
      <c r="E68" s="4"/>
      <c r="F68" s="4"/>
      <c r="G68" s="4"/>
      <c r="H68" s="4"/>
    </row>
    <row r="69" spans="1:8" ht="52.5" customHeight="1">
      <c r="A69" s="447" t="s">
        <v>197</v>
      </c>
      <c r="B69" s="447"/>
      <c r="C69" s="447"/>
      <c r="D69" s="447"/>
      <c r="E69" s="447"/>
      <c r="F69" s="447"/>
      <c r="G69" s="447"/>
      <c r="H69" s="447"/>
    </row>
    <row r="70" spans="1:8" ht="39.75" customHeight="1">
      <c r="A70" s="447" t="s">
        <v>198</v>
      </c>
      <c r="B70" s="447"/>
      <c r="C70" s="447"/>
      <c r="D70" s="447"/>
      <c r="E70" s="447"/>
      <c r="F70" s="447"/>
      <c r="G70" s="447"/>
      <c r="H70" s="447"/>
    </row>
    <row r="71" spans="1:8" ht="34.5" customHeight="1">
      <c r="A71" s="447" t="s">
        <v>199</v>
      </c>
      <c r="B71" s="447"/>
      <c r="C71" s="447"/>
      <c r="D71" s="447"/>
      <c r="E71" s="447"/>
      <c r="F71" s="447"/>
      <c r="G71" s="447"/>
      <c r="H71" s="447"/>
    </row>
    <row r="72" spans="1:8">
      <c r="B72" s="2"/>
    </row>
    <row r="73" spans="1:8">
      <c r="B73" s="2"/>
    </row>
    <row r="74" spans="1:8">
      <c r="B74" s="2"/>
    </row>
    <row r="75" spans="1:8">
      <c r="B75" s="2"/>
    </row>
    <row r="76" spans="1:8">
      <c r="B76" s="2"/>
    </row>
    <row r="77" spans="1:8">
      <c r="B77" s="2"/>
    </row>
    <row r="78" spans="1:8">
      <c r="B78" s="2"/>
    </row>
    <row r="79" spans="1:8">
      <c r="B79" s="2"/>
    </row>
    <row r="80" spans="1:8">
      <c r="B80" s="2"/>
    </row>
    <row r="81" spans="2:2">
      <c r="B81" s="2"/>
    </row>
    <row r="82" spans="2:2">
      <c r="B82" s="2"/>
    </row>
    <row r="83" spans="2:2">
      <c r="B83" s="2"/>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2"/>
    </row>
    <row r="217" spans="2:2">
      <c r="B217" s="2"/>
    </row>
    <row r="218" spans="2:2">
      <c r="B218" s="2"/>
    </row>
    <row r="219" spans="2:2">
      <c r="B219" s="2"/>
    </row>
    <row r="220" spans="2:2">
      <c r="B220" s="2"/>
    </row>
    <row r="221" spans="2:2">
      <c r="B221" s="2"/>
    </row>
    <row r="222" spans="2:2">
      <c r="B222" s="2"/>
    </row>
    <row r="223" spans="2:2">
      <c r="B223" s="2"/>
    </row>
    <row r="224" spans="2:2">
      <c r="B224" s="2"/>
    </row>
    <row r="225" spans="2:2">
      <c r="B225" s="2"/>
    </row>
    <row r="226" spans="2:2">
      <c r="B226" s="2"/>
    </row>
    <row r="227" spans="2:2">
      <c r="B227" s="2"/>
    </row>
    <row r="228" spans="2:2">
      <c r="B228" s="2"/>
    </row>
    <row r="229" spans="2:2">
      <c r="B229" s="2"/>
    </row>
    <row r="230" spans="2:2">
      <c r="B230" s="2"/>
    </row>
    <row r="231" spans="2:2">
      <c r="B231" s="2"/>
    </row>
    <row r="232" spans="2:2">
      <c r="B232" s="2"/>
    </row>
    <row r="233" spans="2:2">
      <c r="B233" s="2"/>
    </row>
    <row r="234" spans="2:2">
      <c r="B234" s="2"/>
    </row>
    <row r="235" spans="2:2">
      <c r="B235" s="2"/>
    </row>
    <row r="236" spans="2:2">
      <c r="B236" s="2"/>
    </row>
    <row r="237" spans="2:2">
      <c r="B237" s="2"/>
    </row>
    <row r="238" spans="2:2">
      <c r="B238" s="2"/>
    </row>
    <row r="239" spans="2:2">
      <c r="B239" s="2"/>
    </row>
    <row r="240" spans="2:2">
      <c r="B240" s="2"/>
    </row>
    <row r="241" spans="2:2">
      <c r="B241" s="2"/>
    </row>
    <row r="242" spans="2:2">
      <c r="B242" s="2"/>
    </row>
    <row r="243" spans="2:2">
      <c r="B243" s="2"/>
    </row>
    <row r="244" spans="2:2">
      <c r="B244" s="2"/>
    </row>
    <row r="245" spans="2:2">
      <c r="B245" s="2"/>
    </row>
    <row r="246" spans="2:2">
      <c r="B246" s="2"/>
    </row>
    <row r="247" spans="2:2">
      <c r="B247" s="2"/>
    </row>
    <row r="248" spans="2:2">
      <c r="B248" s="2"/>
    </row>
    <row r="249" spans="2:2">
      <c r="B249" s="2"/>
    </row>
    <row r="250" spans="2:2">
      <c r="B250" s="2"/>
    </row>
    <row r="251" spans="2:2">
      <c r="B251" s="2"/>
    </row>
    <row r="252" spans="2:2">
      <c r="B252" s="2"/>
    </row>
    <row r="253" spans="2:2">
      <c r="B253" s="2"/>
    </row>
    <row r="254" spans="2:2">
      <c r="B254" s="2"/>
    </row>
    <row r="255" spans="2:2">
      <c r="B255" s="2"/>
    </row>
    <row r="256" spans="2:2">
      <c r="B256" s="2"/>
    </row>
    <row r="257" spans="2:2">
      <c r="B257" s="2"/>
    </row>
    <row r="258" spans="2:2">
      <c r="B258" s="2"/>
    </row>
    <row r="259" spans="2:2">
      <c r="B259" s="2"/>
    </row>
    <row r="260" spans="2:2">
      <c r="B260" s="2"/>
    </row>
    <row r="261" spans="2:2">
      <c r="B261" s="2"/>
    </row>
    <row r="262" spans="2:2">
      <c r="B262" s="2"/>
    </row>
    <row r="263" spans="2:2">
      <c r="B263" s="2"/>
    </row>
    <row r="264" spans="2:2">
      <c r="B264" s="2"/>
    </row>
    <row r="265" spans="2:2">
      <c r="B265" s="2"/>
    </row>
    <row r="266" spans="2:2">
      <c r="B266" s="2"/>
    </row>
    <row r="267" spans="2:2">
      <c r="B267" s="2"/>
    </row>
    <row r="268" spans="2:2">
      <c r="B268" s="2"/>
    </row>
    <row r="269" spans="2:2">
      <c r="B269" s="2"/>
    </row>
    <row r="270" spans="2:2">
      <c r="B270" s="2"/>
    </row>
    <row r="271" spans="2:2">
      <c r="B271" s="2"/>
    </row>
    <row r="272" spans="2:2">
      <c r="B272" s="2"/>
    </row>
    <row r="273" spans="2:2">
      <c r="B273" s="2"/>
    </row>
    <row r="274" spans="2:2">
      <c r="B274" s="2"/>
    </row>
    <row r="275" spans="2:2">
      <c r="B275" s="2"/>
    </row>
    <row r="276" spans="2:2">
      <c r="B276" s="2"/>
    </row>
    <row r="277" spans="2:2">
      <c r="B277" s="2"/>
    </row>
    <row r="278" spans="2:2">
      <c r="B278" s="2"/>
    </row>
    <row r="279" spans="2:2">
      <c r="B279" s="2"/>
    </row>
    <row r="280" spans="2:2">
      <c r="B280" s="2"/>
    </row>
    <row r="281" spans="2:2">
      <c r="B281" s="2"/>
    </row>
    <row r="282" spans="2:2">
      <c r="B282" s="2"/>
    </row>
    <row r="283" spans="2:2">
      <c r="B283" s="2"/>
    </row>
    <row r="284" spans="2:2">
      <c r="B284" s="2"/>
    </row>
    <row r="285" spans="2:2">
      <c r="B285" s="2"/>
    </row>
    <row r="286" spans="2:2">
      <c r="B286" s="2"/>
    </row>
    <row r="287" spans="2:2">
      <c r="B287" s="2"/>
    </row>
    <row r="288" spans="2:2">
      <c r="B288" s="2"/>
    </row>
    <row r="289" spans="2:2">
      <c r="B289" s="2"/>
    </row>
    <row r="290" spans="2:2">
      <c r="B290" s="2"/>
    </row>
    <row r="291" spans="2:2">
      <c r="B291" s="2"/>
    </row>
    <row r="292" spans="2:2">
      <c r="B292" s="2"/>
    </row>
    <row r="293" spans="2:2">
      <c r="B293" s="2"/>
    </row>
    <row r="294" spans="2:2">
      <c r="B294" s="2"/>
    </row>
    <row r="295" spans="2:2">
      <c r="B295" s="2"/>
    </row>
    <row r="296" spans="2:2">
      <c r="B296" s="2"/>
    </row>
    <row r="297" spans="2:2">
      <c r="B297" s="2"/>
    </row>
    <row r="298" spans="2:2">
      <c r="B298" s="2"/>
    </row>
    <row r="299" spans="2:2">
      <c r="B299" s="2"/>
    </row>
    <row r="300" spans="2:2">
      <c r="B300" s="2"/>
    </row>
    <row r="301" spans="2:2">
      <c r="B301" s="2"/>
    </row>
    <row r="302" spans="2:2">
      <c r="B302" s="2"/>
    </row>
    <row r="303" spans="2:2">
      <c r="B303" s="2"/>
    </row>
    <row r="304" spans="2:2">
      <c r="B304" s="2"/>
    </row>
    <row r="305" spans="2:2">
      <c r="B305" s="2"/>
    </row>
    <row r="306" spans="2:2">
      <c r="B306" s="2"/>
    </row>
    <row r="307" spans="2:2">
      <c r="B307" s="2"/>
    </row>
    <row r="308" spans="2:2">
      <c r="B308" s="2"/>
    </row>
    <row r="309" spans="2:2">
      <c r="B309" s="2"/>
    </row>
    <row r="310" spans="2:2">
      <c r="B310" s="2"/>
    </row>
    <row r="311" spans="2:2">
      <c r="B311" s="2"/>
    </row>
    <row r="312" spans="2:2">
      <c r="B312" s="2"/>
    </row>
    <row r="313" spans="2:2">
      <c r="B313" s="2"/>
    </row>
    <row r="314" spans="2:2">
      <c r="B314" s="2"/>
    </row>
    <row r="315" spans="2:2">
      <c r="B315" s="2"/>
    </row>
    <row r="316" spans="2:2">
      <c r="B316" s="2"/>
    </row>
    <row r="317" spans="2:2">
      <c r="B317" s="2"/>
    </row>
    <row r="318" spans="2:2">
      <c r="B318" s="2"/>
    </row>
    <row r="319" spans="2:2">
      <c r="B319" s="2"/>
    </row>
    <row r="320" spans="2:2">
      <c r="B320" s="2"/>
    </row>
    <row r="321" spans="2:2">
      <c r="B321" s="2"/>
    </row>
    <row r="322" spans="2:2">
      <c r="B322" s="2"/>
    </row>
    <row r="323" spans="2:2">
      <c r="B323" s="2"/>
    </row>
    <row r="324" spans="2:2">
      <c r="B324" s="2"/>
    </row>
    <row r="325" spans="2:2">
      <c r="B325" s="2"/>
    </row>
    <row r="326" spans="2:2">
      <c r="B326" s="2"/>
    </row>
    <row r="327" spans="2:2">
      <c r="B327" s="2"/>
    </row>
    <row r="328" spans="2:2">
      <c r="B328" s="2"/>
    </row>
    <row r="329" spans="2:2">
      <c r="B329" s="2"/>
    </row>
    <row r="330" spans="2:2">
      <c r="B330" s="2"/>
    </row>
    <row r="331" spans="2:2">
      <c r="B331" s="2"/>
    </row>
    <row r="332" spans="2:2">
      <c r="B332" s="2"/>
    </row>
    <row r="333" spans="2:2">
      <c r="B333" s="2"/>
    </row>
    <row r="334" spans="2:2">
      <c r="B334" s="2"/>
    </row>
    <row r="335" spans="2:2">
      <c r="B335" s="2"/>
    </row>
    <row r="336" spans="2:2">
      <c r="B336" s="2"/>
    </row>
    <row r="337" spans="2:2">
      <c r="B337" s="2"/>
    </row>
    <row r="338" spans="2:2">
      <c r="B338" s="2"/>
    </row>
    <row r="339" spans="2:2">
      <c r="B339" s="2"/>
    </row>
    <row r="340" spans="2:2">
      <c r="B340" s="2"/>
    </row>
    <row r="341" spans="2:2">
      <c r="B341" s="2"/>
    </row>
    <row r="342" spans="2:2">
      <c r="B342" s="2"/>
    </row>
    <row r="343" spans="2:2">
      <c r="B343" s="2"/>
    </row>
    <row r="344" spans="2:2">
      <c r="B344" s="2"/>
    </row>
    <row r="345" spans="2:2">
      <c r="B345" s="2"/>
    </row>
    <row r="346" spans="2:2">
      <c r="B346" s="2"/>
    </row>
    <row r="347" spans="2:2">
      <c r="B347" s="2"/>
    </row>
    <row r="348" spans="2:2">
      <c r="B348" s="2"/>
    </row>
    <row r="349" spans="2:2">
      <c r="B349" s="2"/>
    </row>
    <row r="350" spans="2:2">
      <c r="B350" s="2"/>
    </row>
    <row r="351" spans="2:2">
      <c r="B351" s="2"/>
    </row>
    <row r="352" spans="2:2">
      <c r="B352" s="2"/>
    </row>
    <row r="353" spans="2:2">
      <c r="B353" s="2"/>
    </row>
    <row r="354" spans="2:2">
      <c r="B354" s="2"/>
    </row>
    <row r="355" spans="2:2">
      <c r="B355" s="2"/>
    </row>
    <row r="356" spans="2:2">
      <c r="B356" s="2"/>
    </row>
    <row r="357" spans="2:2">
      <c r="B357" s="2"/>
    </row>
    <row r="358" spans="2:2">
      <c r="B358" s="2"/>
    </row>
    <row r="359" spans="2:2">
      <c r="B359" s="2"/>
    </row>
    <row r="360" spans="2:2">
      <c r="B360" s="2"/>
    </row>
    <row r="361" spans="2:2">
      <c r="B361" s="2"/>
    </row>
    <row r="362" spans="2:2">
      <c r="B362" s="2"/>
    </row>
    <row r="363" spans="2:2">
      <c r="B363" s="2"/>
    </row>
    <row r="364" spans="2:2">
      <c r="B364" s="2"/>
    </row>
    <row r="365" spans="2:2">
      <c r="B365" s="2"/>
    </row>
    <row r="366" spans="2:2">
      <c r="B366" s="2"/>
    </row>
    <row r="367" spans="2:2">
      <c r="B367" s="2"/>
    </row>
    <row r="368" spans="2:2">
      <c r="B368" s="2"/>
    </row>
    <row r="369" spans="2:2">
      <c r="B369" s="2"/>
    </row>
    <row r="370" spans="2:2">
      <c r="B370" s="2"/>
    </row>
    <row r="371" spans="2:2">
      <c r="B371" s="2"/>
    </row>
    <row r="372" spans="2:2">
      <c r="B372" s="2"/>
    </row>
    <row r="373" spans="2:2">
      <c r="B373" s="2"/>
    </row>
    <row r="374" spans="2:2">
      <c r="B374" s="2"/>
    </row>
    <row r="375" spans="2:2">
      <c r="B375" s="2"/>
    </row>
    <row r="376" spans="2:2">
      <c r="B376" s="2"/>
    </row>
    <row r="377" spans="2:2">
      <c r="B377" s="2"/>
    </row>
    <row r="378" spans="2:2">
      <c r="B378" s="2"/>
    </row>
    <row r="379" spans="2:2">
      <c r="B379" s="2"/>
    </row>
    <row r="380" spans="2:2">
      <c r="B380" s="2"/>
    </row>
    <row r="381" spans="2:2">
      <c r="B381" s="2"/>
    </row>
    <row r="382" spans="2:2">
      <c r="B382" s="2"/>
    </row>
    <row r="383" spans="2:2">
      <c r="B383" s="2"/>
    </row>
    <row r="384" spans="2:2">
      <c r="B384" s="2"/>
    </row>
    <row r="385" spans="2:2">
      <c r="B385" s="2"/>
    </row>
    <row r="386" spans="2:2">
      <c r="B386" s="2"/>
    </row>
    <row r="387" spans="2:2">
      <c r="B387" s="2"/>
    </row>
    <row r="388" spans="2:2">
      <c r="B388" s="2"/>
    </row>
    <row r="389" spans="2:2">
      <c r="B389" s="2"/>
    </row>
    <row r="390" spans="2:2">
      <c r="B390" s="2"/>
    </row>
    <row r="391" spans="2:2">
      <c r="B391" s="2"/>
    </row>
    <row r="392" spans="2:2">
      <c r="B392" s="2"/>
    </row>
    <row r="393" spans="2:2">
      <c r="B393" s="2"/>
    </row>
    <row r="394" spans="2:2">
      <c r="B394" s="2"/>
    </row>
    <row r="395" spans="2:2">
      <c r="B395" s="2"/>
    </row>
    <row r="396" spans="2:2">
      <c r="B396" s="2"/>
    </row>
    <row r="397" spans="2:2">
      <c r="B397" s="2"/>
    </row>
    <row r="398" spans="2:2">
      <c r="B398" s="2"/>
    </row>
    <row r="399" spans="2:2">
      <c r="B399" s="2"/>
    </row>
    <row r="400" spans="2:2">
      <c r="B400" s="2"/>
    </row>
    <row r="401" spans="2:2">
      <c r="B401" s="2"/>
    </row>
    <row r="402" spans="2:2">
      <c r="B402" s="2"/>
    </row>
    <row r="403" spans="2:2">
      <c r="B403" s="2"/>
    </row>
    <row r="404" spans="2:2">
      <c r="B404" s="2"/>
    </row>
    <row r="405" spans="2:2">
      <c r="B405" s="2"/>
    </row>
    <row r="406" spans="2:2">
      <c r="B406" s="2"/>
    </row>
    <row r="407" spans="2:2">
      <c r="B407" s="2"/>
    </row>
    <row r="408" spans="2:2">
      <c r="B408" s="2"/>
    </row>
    <row r="409" spans="2:2">
      <c r="B409" s="2"/>
    </row>
    <row r="410" spans="2:2">
      <c r="B410" s="2"/>
    </row>
    <row r="411" spans="2:2">
      <c r="B411" s="2"/>
    </row>
    <row r="412" spans="2:2">
      <c r="B412" s="2"/>
    </row>
    <row r="413" spans="2:2">
      <c r="B413" s="2"/>
    </row>
    <row r="414" spans="2:2">
      <c r="B414" s="2"/>
    </row>
    <row r="415" spans="2:2">
      <c r="B415" s="2"/>
    </row>
    <row r="416" spans="2:2">
      <c r="B416" s="2"/>
    </row>
    <row r="417" spans="2:2">
      <c r="B417" s="2"/>
    </row>
    <row r="418" spans="2:2">
      <c r="B418" s="2"/>
    </row>
    <row r="419" spans="2:2">
      <c r="B419" s="2"/>
    </row>
    <row r="420" spans="2:2">
      <c r="B420" s="2"/>
    </row>
    <row r="421" spans="2:2">
      <c r="B421" s="2"/>
    </row>
    <row r="422" spans="2:2">
      <c r="B422" s="2"/>
    </row>
    <row r="423" spans="2:2">
      <c r="B423" s="2"/>
    </row>
    <row r="424" spans="2:2">
      <c r="B424" s="2"/>
    </row>
    <row r="425" spans="2:2">
      <c r="B425" s="2"/>
    </row>
    <row r="426" spans="2:2">
      <c r="B426" s="2"/>
    </row>
    <row r="427" spans="2:2">
      <c r="B427" s="2"/>
    </row>
    <row r="428" spans="2:2">
      <c r="B428" s="2"/>
    </row>
    <row r="429" spans="2:2">
      <c r="B429" s="2"/>
    </row>
    <row r="430" spans="2:2">
      <c r="B430" s="2"/>
    </row>
    <row r="431" spans="2:2">
      <c r="B431" s="2"/>
    </row>
    <row r="432" spans="2:2">
      <c r="B432" s="2"/>
    </row>
    <row r="433" spans="2:2">
      <c r="B433" s="2"/>
    </row>
    <row r="434" spans="2:2">
      <c r="B434" s="2"/>
    </row>
    <row r="435" spans="2:2">
      <c r="B435" s="2"/>
    </row>
    <row r="436" spans="2:2">
      <c r="B436" s="2"/>
    </row>
    <row r="437" spans="2:2">
      <c r="B437" s="2"/>
    </row>
    <row r="438" spans="2:2">
      <c r="B438" s="2"/>
    </row>
    <row r="439" spans="2:2">
      <c r="B439" s="2"/>
    </row>
    <row r="440" spans="2:2">
      <c r="B440" s="2"/>
    </row>
    <row r="441" spans="2:2">
      <c r="B441" s="2"/>
    </row>
    <row r="442" spans="2:2">
      <c r="B442" s="2"/>
    </row>
    <row r="443" spans="2:2">
      <c r="B443" s="2"/>
    </row>
    <row r="444" spans="2:2">
      <c r="B444" s="2"/>
    </row>
    <row r="445" spans="2:2">
      <c r="B445" s="2"/>
    </row>
    <row r="446" spans="2:2">
      <c r="B446" s="2"/>
    </row>
    <row r="447" spans="2:2">
      <c r="B447" s="2"/>
    </row>
    <row r="448" spans="2:2">
      <c r="B448" s="2"/>
    </row>
    <row r="449" spans="2:2">
      <c r="B449" s="2"/>
    </row>
    <row r="450" spans="2:2">
      <c r="B450" s="2"/>
    </row>
    <row r="451" spans="2:2">
      <c r="B451" s="2"/>
    </row>
    <row r="452" spans="2:2">
      <c r="B452" s="2"/>
    </row>
    <row r="453" spans="2:2">
      <c r="B453" s="2"/>
    </row>
    <row r="454" spans="2:2">
      <c r="B454" s="2"/>
    </row>
    <row r="455" spans="2:2">
      <c r="B455" s="2"/>
    </row>
    <row r="456" spans="2:2">
      <c r="B456" s="2"/>
    </row>
    <row r="457" spans="2:2">
      <c r="B457" s="2"/>
    </row>
    <row r="458" spans="2:2">
      <c r="B458" s="2"/>
    </row>
    <row r="459" spans="2:2">
      <c r="B459" s="2"/>
    </row>
    <row r="460" spans="2:2">
      <c r="B460" s="2"/>
    </row>
    <row r="461" spans="2:2">
      <c r="B461" s="2"/>
    </row>
    <row r="462" spans="2:2">
      <c r="B462" s="2"/>
    </row>
    <row r="463" spans="2:2">
      <c r="B463" s="2"/>
    </row>
    <row r="464" spans="2:2">
      <c r="B464" s="2"/>
    </row>
    <row r="465" spans="2:2">
      <c r="B465" s="2"/>
    </row>
    <row r="466" spans="2:2">
      <c r="B466" s="2"/>
    </row>
    <row r="467" spans="2:2">
      <c r="B467" s="2"/>
    </row>
    <row r="468" spans="2:2">
      <c r="B468" s="2"/>
    </row>
    <row r="469" spans="2:2">
      <c r="B469" s="2"/>
    </row>
    <row r="470" spans="2:2">
      <c r="B470" s="2"/>
    </row>
    <row r="471" spans="2:2">
      <c r="B471" s="2"/>
    </row>
    <row r="472" spans="2:2">
      <c r="B472" s="2"/>
    </row>
    <row r="473" spans="2:2">
      <c r="B473" s="2"/>
    </row>
    <row r="474" spans="2:2">
      <c r="B474" s="2"/>
    </row>
    <row r="475" spans="2:2">
      <c r="B475" s="2"/>
    </row>
    <row r="476" spans="2:2">
      <c r="B476" s="2"/>
    </row>
    <row r="477" spans="2:2">
      <c r="B477" s="2"/>
    </row>
    <row r="478" spans="2:2">
      <c r="B478" s="2"/>
    </row>
    <row r="479" spans="2:2">
      <c r="B479" s="2"/>
    </row>
    <row r="480" spans="2:2">
      <c r="B480" s="2"/>
    </row>
    <row r="481" spans="2:2">
      <c r="B481" s="2"/>
    </row>
    <row r="482" spans="2:2">
      <c r="B482" s="2"/>
    </row>
    <row r="483" spans="2:2">
      <c r="B483" s="2"/>
    </row>
    <row r="484" spans="2:2">
      <c r="B484" s="2"/>
    </row>
    <row r="485" spans="2:2">
      <c r="B485" s="2"/>
    </row>
    <row r="486" spans="2:2">
      <c r="B486" s="2"/>
    </row>
    <row r="487" spans="2:2">
      <c r="B487" s="2"/>
    </row>
    <row r="488" spans="2:2">
      <c r="B488" s="2"/>
    </row>
    <row r="489" spans="2:2">
      <c r="B489" s="2"/>
    </row>
    <row r="490" spans="2:2">
      <c r="B490" s="2"/>
    </row>
    <row r="491" spans="2:2">
      <c r="B491" s="2"/>
    </row>
    <row r="492" spans="2:2">
      <c r="B492" s="2"/>
    </row>
    <row r="493" spans="2:2">
      <c r="B493" s="2"/>
    </row>
    <row r="494" spans="2:2">
      <c r="B494" s="2"/>
    </row>
    <row r="495" spans="2:2">
      <c r="B495" s="2"/>
    </row>
    <row r="496" spans="2:2">
      <c r="B496" s="2"/>
    </row>
    <row r="497" spans="2:2">
      <c r="B497" s="2"/>
    </row>
    <row r="498" spans="2:2">
      <c r="B498" s="2"/>
    </row>
    <row r="499" spans="2:2">
      <c r="B499" s="2"/>
    </row>
  </sheetData>
  <mergeCells count="8">
    <mergeCell ref="A70:H70"/>
    <mergeCell ref="A71:H71"/>
    <mergeCell ref="B5:H5"/>
    <mergeCell ref="B6:H6"/>
    <mergeCell ref="B7:H7"/>
    <mergeCell ref="B8:H8"/>
    <mergeCell ref="B9:H9"/>
    <mergeCell ref="A69:H69"/>
  </mergeCells>
  <phoneticPr fontId="0"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62466" r:id="rId3" name="Button 2">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62467" r:id="rId4" name="Button 3">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62468" r:id="rId5" name="Button 4">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62469" r:id="rId6" name="Button 5">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7" enableFormatConditionsCalculation="0"/>
  <dimension ref="A1:N508"/>
  <sheetViews>
    <sheetView workbookViewId="0"/>
  </sheetViews>
  <sheetFormatPr baseColWidth="10" defaultColWidth="8.83203125" defaultRowHeight="12" x14ac:dyDescent="0"/>
  <cols>
    <col min="1" max="1" width="11.6640625" customWidth="1"/>
    <col min="3" max="3" width="11.83203125" customWidth="1"/>
    <col min="4" max="5" width="10.5" customWidth="1"/>
    <col min="6" max="6" width="13.1640625" customWidth="1"/>
    <col min="7" max="7" width="10.5" customWidth="1"/>
    <col min="8" max="8" width="11.33203125" customWidth="1"/>
  </cols>
  <sheetData>
    <row r="1" spans="1:14">
      <c r="A1" s="21"/>
      <c r="B1" s="21"/>
      <c r="C1" s="21" t="s">
        <v>846</v>
      </c>
      <c r="D1" s="21"/>
      <c r="E1" s="21"/>
      <c r="F1" s="21"/>
      <c r="G1" s="21"/>
      <c r="H1" s="21"/>
    </row>
    <row r="2" spans="1:14" ht="21" customHeight="1">
      <c r="A2" s="21"/>
      <c r="B2" s="21"/>
      <c r="C2" s="21"/>
      <c r="D2" s="374"/>
      <c r="E2" s="374"/>
      <c r="F2" s="374"/>
      <c r="G2" s="374"/>
      <c r="H2" s="374"/>
      <c r="I2" s="372"/>
      <c r="J2" s="372"/>
      <c r="K2" s="372"/>
      <c r="L2" s="372"/>
      <c r="M2" s="372"/>
      <c r="N2" s="372"/>
    </row>
    <row r="3" spans="1:14">
      <c r="A3" s="19" t="s">
        <v>1045</v>
      </c>
      <c r="B3" s="20" t="s">
        <v>128</v>
      </c>
      <c r="C3" s="21"/>
      <c r="D3" s="21"/>
      <c r="E3" s="21"/>
      <c r="F3" s="21"/>
      <c r="G3" s="21"/>
      <c r="H3" s="21"/>
    </row>
    <row r="4" spans="1:14">
      <c r="A4" s="19" t="s">
        <v>774</v>
      </c>
      <c r="B4" s="20" t="s">
        <v>129</v>
      </c>
      <c r="C4" s="21"/>
      <c r="D4" s="21"/>
      <c r="E4" s="21"/>
      <c r="F4" s="21"/>
      <c r="G4" s="21"/>
      <c r="H4" s="21"/>
    </row>
    <row r="5" spans="1:14" ht="15">
      <c r="A5" s="19" t="s">
        <v>779</v>
      </c>
      <c r="B5" s="127" t="s">
        <v>175</v>
      </c>
      <c r="C5" s="21"/>
      <c r="D5" s="21"/>
      <c r="E5" s="21"/>
      <c r="F5" s="21"/>
      <c r="G5" s="21"/>
      <c r="H5" s="21"/>
    </row>
    <row r="6" spans="1:14" ht="17.25" customHeight="1">
      <c r="A6" s="21"/>
      <c r="B6" s="21"/>
      <c r="C6" s="189" t="s">
        <v>206</v>
      </c>
      <c r="D6" s="21"/>
      <c r="E6" s="21"/>
      <c r="F6" s="21"/>
      <c r="G6" s="21"/>
      <c r="H6" s="21"/>
    </row>
    <row r="7" spans="1:14" ht="14.25" customHeight="1">
      <c r="A7" s="19"/>
      <c r="B7" s="127" t="s">
        <v>1205</v>
      </c>
      <c r="C7" s="21"/>
      <c r="D7" s="21"/>
      <c r="E7" s="21"/>
      <c r="F7" s="21"/>
      <c r="G7" s="21"/>
      <c r="H7" s="21"/>
    </row>
    <row r="8" spans="1:14" ht="33" customHeight="1">
      <c r="A8" s="19"/>
      <c r="B8" s="446"/>
      <c r="C8" s="446"/>
      <c r="D8" s="446"/>
      <c r="E8" s="446"/>
      <c r="F8" s="446"/>
      <c r="G8" s="446"/>
      <c r="H8" s="446"/>
    </row>
    <row r="9" spans="1:14" ht="14.25" customHeight="1">
      <c r="A9" s="19"/>
      <c r="B9" s="353" t="s">
        <v>458</v>
      </c>
      <c r="C9" s="124" t="s">
        <v>459</v>
      </c>
      <c r="D9" s="125"/>
      <c r="E9" s="125"/>
      <c r="F9" s="125"/>
      <c r="G9" s="125"/>
      <c r="H9" s="125"/>
    </row>
    <row r="10" spans="1:14" ht="14.25" customHeight="1">
      <c r="A10" s="21"/>
      <c r="B10" s="19" t="s">
        <v>458</v>
      </c>
      <c r="C10" s="337">
        <f>2/6</f>
        <v>0.33333333333333331</v>
      </c>
      <c r="D10" s="125"/>
      <c r="E10" s="125"/>
      <c r="F10" s="125"/>
      <c r="G10" s="125"/>
      <c r="H10" s="125"/>
    </row>
    <row r="11" spans="1:14" ht="14.25" customHeight="1">
      <c r="A11" s="19"/>
      <c r="B11" s="115" t="s">
        <v>460</v>
      </c>
      <c r="C11" s="21"/>
      <c r="D11" s="21"/>
      <c r="E11" s="21"/>
      <c r="F11" s="21"/>
      <c r="G11" s="21"/>
      <c r="H11" s="21"/>
    </row>
    <row r="12" spans="1:14" ht="14.25" customHeight="1">
      <c r="A12" s="19"/>
      <c r="B12" s="187" t="s">
        <v>176</v>
      </c>
      <c r="C12" s="21"/>
      <c r="D12" s="21"/>
      <c r="E12" s="21"/>
      <c r="F12" s="21"/>
      <c r="G12" s="21"/>
      <c r="H12" s="21"/>
    </row>
    <row r="13" spans="1:14" ht="14.25" customHeight="1">
      <c r="A13" s="19"/>
      <c r="B13" s="187" t="s">
        <v>90</v>
      </c>
      <c r="C13" s="21"/>
      <c r="D13" s="21"/>
      <c r="E13" s="21"/>
      <c r="F13" s="21"/>
      <c r="G13" s="21"/>
      <c r="H13" s="21"/>
    </row>
    <row r="14" spans="1:14" ht="50.25" customHeight="1">
      <c r="A14" s="22" t="s">
        <v>1090</v>
      </c>
      <c r="B14" s="22" t="s">
        <v>1098</v>
      </c>
      <c r="C14" s="196" t="s">
        <v>457</v>
      </c>
      <c r="D14" s="196" t="s">
        <v>527</v>
      </c>
      <c r="E14" s="196" t="s">
        <v>526</v>
      </c>
      <c r="F14" s="196" t="s">
        <v>528</v>
      </c>
      <c r="G14" s="196" t="s">
        <v>529</v>
      </c>
      <c r="H14" s="196"/>
    </row>
    <row r="15" spans="1:14">
      <c r="A15" s="109">
        <v>35664</v>
      </c>
      <c r="B15" s="112">
        <v>25</v>
      </c>
      <c r="C15" s="28" t="s">
        <v>1109</v>
      </c>
      <c r="D15" s="28"/>
      <c r="E15" s="28"/>
      <c r="F15" s="28"/>
      <c r="G15" s="28"/>
      <c r="H15" s="28"/>
      <c r="I15" s="2"/>
    </row>
    <row r="16" spans="1:14">
      <c r="A16" s="109">
        <v>35667</v>
      </c>
      <c r="B16" s="112">
        <v>24.875</v>
      </c>
      <c r="C16" s="28" t="s">
        <v>1109</v>
      </c>
      <c r="D16" s="28"/>
      <c r="E16" s="28"/>
      <c r="F16" s="28"/>
      <c r="G16" s="28"/>
      <c r="H16" s="28"/>
      <c r="I16" s="2"/>
    </row>
    <row r="17" spans="1:9">
      <c r="A17" s="110">
        <v>35668</v>
      </c>
      <c r="B17" s="111">
        <v>24.781300000000002</v>
      </c>
      <c r="C17" s="55" t="s">
        <v>1109</v>
      </c>
      <c r="D17" s="55"/>
      <c r="E17" s="55"/>
      <c r="F17" s="55"/>
      <c r="G17" s="55"/>
      <c r="H17" s="55"/>
      <c r="I17" s="2"/>
    </row>
    <row r="18" spans="1:9">
      <c r="A18" s="110">
        <v>35669</v>
      </c>
      <c r="B18" s="111">
        <v>24.593800000000002</v>
      </c>
      <c r="C18" s="55" t="s">
        <v>1109</v>
      </c>
      <c r="D18" s="55"/>
      <c r="E18" s="55"/>
      <c r="F18" s="55"/>
      <c r="G18" s="55"/>
      <c r="H18" s="55"/>
      <c r="I18" s="2"/>
    </row>
    <row r="19" spans="1:9">
      <c r="A19" s="109">
        <v>35670</v>
      </c>
      <c r="B19" s="112">
        <v>24.5</v>
      </c>
      <c r="C19" s="52" t="s">
        <v>1109</v>
      </c>
      <c r="D19" s="52"/>
      <c r="E19" s="52"/>
      <c r="F19" s="52"/>
      <c r="G19" s="52"/>
      <c r="H19" s="52"/>
      <c r="I19" s="2"/>
    </row>
    <row r="20" spans="1:9">
      <c r="A20" s="109">
        <v>35671</v>
      </c>
      <c r="B20" s="112">
        <v>24.625</v>
      </c>
      <c r="C20" s="52" t="s">
        <v>1109</v>
      </c>
      <c r="D20" s="52"/>
      <c r="E20" s="52"/>
      <c r="F20" s="52"/>
      <c r="G20" s="52"/>
      <c r="H20" s="52"/>
      <c r="I20" s="2"/>
    </row>
    <row r="21" spans="1:9">
      <c r="A21" s="110">
        <v>35675</v>
      </c>
      <c r="B21" s="111">
        <v>25.218800000000002</v>
      </c>
      <c r="C21" s="55" t="s">
        <v>1109</v>
      </c>
      <c r="D21" s="55"/>
      <c r="E21" s="55"/>
      <c r="F21" s="55"/>
      <c r="G21" s="55"/>
      <c r="H21" s="55"/>
      <c r="I21" s="2"/>
    </row>
    <row r="22" spans="1:9">
      <c r="A22" s="110">
        <v>35676</v>
      </c>
      <c r="B22" s="111">
        <v>27.25</v>
      </c>
      <c r="C22" s="55" t="s">
        <v>1109</v>
      </c>
      <c r="D22" s="55"/>
      <c r="E22" s="55"/>
      <c r="F22" s="55"/>
      <c r="G22" s="55"/>
      <c r="H22" s="55"/>
      <c r="I22" s="2"/>
    </row>
    <row r="23" spans="1:9">
      <c r="A23" s="109">
        <v>35677</v>
      </c>
      <c r="B23" s="112">
        <v>26.25</v>
      </c>
      <c r="C23" s="52" t="s">
        <v>1109</v>
      </c>
      <c r="D23" s="52"/>
      <c r="E23" s="52"/>
      <c r="F23" s="52"/>
      <c r="G23" s="52"/>
      <c r="H23" s="52"/>
      <c r="I23" s="2"/>
    </row>
    <row r="24" spans="1:9">
      <c r="A24" s="109">
        <v>35678</v>
      </c>
      <c r="B24" s="112">
        <v>26.593800000000002</v>
      </c>
      <c r="C24" s="52">
        <v>34.694600000000001</v>
      </c>
      <c r="D24" s="52"/>
      <c r="E24" s="52"/>
      <c r="F24" s="52"/>
      <c r="G24" s="52"/>
      <c r="H24" s="52"/>
      <c r="I24" s="2"/>
    </row>
    <row r="25" spans="1:9">
      <c r="A25" s="110">
        <v>35681</v>
      </c>
      <c r="B25" s="111">
        <v>27.593800000000002</v>
      </c>
      <c r="C25" s="55">
        <v>49.714700000000001</v>
      </c>
      <c r="D25" s="55"/>
      <c r="E25" s="55"/>
      <c r="F25" s="55"/>
      <c r="G25" s="55"/>
      <c r="H25" s="55"/>
      <c r="I25" s="2"/>
    </row>
    <row r="26" spans="1:9">
      <c r="A26" s="110">
        <v>35682</v>
      </c>
      <c r="B26" s="111">
        <v>27.875</v>
      </c>
      <c r="C26" s="55">
        <v>54.697499999999998</v>
      </c>
      <c r="D26" s="55"/>
      <c r="E26" s="55"/>
      <c r="F26" s="55"/>
      <c r="G26" s="55"/>
      <c r="H26" s="55"/>
      <c r="I26" s="2"/>
    </row>
    <row r="27" spans="1:9">
      <c r="A27" s="109">
        <v>35683</v>
      </c>
      <c r="B27" s="112">
        <v>27.531300000000002</v>
      </c>
      <c r="C27" s="52">
        <v>50.5351</v>
      </c>
      <c r="D27" s="52"/>
      <c r="E27" s="52"/>
      <c r="F27" s="52"/>
      <c r="G27" s="52"/>
      <c r="H27" s="52"/>
      <c r="I27" s="2"/>
    </row>
    <row r="28" spans="1:9">
      <c r="A28" s="109">
        <v>35684</v>
      </c>
      <c r="B28" s="112">
        <v>27.218800000000002</v>
      </c>
      <c r="C28" s="52">
        <v>45.078899999999997</v>
      </c>
      <c r="D28" s="52"/>
      <c r="E28" s="52"/>
      <c r="F28" s="52"/>
      <c r="G28" s="52"/>
      <c r="H28" s="52"/>
      <c r="I28" s="2"/>
    </row>
    <row r="29" spans="1:9">
      <c r="A29" s="110">
        <v>35685</v>
      </c>
      <c r="B29" s="111">
        <v>26.968800000000002</v>
      </c>
      <c r="C29" s="55">
        <v>38.072200000000002</v>
      </c>
      <c r="D29" s="55"/>
      <c r="E29" s="55"/>
      <c r="F29" s="55"/>
      <c r="G29" s="55"/>
      <c r="H29" s="55"/>
      <c r="I29" s="2"/>
    </row>
    <row r="30" spans="1:9">
      <c r="A30" s="110">
        <v>35688</v>
      </c>
      <c r="B30" s="111">
        <v>26.75</v>
      </c>
      <c r="C30" s="55">
        <v>26.485900000000001</v>
      </c>
      <c r="D30" s="55"/>
      <c r="E30" s="55"/>
      <c r="F30" s="55"/>
      <c r="G30" s="55"/>
      <c r="H30" s="55"/>
      <c r="I30" s="2"/>
    </row>
    <row r="31" spans="1:9">
      <c r="A31" s="109">
        <v>35689</v>
      </c>
      <c r="B31" s="112">
        <v>27.468800000000002</v>
      </c>
      <c r="C31" s="52">
        <v>4.8962000000000003</v>
      </c>
      <c r="D31" s="52"/>
      <c r="E31" s="52"/>
      <c r="F31" s="52"/>
      <c r="G31" s="52"/>
      <c r="H31" s="52"/>
      <c r="I31" s="2"/>
    </row>
    <row r="32" spans="1:9">
      <c r="A32" s="109">
        <v>35690</v>
      </c>
      <c r="B32" s="112">
        <v>27.3125</v>
      </c>
      <c r="C32" s="52">
        <v>29.3095</v>
      </c>
      <c r="D32" s="52"/>
      <c r="E32" s="52"/>
      <c r="F32" s="52"/>
      <c r="G32" s="52"/>
      <c r="H32" s="52"/>
      <c r="I32" s="2"/>
    </row>
    <row r="33" spans="1:9">
      <c r="A33" s="110">
        <v>35691</v>
      </c>
      <c r="B33" s="111">
        <v>27.5</v>
      </c>
      <c r="C33" s="55">
        <v>26.124300000000002</v>
      </c>
      <c r="D33" s="55"/>
      <c r="E33" s="55"/>
      <c r="F33" s="55"/>
      <c r="G33" s="55"/>
      <c r="H33" s="55"/>
      <c r="I33" s="2"/>
    </row>
    <row r="34" spans="1:9">
      <c r="A34" s="110">
        <v>35692</v>
      </c>
      <c r="B34" s="111">
        <v>27.5</v>
      </c>
      <c r="C34" s="55">
        <v>-3.7993999999999999</v>
      </c>
      <c r="D34" s="55"/>
      <c r="E34" s="55"/>
      <c r="F34" s="55"/>
      <c r="G34" s="55"/>
      <c r="H34" s="55"/>
      <c r="I34" s="2"/>
    </row>
    <row r="35" spans="1:9">
      <c r="A35" s="109">
        <v>35695</v>
      </c>
      <c r="B35" s="112">
        <v>26.75</v>
      </c>
      <c r="C35" s="52">
        <v>-38.296599999999998</v>
      </c>
      <c r="D35" s="52"/>
      <c r="E35" s="52"/>
      <c r="F35" s="52"/>
      <c r="G35" s="52"/>
      <c r="H35" s="52"/>
      <c r="I35" s="2"/>
    </row>
    <row r="36" spans="1:9">
      <c r="A36" s="109">
        <v>35696</v>
      </c>
      <c r="B36" s="112">
        <v>27.0625</v>
      </c>
      <c r="C36" s="52">
        <v>-16.127099999999999</v>
      </c>
      <c r="D36" s="52"/>
      <c r="E36" s="52"/>
      <c r="F36" s="52"/>
      <c r="G36" s="52">
        <f>B36</f>
        <v>27.0625</v>
      </c>
      <c r="H36" s="52"/>
      <c r="I36" s="2"/>
    </row>
    <row r="37" spans="1:9">
      <c r="A37" s="110">
        <v>35697</v>
      </c>
      <c r="B37" s="111">
        <v>28.656300000000002</v>
      </c>
      <c r="C37" s="55">
        <v>34.325200000000002</v>
      </c>
      <c r="D37" s="55">
        <f>ABS(C37)/100</f>
        <v>0.343252</v>
      </c>
      <c r="E37" s="55">
        <f t="shared" ref="E37:E70" si="0">$C$10*D37*B37</f>
        <v>3.2787774292000003</v>
      </c>
      <c r="F37" s="55">
        <f t="shared" ref="F37:F70" si="1">((1-($C$10*D37))*G36)</f>
        <v>23.966080916666666</v>
      </c>
      <c r="G37" s="55">
        <f>E37+F37</f>
        <v>27.244858345866668</v>
      </c>
      <c r="H37" s="55"/>
      <c r="I37" s="2"/>
    </row>
    <row r="38" spans="1:9">
      <c r="A38" s="110">
        <v>35698</v>
      </c>
      <c r="B38" s="111">
        <v>28.093800000000002</v>
      </c>
      <c r="C38" s="55">
        <v>25</v>
      </c>
      <c r="D38" s="55">
        <f t="shared" ref="D38:D70" si="2">ABS(C38)/100</f>
        <v>0.25</v>
      </c>
      <c r="E38" s="55">
        <f t="shared" si="0"/>
        <v>2.3411499999999998</v>
      </c>
      <c r="F38" s="55">
        <f t="shared" si="1"/>
        <v>24.974453483711113</v>
      </c>
      <c r="G38" s="55">
        <f t="shared" ref="G38:G57" si="3">E38+F38</f>
        <v>27.315603483711111</v>
      </c>
      <c r="H38" s="55"/>
      <c r="I38" s="2"/>
    </row>
    <row r="39" spans="1:9">
      <c r="A39" s="109">
        <v>35699</v>
      </c>
      <c r="B39" s="112">
        <v>28.8125</v>
      </c>
      <c r="C39" s="52">
        <v>41.250799999999998</v>
      </c>
      <c r="D39" s="52">
        <f t="shared" si="2"/>
        <v>0.41250799999999999</v>
      </c>
      <c r="E39" s="52">
        <f t="shared" si="0"/>
        <v>3.9617955833333331</v>
      </c>
      <c r="F39" s="52">
        <f t="shared" si="1"/>
        <v>23.559635163091542</v>
      </c>
      <c r="G39" s="52">
        <f t="shared" si="3"/>
        <v>27.521430746424876</v>
      </c>
      <c r="H39" s="52"/>
      <c r="I39" s="2"/>
    </row>
    <row r="40" spans="1:9">
      <c r="A40" s="109">
        <v>35702</v>
      </c>
      <c r="B40" s="112">
        <v>29.781300000000002</v>
      </c>
      <c r="C40" s="52">
        <v>44.047400000000003</v>
      </c>
      <c r="D40" s="52">
        <f t="shared" si="2"/>
        <v>0.44047400000000003</v>
      </c>
      <c r="E40" s="52">
        <f t="shared" si="0"/>
        <v>4.3726294454000003</v>
      </c>
      <c r="F40" s="52">
        <f t="shared" si="1"/>
        <v>23.480605850891294</v>
      </c>
      <c r="G40" s="52">
        <f t="shared" si="3"/>
        <v>27.853235296291295</v>
      </c>
      <c r="H40" s="52"/>
      <c r="I40" s="2"/>
    </row>
    <row r="41" spans="1:9">
      <c r="A41" s="110">
        <v>35703</v>
      </c>
      <c r="B41" s="111">
        <v>30.281300000000002</v>
      </c>
      <c r="C41" s="55">
        <v>53.074100000000001</v>
      </c>
      <c r="D41" s="55">
        <f t="shared" si="2"/>
        <v>0.53074100000000002</v>
      </c>
      <c r="E41" s="55">
        <f t="shared" si="0"/>
        <v>5.3571758144333339</v>
      </c>
      <c r="F41" s="55">
        <f t="shared" si="1"/>
        <v>22.925617311494982</v>
      </c>
      <c r="G41" s="55">
        <f t="shared" si="3"/>
        <v>28.282793125928315</v>
      </c>
      <c r="H41" s="55"/>
      <c r="I41" s="2"/>
    </row>
    <row r="42" spans="1:9">
      <c r="A42" s="110">
        <v>35704</v>
      </c>
      <c r="B42" s="111">
        <v>31.281300000000002</v>
      </c>
      <c r="C42" s="55">
        <v>59.0259</v>
      </c>
      <c r="D42" s="55">
        <f t="shared" si="2"/>
        <v>0.59025899999999998</v>
      </c>
      <c r="E42" s="55">
        <f t="shared" si="0"/>
        <v>6.1546896189</v>
      </c>
      <c r="F42" s="55">
        <f t="shared" si="1"/>
        <v>22.718068730022541</v>
      </c>
      <c r="G42" s="55">
        <f t="shared" si="3"/>
        <v>28.872758348922542</v>
      </c>
      <c r="H42" s="55"/>
      <c r="I42" s="2"/>
    </row>
    <row r="43" spans="1:9">
      <c r="A43" s="109">
        <v>35705</v>
      </c>
      <c r="B43" s="112">
        <v>31.593800000000002</v>
      </c>
      <c r="C43" s="52">
        <v>60.932299999999998</v>
      </c>
      <c r="D43" s="52">
        <f t="shared" si="2"/>
        <v>0.60932299999999995</v>
      </c>
      <c r="E43" s="52">
        <f t="shared" si="0"/>
        <v>6.4169429991333322</v>
      </c>
      <c r="F43" s="52">
        <f t="shared" si="1"/>
        <v>23.008479770442364</v>
      </c>
      <c r="G43" s="52">
        <f t="shared" si="3"/>
        <v>29.425422769575697</v>
      </c>
      <c r="H43" s="52"/>
      <c r="I43" s="2"/>
    </row>
    <row r="44" spans="1:9">
      <c r="A44" s="109">
        <v>35706</v>
      </c>
      <c r="B44" s="112">
        <v>31.875</v>
      </c>
      <c r="C44" s="52">
        <v>82.002600000000001</v>
      </c>
      <c r="D44" s="52">
        <f t="shared" si="2"/>
        <v>0.82002600000000003</v>
      </c>
      <c r="E44" s="52">
        <f t="shared" si="0"/>
        <v>8.7127762499999992</v>
      </c>
      <c r="F44" s="52">
        <f t="shared" si="1"/>
        <v>21.382218858894337</v>
      </c>
      <c r="G44" s="52">
        <f t="shared" si="3"/>
        <v>30.094995108894338</v>
      </c>
      <c r="H44" s="52"/>
      <c r="I44" s="2"/>
    </row>
    <row r="45" spans="1:9">
      <c r="A45" s="110">
        <v>35709</v>
      </c>
      <c r="B45" s="111">
        <v>32.593800000000002</v>
      </c>
      <c r="C45" s="55">
        <v>83.101200000000006</v>
      </c>
      <c r="D45" s="55">
        <f t="shared" si="2"/>
        <v>0.83101200000000008</v>
      </c>
      <c r="E45" s="55">
        <f t="shared" si="0"/>
        <v>9.0286129752000015</v>
      </c>
      <c r="F45" s="55">
        <f t="shared" si="1"/>
        <v>21.75856108375017</v>
      </c>
      <c r="G45" s="55">
        <f t="shared" si="3"/>
        <v>30.787174058950171</v>
      </c>
      <c r="H45" s="55"/>
      <c r="I45" s="2"/>
    </row>
    <row r="46" spans="1:9">
      <c r="A46" s="110">
        <v>35710</v>
      </c>
      <c r="B46" s="111">
        <v>33.5</v>
      </c>
      <c r="C46" s="55">
        <v>81.154700000000005</v>
      </c>
      <c r="D46" s="55">
        <f t="shared" si="2"/>
        <v>0.81154700000000002</v>
      </c>
      <c r="E46" s="55">
        <f t="shared" si="0"/>
        <v>9.0622748333333334</v>
      </c>
      <c r="F46" s="55">
        <f t="shared" si="1"/>
        <v>22.458761143610563</v>
      </c>
      <c r="G46" s="55">
        <f t="shared" si="3"/>
        <v>31.521035976943896</v>
      </c>
      <c r="H46" s="55"/>
      <c r="I46" s="2"/>
    </row>
    <row r="47" spans="1:9">
      <c r="A47" s="109">
        <v>35711</v>
      </c>
      <c r="B47" s="112">
        <v>33.75</v>
      </c>
      <c r="C47" s="52">
        <v>100</v>
      </c>
      <c r="D47" s="52">
        <f t="shared" si="2"/>
        <v>1</v>
      </c>
      <c r="E47" s="52">
        <f t="shared" si="0"/>
        <v>11.25</v>
      </c>
      <c r="F47" s="52">
        <f t="shared" si="1"/>
        <v>21.014023984629265</v>
      </c>
      <c r="G47" s="52">
        <f t="shared" si="3"/>
        <v>32.264023984629262</v>
      </c>
      <c r="H47" s="52"/>
      <c r="I47" s="2"/>
    </row>
    <row r="48" spans="1:9">
      <c r="A48" s="109">
        <v>35712</v>
      </c>
      <c r="B48" s="112">
        <v>33.218800000000002</v>
      </c>
      <c r="C48" s="52">
        <v>80.573099999999997</v>
      </c>
      <c r="D48" s="52">
        <f t="shared" si="2"/>
        <v>0.80573099999999998</v>
      </c>
      <c r="E48" s="52">
        <f t="shared" si="0"/>
        <v>8.9218056475999994</v>
      </c>
      <c r="F48" s="52">
        <f t="shared" si="1"/>
        <v>23.598649214909489</v>
      </c>
      <c r="G48" s="52">
        <f t="shared" si="3"/>
        <v>32.520454862509489</v>
      </c>
      <c r="H48" s="52"/>
      <c r="I48" s="2"/>
    </row>
    <row r="49" spans="1:9">
      <c r="A49" s="110">
        <v>35713</v>
      </c>
      <c r="B49" s="111">
        <v>32.9375</v>
      </c>
      <c r="C49" s="55">
        <v>66.013400000000004</v>
      </c>
      <c r="D49" s="55">
        <f t="shared" si="2"/>
        <v>0.660134</v>
      </c>
      <c r="E49" s="55">
        <f t="shared" si="0"/>
        <v>7.2477212083333331</v>
      </c>
      <c r="F49" s="55">
        <f t="shared" si="1"/>
        <v>25.364502212440208</v>
      </c>
      <c r="G49" s="55">
        <f t="shared" si="3"/>
        <v>32.612223420773539</v>
      </c>
      <c r="H49" s="55"/>
      <c r="I49" s="2"/>
    </row>
    <row r="50" spans="1:9">
      <c r="A50" s="110">
        <v>35716</v>
      </c>
      <c r="B50" s="111">
        <v>33.4375</v>
      </c>
      <c r="C50" s="55">
        <v>66.013400000000004</v>
      </c>
      <c r="D50" s="55">
        <f t="shared" si="2"/>
        <v>0.660134</v>
      </c>
      <c r="E50" s="55">
        <f t="shared" si="0"/>
        <v>7.3577435416666663</v>
      </c>
      <c r="F50" s="55">
        <f t="shared" si="1"/>
        <v>25.436077588890566</v>
      </c>
      <c r="G50" s="55">
        <f t="shared" si="3"/>
        <v>32.793821130557234</v>
      </c>
      <c r="H50" s="55"/>
      <c r="I50" s="2"/>
    </row>
    <row r="51" spans="1:9">
      <c r="A51" s="109">
        <v>35717</v>
      </c>
      <c r="B51" s="112">
        <v>33.906300000000002</v>
      </c>
      <c r="C51" s="52">
        <v>61.764699999999998</v>
      </c>
      <c r="D51" s="52">
        <f t="shared" si="2"/>
        <v>0.61764699999999995</v>
      </c>
      <c r="E51" s="52">
        <f t="shared" si="0"/>
        <v>6.9807081586999997</v>
      </c>
      <c r="F51" s="52">
        <f t="shared" si="1"/>
        <v>26.042152717282143</v>
      </c>
      <c r="G51" s="52">
        <f t="shared" si="3"/>
        <v>33.02286087598214</v>
      </c>
      <c r="H51" s="52"/>
      <c r="I51" s="2"/>
    </row>
    <row r="52" spans="1:9">
      <c r="A52" s="109">
        <v>35718</v>
      </c>
      <c r="B52" s="112">
        <v>33.968800000000002</v>
      </c>
      <c r="C52" s="52">
        <v>59.375</v>
      </c>
      <c r="D52" s="52">
        <f t="shared" si="2"/>
        <v>0.59375</v>
      </c>
      <c r="E52" s="52">
        <f t="shared" si="0"/>
        <v>6.7229916666666663</v>
      </c>
      <c r="F52" s="52">
        <f t="shared" si="1"/>
        <v>26.487086327610676</v>
      </c>
      <c r="G52" s="52">
        <f t="shared" si="3"/>
        <v>33.210077994277341</v>
      </c>
      <c r="H52" s="52"/>
      <c r="I52" s="2"/>
    </row>
    <row r="53" spans="1:9">
      <c r="A53" s="110">
        <v>35719</v>
      </c>
      <c r="B53" s="111">
        <v>33.3125</v>
      </c>
      <c r="C53" s="55">
        <v>32.856400000000001</v>
      </c>
      <c r="D53" s="55">
        <f t="shared" si="2"/>
        <v>0.32856400000000002</v>
      </c>
      <c r="E53" s="55">
        <f t="shared" si="0"/>
        <v>3.6484294166666666</v>
      </c>
      <c r="F53" s="55">
        <f t="shared" si="1"/>
        <v>29.572865972240095</v>
      </c>
      <c r="G53" s="55">
        <f t="shared" si="3"/>
        <v>33.221295388906761</v>
      </c>
      <c r="H53" s="55"/>
      <c r="I53" s="2"/>
    </row>
    <row r="54" spans="1:9">
      <c r="A54" s="110">
        <v>35720</v>
      </c>
      <c r="B54" s="111">
        <v>31.6875</v>
      </c>
      <c r="C54" s="55">
        <v>-17.160499999999999</v>
      </c>
      <c r="D54" s="55">
        <f t="shared" si="2"/>
        <v>0.17160499999999998</v>
      </c>
      <c r="E54" s="55">
        <f t="shared" si="0"/>
        <v>1.8125778124999996</v>
      </c>
      <c r="F54" s="55">
        <f t="shared" si="1"/>
        <v>31.320981923835646</v>
      </c>
      <c r="G54" s="55">
        <f t="shared" si="3"/>
        <v>33.133559736335648</v>
      </c>
      <c r="H54" s="55"/>
      <c r="I54" s="2"/>
    </row>
    <row r="55" spans="1:9">
      <c r="A55" s="109">
        <v>35723</v>
      </c>
      <c r="B55" s="112">
        <v>31.75</v>
      </c>
      <c r="C55" s="52">
        <v>-39.435699999999997</v>
      </c>
      <c r="D55" s="52">
        <f t="shared" si="2"/>
        <v>0.39435699999999996</v>
      </c>
      <c r="E55" s="52">
        <f t="shared" si="0"/>
        <v>4.1736115833333329</v>
      </c>
      <c r="F55" s="52">
        <f t="shared" si="1"/>
        <v>28.778075997354943</v>
      </c>
      <c r="G55" s="52">
        <f t="shared" si="3"/>
        <v>32.951687580688272</v>
      </c>
      <c r="H55" s="52"/>
      <c r="I55" s="2"/>
    </row>
    <row r="56" spans="1:9">
      <c r="A56" s="109">
        <v>35724</v>
      </c>
      <c r="B56" s="112">
        <v>33.25</v>
      </c>
      <c r="C56" s="52">
        <v>-8.7911000000000001</v>
      </c>
      <c r="D56" s="52">
        <f t="shared" si="2"/>
        <v>8.7911000000000003E-2</v>
      </c>
      <c r="E56" s="52">
        <f t="shared" si="0"/>
        <v>0.97434691666666662</v>
      </c>
      <c r="F56" s="52">
        <f t="shared" si="1"/>
        <v>31.986082311719645</v>
      </c>
      <c r="G56" s="52">
        <f t="shared" si="3"/>
        <v>32.96042922838631</v>
      </c>
      <c r="H56" s="52"/>
      <c r="I56" s="2"/>
    </row>
    <row r="57" spans="1:9">
      <c r="A57" s="110">
        <v>35725</v>
      </c>
      <c r="B57" s="111">
        <v>32.906300000000002</v>
      </c>
      <c r="C57" s="55">
        <v>-5.6833999999999998</v>
      </c>
      <c r="D57" s="55">
        <f t="shared" si="2"/>
        <v>5.6833999999999996E-2</v>
      </c>
      <c r="E57" s="55">
        <f t="shared" si="0"/>
        <v>0.62339888473333327</v>
      </c>
      <c r="F57" s="55">
        <f t="shared" si="1"/>
        <v>32.336004883464277</v>
      </c>
      <c r="G57" s="55">
        <f t="shared" si="3"/>
        <v>32.95940376819761</v>
      </c>
      <c r="H57" s="55"/>
      <c r="I57" s="2"/>
    </row>
    <row r="58" spans="1:9">
      <c r="A58" s="110">
        <v>35726</v>
      </c>
      <c r="B58" s="111">
        <v>31.6875</v>
      </c>
      <c r="C58" s="55">
        <v>-19.417200000000001</v>
      </c>
      <c r="D58" s="55">
        <f t="shared" si="2"/>
        <v>0.19417200000000001</v>
      </c>
      <c r="E58" s="55">
        <f t="shared" si="0"/>
        <v>2.0509417500000002</v>
      </c>
      <c r="F58" s="55">
        <f t="shared" si="1"/>
        <v>30.826139318704787</v>
      </c>
      <c r="G58" s="55">
        <f t="shared" ref="G58:G70" si="4">E58+F58</f>
        <v>32.87708106870479</v>
      </c>
      <c r="H58" s="55"/>
      <c r="I58" s="2"/>
    </row>
    <row r="59" spans="1:9">
      <c r="A59" s="109">
        <v>35727</v>
      </c>
      <c r="B59" s="112">
        <v>31.406300000000002</v>
      </c>
      <c r="C59" s="52">
        <v>-32.6633</v>
      </c>
      <c r="D59" s="52">
        <f t="shared" si="2"/>
        <v>0.32663300000000001</v>
      </c>
      <c r="E59" s="52">
        <f t="shared" si="0"/>
        <v>3.4194446626333335</v>
      </c>
      <c r="F59" s="52">
        <f t="shared" si="1"/>
        <v>29.297501195133375</v>
      </c>
      <c r="G59" s="52">
        <f t="shared" si="4"/>
        <v>32.71694585776671</v>
      </c>
      <c r="H59" s="52"/>
      <c r="I59" s="2"/>
    </row>
    <row r="60" spans="1:9">
      <c r="A60" s="109">
        <v>35730</v>
      </c>
      <c r="B60" s="112">
        <v>27.968800000000002</v>
      </c>
      <c r="C60" s="52">
        <v>-64.624099999999999</v>
      </c>
      <c r="D60" s="52">
        <f t="shared" si="2"/>
        <v>0.64624099999999995</v>
      </c>
      <c r="E60" s="52">
        <f t="shared" si="0"/>
        <v>6.0248617602666661</v>
      </c>
      <c r="F60" s="52">
        <f t="shared" si="1"/>
        <v>25.669268588410372</v>
      </c>
      <c r="G60" s="52">
        <f t="shared" si="4"/>
        <v>31.694130348677039</v>
      </c>
      <c r="H60" s="52"/>
      <c r="I60" s="2"/>
    </row>
    <row r="61" spans="1:9">
      <c r="A61" s="110">
        <v>35731</v>
      </c>
      <c r="B61" s="111">
        <v>29.531300000000002</v>
      </c>
      <c r="C61" s="55">
        <v>-41.521799999999999</v>
      </c>
      <c r="D61" s="55">
        <f t="shared" si="2"/>
        <v>0.41521799999999998</v>
      </c>
      <c r="E61" s="55">
        <f t="shared" si="0"/>
        <v>4.0873091077999995</v>
      </c>
      <c r="F61" s="55">
        <f t="shared" si="1"/>
        <v>27.307472543638042</v>
      </c>
      <c r="G61" s="55">
        <f t="shared" si="4"/>
        <v>31.394781651438041</v>
      </c>
      <c r="H61" s="55"/>
      <c r="I61" s="2"/>
    </row>
    <row r="62" spans="1:9">
      <c r="A62" s="110">
        <v>35732</v>
      </c>
      <c r="B62" s="111">
        <v>30.5</v>
      </c>
      <c r="C62" s="55">
        <v>-25.5684</v>
      </c>
      <c r="D62" s="55">
        <f t="shared" si="2"/>
        <v>0.25568400000000002</v>
      </c>
      <c r="E62" s="55">
        <f t="shared" si="0"/>
        <v>2.5994540000000002</v>
      </c>
      <c r="F62" s="55">
        <f t="shared" si="1"/>
        <v>28.719067200849281</v>
      </c>
      <c r="G62" s="55">
        <f t="shared" si="4"/>
        <v>31.318521200849283</v>
      </c>
      <c r="H62" s="55"/>
      <c r="I62" s="2"/>
    </row>
    <row r="63" spans="1:9">
      <c r="A63" s="109">
        <v>35733</v>
      </c>
      <c r="B63" s="112">
        <v>31.5</v>
      </c>
      <c r="C63" s="52">
        <v>-1.8071999999999999</v>
      </c>
      <c r="D63" s="52">
        <f t="shared" si="2"/>
        <v>1.8071999999999998E-2</v>
      </c>
      <c r="E63" s="52">
        <f t="shared" si="0"/>
        <v>0.18975599999999998</v>
      </c>
      <c r="F63" s="52">
        <f t="shared" si="1"/>
        <v>31.129858429135364</v>
      </c>
      <c r="G63" s="52">
        <f t="shared" si="4"/>
        <v>31.319614429135363</v>
      </c>
      <c r="H63" s="52"/>
      <c r="I63" s="2"/>
    </row>
    <row r="64" spans="1:9">
      <c r="A64" s="109">
        <v>35734</v>
      </c>
      <c r="B64" s="112">
        <v>31.6875</v>
      </c>
      <c r="C64" s="52">
        <v>-0.59519999999999995</v>
      </c>
      <c r="D64" s="52">
        <f t="shared" si="2"/>
        <v>5.9519999999999998E-3</v>
      </c>
      <c r="E64" s="52">
        <f t="shared" si="0"/>
        <v>6.2867999999999993E-2</v>
      </c>
      <c r="F64" s="52">
        <f t="shared" si="1"/>
        <v>31.257476314107958</v>
      </c>
      <c r="G64" s="52">
        <f t="shared" si="4"/>
        <v>31.32034431410796</v>
      </c>
      <c r="H64" s="52"/>
      <c r="I64" s="2"/>
    </row>
    <row r="65" spans="1:9">
      <c r="A65" s="110">
        <v>35737</v>
      </c>
      <c r="B65" s="111">
        <v>32.375</v>
      </c>
      <c r="C65" s="55">
        <v>-9.0324000000000009</v>
      </c>
      <c r="D65" s="55">
        <f t="shared" si="2"/>
        <v>9.0324000000000015E-2</v>
      </c>
      <c r="E65" s="55">
        <f t="shared" si="0"/>
        <v>0.97474650000000007</v>
      </c>
      <c r="F65" s="55">
        <f t="shared" si="1"/>
        <v>30.377351387498795</v>
      </c>
      <c r="G65" s="55">
        <f t="shared" si="4"/>
        <v>31.352097887498793</v>
      </c>
      <c r="H65" s="55"/>
      <c r="I65" s="2"/>
    </row>
    <row r="66" spans="1:9">
      <c r="A66" s="110">
        <v>35738</v>
      </c>
      <c r="B66" s="111">
        <v>33.093800000000002</v>
      </c>
      <c r="C66" s="55">
        <v>1.8644000000000001</v>
      </c>
      <c r="D66" s="55">
        <f t="shared" si="2"/>
        <v>1.8644000000000001E-2</v>
      </c>
      <c r="E66" s="55">
        <f t="shared" si="0"/>
        <v>0.20566693573333336</v>
      </c>
      <c r="F66" s="55">
        <f t="shared" si="1"/>
        <v>31.157255049827285</v>
      </c>
      <c r="G66" s="55">
        <f t="shared" si="4"/>
        <v>31.362921985560618</v>
      </c>
      <c r="H66" s="55"/>
      <c r="I66" s="2"/>
    </row>
    <row r="67" spans="1:9">
      <c r="A67" s="109">
        <v>35739</v>
      </c>
      <c r="B67" s="112">
        <v>34.093800000000002</v>
      </c>
      <c r="C67" s="52">
        <v>24.4451</v>
      </c>
      <c r="D67" s="52">
        <f t="shared" si="2"/>
        <v>0.244451</v>
      </c>
      <c r="E67" s="52">
        <f t="shared" si="0"/>
        <v>2.7780878346</v>
      </c>
      <c r="F67" s="52">
        <f t="shared" si="1"/>
        <v>28.807356104796526</v>
      </c>
      <c r="G67" s="52">
        <f t="shared" si="4"/>
        <v>31.585443939396527</v>
      </c>
      <c r="H67" s="52"/>
      <c r="I67" s="2"/>
    </row>
    <row r="68" spans="1:9">
      <c r="A68" s="109">
        <v>35740</v>
      </c>
      <c r="B68" s="112">
        <v>33.468800000000002</v>
      </c>
      <c r="C68" s="52">
        <v>20.246600000000001</v>
      </c>
      <c r="D68" s="52">
        <f t="shared" si="2"/>
        <v>0.20246600000000001</v>
      </c>
      <c r="E68" s="52">
        <f t="shared" si="0"/>
        <v>2.2587646869333335</v>
      </c>
      <c r="F68" s="52">
        <f t="shared" si="1"/>
        <v>29.453784441851909</v>
      </c>
      <c r="G68" s="52">
        <f t="shared" si="4"/>
        <v>31.712549128785241</v>
      </c>
      <c r="H68" s="52"/>
      <c r="I68" s="2"/>
    </row>
    <row r="69" spans="1:9">
      <c r="A69" s="110">
        <v>35741</v>
      </c>
      <c r="B69" s="111">
        <v>32.968800000000002</v>
      </c>
      <c r="C69" s="55">
        <v>68.965500000000006</v>
      </c>
      <c r="D69" s="55">
        <f t="shared" si="2"/>
        <v>0.68965500000000002</v>
      </c>
      <c r="E69" s="55">
        <f t="shared" si="0"/>
        <v>7.5790325880000005</v>
      </c>
      <c r="F69" s="55">
        <f t="shared" si="1"/>
        <v>24.422309772314446</v>
      </c>
      <c r="G69" s="55">
        <f t="shared" si="4"/>
        <v>32.001342360314446</v>
      </c>
      <c r="H69" s="55"/>
      <c r="I69" s="2"/>
    </row>
    <row r="70" spans="1:9">
      <c r="A70" s="110">
        <v>35744</v>
      </c>
      <c r="B70" s="111">
        <v>32.6875</v>
      </c>
      <c r="C70" s="55">
        <v>52.879100000000001</v>
      </c>
      <c r="D70" s="55">
        <f t="shared" si="2"/>
        <v>0.52879100000000001</v>
      </c>
      <c r="E70" s="55">
        <f t="shared" si="0"/>
        <v>5.7616186041666664</v>
      </c>
      <c r="F70" s="55">
        <f t="shared" si="1"/>
        <v>26.360668417630102</v>
      </c>
      <c r="G70" s="55">
        <f t="shared" si="4"/>
        <v>32.122287021796765</v>
      </c>
      <c r="H70" s="55"/>
      <c r="I70" s="2"/>
    </row>
    <row r="71" spans="1:9">
      <c r="A71" s="2"/>
      <c r="B71" s="32"/>
      <c r="C71" s="4"/>
      <c r="D71" s="4"/>
      <c r="E71" s="4"/>
      <c r="F71" s="4"/>
      <c r="G71" s="4"/>
      <c r="H71" s="4"/>
    </row>
    <row r="72" spans="1:9">
      <c r="A72" s="2"/>
      <c r="C72" s="4"/>
      <c r="D72" s="4"/>
      <c r="E72" s="4"/>
      <c r="F72" s="4"/>
      <c r="G72" s="4"/>
      <c r="H72" s="4"/>
    </row>
    <row r="73" spans="1:9">
      <c r="A73" s="2" t="s">
        <v>177</v>
      </c>
      <c r="C73" s="4"/>
      <c r="D73" s="4"/>
      <c r="E73" s="4"/>
      <c r="F73" s="4"/>
      <c r="G73" s="4"/>
      <c r="H73" s="4"/>
    </row>
    <row r="74" spans="1:9">
      <c r="A74" s="2" t="s">
        <v>178</v>
      </c>
      <c r="C74" s="4"/>
      <c r="D74" s="4"/>
      <c r="E74" s="4"/>
      <c r="F74" s="4"/>
      <c r="G74" s="4"/>
      <c r="H74" s="4"/>
    </row>
    <row r="75" spans="1:9">
      <c r="A75" s="2" t="s">
        <v>525</v>
      </c>
      <c r="C75" s="4"/>
      <c r="D75" s="4"/>
      <c r="E75" s="4"/>
      <c r="F75" s="4"/>
      <c r="G75" s="4"/>
      <c r="H75" s="4"/>
    </row>
    <row r="76" spans="1:9">
      <c r="A76" s="2" t="s">
        <v>530</v>
      </c>
      <c r="C76" s="4"/>
      <c r="D76" s="4"/>
      <c r="E76" s="4"/>
      <c r="F76" s="4"/>
      <c r="G76" s="4"/>
      <c r="H76" s="4"/>
    </row>
    <row r="77" spans="1:9">
      <c r="A77" s="2" t="s">
        <v>531</v>
      </c>
      <c r="C77" s="4"/>
      <c r="D77" s="4"/>
      <c r="E77" s="4"/>
      <c r="F77" s="4"/>
      <c r="G77" s="4"/>
      <c r="H77" s="4"/>
    </row>
    <row r="78" spans="1:9">
      <c r="A78" s="2"/>
    </row>
    <row r="79" spans="1:9">
      <c r="A79" s="2"/>
    </row>
    <row r="80" spans="1:9">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row r="135" spans="1:1">
      <c r="A135" s="2"/>
    </row>
    <row r="136" spans="1:1">
      <c r="A136" s="2"/>
    </row>
    <row r="137" spans="1:1">
      <c r="A137" s="2"/>
    </row>
    <row r="138" spans="1:1">
      <c r="A138" s="2"/>
    </row>
    <row r="139" spans="1:1">
      <c r="A139" s="2"/>
    </row>
    <row r="140" spans="1:1">
      <c r="A140" s="2"/>
    </row>
    <row r="141" spans="1:1">
      <c r="A141" s="2"/>
    </row>
    <row r="142" spans="1:1">
      <c r="A142" s="2"/>
    </row>
    <row r="143" spans="1:1">
      <c r="A143" s="2"/>
    </row>
    <row r="144" spans="1:1">
      <c r="A144" s="2"/>
    </row>
    <row r="145" spans="1:1">
      <c r="A145" s="2"/>
    </row>
    <row r="146" spans="1:1">
      <c r="A146" s="2"/>
    </row>
    <row r="147" spans="1:1">
      <c r="A147" s="2"/>
    </row>
    <row r="148" spans="1:1">
      <c r="A148" s="2"/>
    </row>
    <row r="149" spans="1:1">
      <c r="A149" s="2"/>
    </row>
    <row r="150" spans="1:1">
      <c r="A150" s="2"/>
    </row>
    <row r="151" spans="1:1">
      <c r="A151" s="2"/>
    </row>
    <row r="152" spans="1:1">
      <c r="A152" s="2"/>
    </row>
    <row r="153" spans="1:1">
      <c r="A153" s="2"/>
    </row>
    <row r="154" spans="1:1">
      <c r="A154" s="2"/>
    </row>
    <row r="155" spans="1:1">
      <c r="A155" s="2"/>
    </row>
    <row r="156" spans="1:1">
      <c r="A156" s="2"/>
    </row>
    <row r="157" spans="1:1">
      <c r="A157" s="2"/>
    </row>
    <row r="158" spans="1:1">
      <c r="A158" s="2"/>
    </row>
    <row r="159" spans="1:1">
      <c r="A159" s="2"/>
    </row>
    <row r="160" spans="1:1">
      <c r="A160" s="2"/>
    </row>
    <row r="161" spans="1:1">
      <c r="A161" s="2"/>
    </row>
    <row r="162" spans="1:1">
      <c r="A162" s="2"/>
    </row>
    <row r="163" spans="1:1">
      <c r="A163" s="2"/>
    </row>
    <row r="164" spans="1:1">
      <c r="A164" s="2"/>
    </row>
    <row r="165" spans="1:1">
      <c r="A165" s="2"/>
    </row>
    <row r="166" spans="1:1">
      <c r="A166" s="2"/>
    </row>
    <row r="167" spans="1:1">
      <c r="A167" s="2"/>
    </row>
    <row r="168" spans="1:1">
      <c r="A168" s="2"/>
    </row>
    <row r="169" spans="1:1">
      <c r="A169" s="2"/>
    </row>
    <row r="170" spans="1:1">
      <c r="A170" s="2"/>
    </row>
    <row r="171" spans="1:1">
      <c r="A171" s="2"/>
    </row>
    <row r="172" spans="1:1">
      <c r="A172" s="2"/>
    </row>
    <row r="173" spans="1:1">
      <c r="A173" s="2"/>
    </row>
    <row r="174" spans="1:1">
      <c r="A174" s="2"/>
    </row>
    <row r="175" spans="1:1">
      <c r="A175" s="2"/>
    </row>
    <row r="176" spans="1:1">
      <c r="A176" s="2"/>
    </row>
    <row r="177" spans="1:1">
      <c r="A177" s="2"/>
    </row>
    <row r="178" spans="1:1">
      <c r="A178" s="2"/>
    </row>
    <row r="179" spans="1:1">
      <c r="A179" s="2"/>
    </row>
    <row r="180" spans="1:1">
      <c r="A180" s="2"/>
    </row>
    <row r="181" spans="1:1">
      <c r="A181" s="2"/>
    </row>
    <row r="182" spans="1:1">
      <c r="A182" s="2"/>
    </row>
    <row r="183" spans="1:1">
      <c r="A183" s="2"/>
    </row>
    <row r="184" spans="1:1">
      <c r="A184" s="2"/>
    </row>
    <row r="185" spans="1:1">
      <c r="A185" s="2"/>
    </row>
    <row r="186" spans="1:1">
      <c r="A186" s="2"/>
    </row>
    <row r="187" spans="1:1">
      <c r="A187" s="2"/>
    </row>
    <row r="188" spans="1:1">
      <c r="A188" s="2"/>
    </row>
    <row r="189" spans="1:1">
      <c r="A189" s="2"/>
    </row>
    <row r="190" spans="1:1">
      <c r="A190" s="2"/>
    </row>
    <row r="191" spans="1:1">
      <c r="A191" s="2"/>
    </row>
    <row r="192" spans="1:1">
      <c r="A192" s="2"/>
    </row>
    <row r="193" spans="1:1">
      <c r="A193" s="2"/>
    </row>
    <row r="194" spans="1:1">
      <c r="A194" s="2"/>
    </row>
    <row r="195" spans="1:1">
      <c r="A195" s="2"/>
    </row>
    <row r="196" spans="1:1">
      <c r="A196" s="2"/>
    </row>
    <row r="197" spans="1:1">
      <c r="A197" s="2"/>
    </row>
    <row r="198" spans="1:1">
      <c r="A198" s="2"/>
    </row>
    <row r="199" spans="1:1">
      <c r="A199" s="2"/>
    </row>
    <row r="200" spans="1:1">
      <c r="A200" s="2"/>
    </row>
    <row r="201" spans="1:1">
      <c r="A201" s="2"/>
    </row>
    <row r="202" spans="1:1">
      <c r="A202" s="2"/>
    </row>
    <row r="203" spans="1:1">
      <c r="A203" s="2"/>
    </row>
    <row r="204" spans="1:1">
      <c r="A204" s="2"/>
    </row>
    <row r="205" spans="1:1">
      <c r="A205" s="2"/>
    </row>
    <row r="206" spans="1:1">
      <c r="A206" s="2"/>
    </row>
    <row r="207" spans="1:1">
      <c r="A207" s="2"/>
    </row>
    <row r="208" spans="1:1">
      <c r="A208" s="2"/>
    </row>
    <row r="209" spans="1:1">
      <c r="A209" s="2"/>
    </row>
    <row r="210" spans="1:1">
      <c r="A210" s="2"/>
    </row>
    <row r="211" spans="1:1">
      <c r="A211" s="2"/>
    </row>
    <row r="212" spans="1:1">
      <c r="A212" s="2"/>
    </row>
    <row r="213" spans="1:1">
      <c r="A213" s="2"/>
    </row>
    <row r="214" spans="1:1">
      <c r="A214" s="2"/>
    </row>
    <row r="215" spans="1:1">
      <c r="A215" s="2"/>
    </row>
    <row r="216" spans="1:1">
      <c r="A216" s="2"/>
    </row>
    <row r="217" spans="1:1">
      <c r="A217" s="2"/>
    </row>
    <row r="218" spans="1:1">
      <c r="A218" s="2"/>
    </row>
    <row r="219" spans="1:1">
      <c r="A219" s="2"/>
    </row>
    <row r="220" spans="1:1">
      <c r="A220" s="2"/>
    </row>
    <row r="221" spans="1:1">
      <c r="A221" s="2"/>
    </row>
    <row r="222" spans="1:1">
      <c r="A222" s="2"/>
    </row>
    <row r="223" spans="1:1">
      <c r="A223" s="2"/>
    </row>
    <row r="224" spans="1:1">
      <c r="A224" s="2"/>
    </row>
    <row r="225" spans="1:1">
      <c r="A225" s="2"/>
    </row>
    <row r="226" spans="1:1">
      <c r="A226" s="2"/>
    </row>
    <row r="227" spans="1:1">
      <c r="A227" s="2"/>
    </row>
    <row r="228" spans="1:1">
      <c r="A228" s="2"/>
    </row>
    <row r="229" spans="1:1">
      <c r="A229" s="2"/>
    </row>
    <row r="230" spans="1:1">
      <c r="A230" s="2"/>
    </row>
    <row r="231" spans="1:1">
      <c r="A231" s="2"/>
    </row>
    <row r="232" spans="1:1">
      <c r="A232" s="2"/>
    </row>
    <row r="233" spans="1:1">
      <c r="A233" s="2"/>
    </row>
    <row r="234" spans="1:1">
      <c r="A234" s="2"/>
    </row>
    <row r="235" spans="1:1">
      <c r="A235" s="2"/>
    </row>
    <row r="236" spans="1:1">
      <c r="A236" s="2"/>
    </row>
    <row r="237" spans="1:1">
      <c r="A237" s="2"/>
    </row>
    <row r="238" spans="1:1">
      <c r="A238" s="2"/>
    </row>
    <row r="239" spans="1:1">
      <c r="A239" s="2"/>
    </row>
    <row r="240" spans="1:1">
      <c r="A240" s="2"/>
    </row>
    <row r="241" spans="1:1">
      <c r="A241" s="2"/>
    </row>
    <row r="242" spans="1:1">
      <c r="A242" s="2"/>
    </row>
    <row r="243" spans="1:1">
      <c r="A243" s="2"/>
    </row>
    <row r="244" spans="1:1">
      <c r="A244" s="2"/>
    </row>
    <row r="245" spans="1:1">
      <c r="A245" s="2"/>
    </row>
    <row r="246" spans="1:1">
      <c r="A246" s="2"/>
    </row>
    <row r="247" spans="1:1">
      <c r="A247" s="2"/>
    </row>
    <row r="248" spans="1:1">
      <c r="A248" s="2"/>
    </row>
    <row r="249" spans="1:1">
      <c r="A249" s="2"/>
    </row>
    <row r="250" spans="1:1">
      <c r="A250" s="2"/>
    </row>
    <row r="251" spans="1:1">
      <c r="A251" s="2"/>
    </row>
    <row r="252" spans="1:1">
      <c r="A252" s="2"/>
    </row>
    <row r="253" spans="1:1">
      <c r="A253" s="2"/>
    </row>
    <row r="254" spans="1:1">
      <c r="A254" s="2"/>
    </row>
    <row r="255" spans="1:1">
      <c r="A255" s="2"/>
    </row>
    <row r="256" spans="1:1">
      <c r="A256" s="2"/>
    </row>
    <row r="257" spans="1:1">
      <c r="A257" s="2"/>
    </row>
    <row r="258" spans="1:1">
      <c r="A258" s="2"/>
    </row>
    <row r="259" spans="1:1">
      <c r="A259" s="2"/>
    </row>
    <row r="260" spans="1:1">
      <c r="A260" s="2"/>
    </row>
    <row r="261" spans="1:1">
      <c r="A261" s="2"/>
    </row>
    <row r="262" spans="1:1">
      <c r="A262" s="2"/>
    </row>
    <row r="263" spans="1:1">
      <c r="A263" s="2"/>
    </row>
    <row r="264" spans="1:1">
      <c r="A264" s="2"/>
    </row>
    <row r="265" spans="1:1">
      <c r="A265" s="2"/>
    </row>
    <row r="266" spans="1:1">
      <c r="A266" s="2"/>
    </row>
    <row r="267" spans="1:1">
      <c r="A267" s="2"/>
    </row>
    <row r="268" spans="1:1">
      <c r="A268" s="2"/>
    </row>
    <row r="269" spans="1:1">
      <c r="A269" s="2"/>
    </row>
    <row r="270" spans="1:1">
      <c r="A270" s="2"/>
    </row>
    <row r="271" spans="1:1">
      <c r="A271" s="2"/>
    </row>
    <row r="272" spans="1:1">
      <c r="A272" s="2"/>
    </row>
    <row r="273" spans="1:1">
      <c r="A273" s="2"/>
    </row>
    <row r="274" spans="1:1">
      <c r="A274" s="2"/>
    </row>
    <row r="275" spans="1:1">
      <c r="A275" s="2"/>
    </row>
    <row r="276" spans="1:1">
      <c r="A276" s="2"/>
    </row>
    <row r="277" spans="1:1">
      <c r="A277" s="2"/>
    </row>
    <row r="278" spans="1:1">
      <c r="A278" s="2"/>
    </row>
    <row r="279" spans="1:1">
      <c r="A279" s="2"/>
    </row>
    <row r="280" spans="1:1">
      <c r="A280" s="2"/>
    </row>
    <row r="281" spans="1:1">
      <c r="A281" s="2"/>
    </row>
    <row r="282" spans="1:1">
      <c r="A282" s="2"/>
    </row>
    <row r="283" spans="1:1">
      <c r="A283" s="2"/>
    </row>
    <row r="284" spans="1:1">
      <c r="A284" s="2"/>
    </row>
    <row r="285" spans="1:1">
      <c r="A285" s="2"/>
    </row>
    <row r="286" spans="1:1">
      <c r="A286" s="2"/>
    </row>
    <row r="287" spans="1:1">
      <c r="A287" s="2"/>
    </row>
    <row r="288" spans="1:1">
      <c r="A288" s="2"/>
    </row>
    <row r="289" spans="1:1">
      <c r="A289" s="2"/>
    </row>
    <row r="290" spans="1:1">
      <c r="A290" s="2"/>
    </row>
    <row r="291" spans="1:1">
      <c r="A291" s="2"/>
    </row>
    <row r="292" spans="1:1">
      <c r="A292" s="2"/>
    </row>
    <row r="293" spans="1:1">
      <c r="A293" s="2"/>
    </row>
    <row r="294" spans="1:1">
      <c r="A294" s="2"/>
    </row>
    <row r="295" spans="1:1">
      <c r="A295" s="2"/>
    </row>
    <row r="296" spans="1:1">
      <c r="A296" s="2"/>
    </row>
    <row r="297" spans="1:1">
      <c r="A297" s="2"/>
    </row>
    <row r="298" spans="1:1">
      <c r="A298" s="2"/>
    </row>
    <row r="299" spans="1:1">
      <c r="A299" s="2"/>
    </row>
    <row r="300" spans="1:1">
      <c r="A300" s="2"/>
    </row>
    <row r="301" spans="1:1">
      <c r="A301" s="2"/>
    </row>
    <row r="302" spans="1:1">
      <c r="A302" s="2"/>
    </row>
    <row r="303" spans="1:1">
      <c r="A303" s="2"/>
    </row>
    <row r="304" spans="1:1">
      <c r="A304" s="2"/>
    </row>
    <row r="305" spans="1:1">
      <c r="A305" s="2"/>
    </row>
    <row r="306" spans="1:1">
      <c r="A306" s="2"/>
    </row>
    <row r="307" spans="1:1">
      <c r="A307" s="2"/>
    </row>
    <row r="308" spans="1:1">
      <c r="A308" s="2"/>
    </row>
    <row r="309" spans="1:1">
      <c r="A309" s="2"/>
    </row>
    <row r="310" spans="1:1">
      <c r="A310" s="2"/>
    </row>
    <row r="311" spans="1:1">
      <c r="A311" s="2"/>
    </row>
    <row r="312" spans="1:1">
      <c r="A312" s="2"/>
    </row>
    <row r="313" spans="1:1">
      <c r="A313" s="2"/>
    </row>
    <row r="314" spans="1:1">
      <c r="A314" s="2"/>
    </row>
    <row r="315" spans="1:1">
      <c r="A315" s="2"/>
    </row>
    <row r="316" spans="1:1">
      <c r="A316" s="2"/>
    </row>
    <row r="317" spans="1:1">
      <c r="A317" s="2"/>
    </row>
    <row r="318" spans="1:1">
      <c r="A318" s="2"/>
    </row>
    <row r="319" spans="1:1">
      <c r="A319" s="2"/>
    </row>
    <row r="320" spans="1:1">
      <c r="A320" s="2"/>
    </row>
    <row r="321" spans="1:1">
      <c r="A321" s="2"/>
    </row>
    <row r="322" spans="1:1">
      <c r="A322" s="2"/>
    </row>
    <row r="323" spans="1:1">
      <c r="A323" s="2"/>
    </row>
    <row r="324" spans="1:1">
      <c r="A324" s="2"/>
    </row>
    <row r="325" spans="1:1">
      <c r="A325" s="2"/>
    </row>
    <row r="326" spans="1:1">
      <c r="A326" s="2"/>
    </row>
    <row r="327" spans="1:1">
      <c r="A327" s="2"/>
    </row>
    <row r="328" spans="1:1">
      <c r="A328" s="2"/>
    </row>
    <row r="329" spans="1:1">
      <c r="A329" s="2"/>
    </row>
    <row r="330" spans="1:1">
      <c r="A330" s="2"/>
    </row>
    <row r="331" spans="1:1">
      <c r="A331" s="2"/>
    </row>
    <row r="332" spans="1:1">
      <c r="A332" s="2"/>
    </row>
    <row r="333" spans="1:1">
      <c r="A333" s="2"/>
    </row>
    <row r="334" spans="1:1">
      <c r="A334" s="2"/>
    </row>
    <row r="335" spans="1:1">
      <c r="A335" s="2"/>
    </row>
    <row r="336" spans="1:1">
      <c r="A336" s="2"/>
    </row>
    <row r="337" spans="1:1">
      <c r="A337" s="2"/>
    </row>
    <row r="338" spans="1:1">
      <c r="A338" s="2"/>
    </row>
    <row r="339" spans="1:1">
      <c r="A339" s="2"/>
    </row>
    <row r="340" spans="1:1">
      <c r="A340" s="2"/>
    </row>
    <row r="341" spans="1:1">
      <c r="A341" s="2"/>
    </row>
    <row r="342" spans="1:1">
      <c r="A342" s="2"/>
    </row>
    <row r="343" spans="1:1">
      <c r="A343" s="2"/>
    </row>
    <row r="344" spans="1:1">
      <c r="A344" s="2"/>
    </row>
    <row r="345" spans="1:1">
      <c r="A345" s="2"/>
    </row>
    <row r="346" spans="1:1">
      <c r="A346" s="2"/>
    </row>
    <row r="347" spans="1:1">
      <c r="A347" s="2"/>
    </row>
    <row r="348" spans="1:1">
      <c r="A348" s="2"/>
    </row>
    <row r="349" spans="1:1">
      <c r="A349" s="2"/>
    </row>
    <row r="350" spans="1:1">
      <c r="A350" s="2"/>
    </row>
    <row r="351" spans="1:1">
      <c r="A351" s="2"/>
    </row>
    <row r="352" spans="1:1">
      <c r="A352" s="2"/>
    </row>
    <row r="353" spans="1:1">
      <c r="A353" s="2"/>
    </row>
    <row r="354" spans="1:1">
      <c r="A354" s="2"/>
    </row>
    <row r="355" spans="1:1">
      <c r="A355" s="2"/>
    </row>
    <row r="356" spans="1:1">
      <c r="A356" s="2"/>
    </row>
    <row r="357" spans="1:1">
      <c r="A357" s="2"/>
    </row>
    <row r="358" spans="1:1">
      <c r="A358" s="2"/>
    </row>
    <row r="359" spans="1:1">
      <c r="A359" s="2"/>
    </row>
    <row r="360" spans="1:1">
      <c r="A360" s="2"/>
    </row>
    <row r="361" spans="1:1">
      <c r="A361" s="2"/>
    </row>
    <row r="362" spans="1:1">
      <c r="A362" s="2"/>
    </row>
    <row r="363" spans="1:1">
      <c r="A363" s="2"/>
    </row>
    <row r="364" spans="1:1">
      <c r="A364" s="2"/>
    </row>
    <row r="365" spans="1:1">
      <c r="A365" s="2"/>
    </row>
    <row r="366" spans="1:1">
      <c r="A366" s="2"/>
    </row>
    <row r="367" spans="1:1">
      <c r="A367" s="2"/>
    </row>
    <row r="368" spans="1:1">
      <c r="A368" s="2"/>
    </row>
    <row r="369" spans="1:1">
      <c r="A369" s="2"/>
    </row>
    <row r="370" spans="1:1">
      <c r="A370" s="2"/>
    </row>
    <row r="371" spans="1:1">
      <c r="A371" s="2"/>
    </row>
    <row r="372" spans="1:1">
      <c r="A372" s="2"/>
    </row>
    <row r="373" spans="1:1">
      <c r="A373" s="2"/>
    </row>
    <row r="374" spans="1:1">
      <c r="A374" s="2"/>
    </row>
    <row r="375" spans="1:1">
      <c r="A375" s="2"/>
    </row>
    <row r="376" spans="1:1">
      <c r="A376" s="2"/>
    </row>
    <row r="377" spans="1:1">
      <c r="A377" s="2"/>
    </row>
    <row r="378" spans="1:1">
      <c r="A378" s="2"/>
    </row>
    <row r="379" spans="1:1">
      <c r="A379" s="2"/>
    </row>
    <row r="380" spans="1:1">
      <c r="A380" s="2"/>
    </row>
    <row r="381" spans="1:1">
      <c r="A381" s="2"/>
    </row>
    <row r="382" spans="1:1">
      <c r="A382" s="2"/>
    </row>
    <row r="383" spans="1:1">
      <c r="A383" s="2"/>
    </row>
    <row r="384" spans="1:1">
      <c r="A384" s="2"/>
    </row>
    <row r="385" spans="1:1">
      <c r="A385" s="2"/>
    </row>
    <row r="386" spans="1:1">
      <c r="A386" s="2"/>
    </row>
    <row r="387" spans="1:1">
      <c r="A387" s="2"/>
    </row>
    <row r="388" spans="1:1">
      <c r="A388" s="2"/>
    </row>
    <row r="389" spans="1:1">
      <c r="A389" s="2"/>
    </row>
    <row r="390" spans="1:1">
      <c r="A390" s="2"/>
    </row>
    <row r="391" spans="1:1">
      <c r="A391" s="2"/>
    </row>
    <row r="392" spans="1:1">
      <c r="A392" s="2"/>
    </row>
    <row r="393" spans="1:1">
      <c r="A393" s="2"/>
    </row>
    <row r="394" spans="1:1">
      <c r="A394" s="2"/>
    </row>
    <row r="395" spans="1:1">
      <c r="A395" s="2"/>
    </row>
    <row r="396" spans="1:1">
      <c r="A396" s="2"/>
    </row>
    <row r="397" spans="1:1">
      <c r="A397" s="2"/>
    </row>
    <row r="398" spans="1:1">
      <c r="A398" s="2"/>
    </row>
    <row r="399" spans="1:1">
      <c r="A399" s="2"/>
    </row>
    <row r="400" spans="1:1">
      <c r="A400" s="2"/>
    </row>
    <row r="401" spans="1:1">
      <c r="A401" s="2"/>
    </row>
    <row r="402" spans="1:1">
      <c r="A402" s="2"/>
    </row>
    <row r="403" spans="1:1">
      <c r="A403" s="2"/>
    </row>
    <row r="404" spans="1:1">
      <c r="A404" s="2"/>
    </row>
    <row r="405" spans="1:1">
      <c r="A405" s="2"/>
    </row>
    <row r="406" spans="1:1">
      <c r="A406" s="2"/>
    </row>
    <row r="407" spans="1:1">
      <c r="A407" s="2"/>
    </row>
    <row r="408" spans="1:1">
      <c r="A408" s="2"/>
    </row>
    <row r="409" spans="1:1">
      <c r="A409" s="2"/>
    </row>
    <row r="410" spans="1:1">
      <c r="A410" s="2"/>
    </row>
    <row r="411" spans="1:1">
      <c r="A411" s="2"/>
    </row>
    <row r="412" spans="1:1">
      <c r="A412" s="2"/>
    </row>
    <row r="413" spans="1:1">
      <c r="A413" s="2"/>
    </row>
    <row r="414" spans="1:1">
      <c r="A414" s="2"/>
    </row>
    <row r="415" spans="1:1">
      <c r="A415" s="2"/>
    </row>
    <row r="416" spans="1:1">
      <c r="A416" s="2"/>
    </row>
    <row r="417" spans="1:1">
      <c r="A417" s="2"/>
    </row>
    <row r="418" spans="1:1">
      <c r="A418" s="2"/>
    </row>
    <row r="419" spans="1:1">
      <c r="A419" s="2"/>
    </row>
    <row r="420" spans="1:1">
      <c r="A420" s="2"/>
    </row>
    <row r="421" spans="1:1">
      <c r="A421" s="2"/>
    </row>
    <row r="422" spans="1:1">
      <c r="A422" s="2"/>
    </row>
    <row r="423" spans="1:1">
      <c r="A423" s="2"/>
    </row>
    <row r="424" spans="1:1">
      <c r="A424" s="2"/>
    </row>
    <row r="425" spans="1:1">
      <c r="A425" s="2"/>
    </row>
    <row r="426" spans="1:1">
      <c r="A426" s="2"/>
    </row>
    <row r="427" spans="1:1">
      <c r="A427" s="2"/>
    </row>
    <row r="428" spans="1:1">
      <c r="A428" s="2"/>
    </row>
    <row r="429" spans="1:1">
      <c r="A429" s="2"/>
    </row>
    <row r="430" spans="1:1">
      <c r="A430" s="2"/>
    </row>
    <row r="431" spans="1:1">
      <c r="A431" s="2"/>
    </row>
    <row r="432" spans="1:1">
      <c r="A432" s="2"/>
    </row>
    <row r="433" spans="1:1">
      <c r="A433" s="2"/>
    </row>
    <row r="434" spans="1:1">
      <c r="A434" s="2"/>
    </row>
    <row r="435" spans="1:1">
      <c r="A435" s="2"/>
    </row>
    <row r="436" spans="1:1">
      <c r="A436" s="2"/>
    </row>
    <row r="437" spans="1:1">
      <c r="A437" s="2"/>
    </row>
    <row r="438" spans="1:1">
      <c r="A438" s="2"/>
    </row>
    <row r="439" spans="1:1">
      <c r="A439" s="2"/>
    </row>
    <row r="440" spans="1:1">
      <c r="A440" s="2"/>
    </row>
    <row r="441" spans="1:1">
      <c r="A441" s="2"/>
    </row>
    <row r="442" spans="1:1">
      <c r="A442" s="2"/>
    </row>
    <row r="443" spans="1:1">
      <c r="A443" s="2"/>
    </row>
    <row r="444" spans="1:1">
      <c r="A444" s="2"/>
    </row>
    <row r="445" spans="1:1">
      <c r="A445" s="2"/>
    </row>
    <row r="446" spans="1:1">
      <c r="A446" s="2"/>
    </row>
    <row r="447" spans="1:1">
      <c r="A447" s="2"/>
    </row>
    <row r="448" spans="1:1">
      <c r="A448" s="2"/>
    </row>
    <row r="449" spans="1:1">
      <c r="A449" s="2"/>
    </row>
    <row r="450" spans="1:1">
      <c r="A450" s="2"/>
    </row>
    <row r="451" spans="1:1">
      <c r="A451" s="2"/>
    </row>
    <row r="452" spans="1:1">
      <c r="A452" s="2"/>
    </row>
    <row r="453" spans="1:1">
      <c r="A453" s="2"/>
    </row>
    <row r="454" spans="1:1">
      <c r="A454" s="2"/>
    </row>
    <row r="455" spans="1:1">
      <c r="A455" s="2"/>
    </row>
    <row r="456" spans="1:1">
      <c r="A456" s="2"/>
    </row>
    <row r="457" spans="1:1">
      <c r="A457" s="2"/>
    </row>
    <row r="458" spans="1:1">
      <c r="A458" s="2"/>
    </row>
    <row r="459" spans="1:1">
      <c r="A459" s="2"/>
    </row>
    <row r="460" spans="1:1">
      <c r="A460" s="2"/>
    </row>
    <row r="461" spans="1:1">
      <c r="A461" s="2"/>
    </row>
    <row r="462" spans="1:1">
      <c r="A462" s="2"/>
    </row>
    <row r="463" spans="1:1">
      <c r="A463" s="2"/>
    </row>
    <row r="464" spans="1:1">
      <c r="A464" s="2"/>
    </row>
    <row r="465" spans="1:1">
      <c r="A465" s="2"/>
    </row>
    <row r="466" spans="1:1">
      <c r="A466" s="2"/>
    </row>
    <row r="467" spans="1:1">
      <c r="A467" s="2"/>
    </row>
    <row r="468" spans="1:1">
      <c r="A468" s="2"/>
    </row>
    <row r="469" spans="1:1">
      <c r="A469" s="2"/>
    </row>
    <row r="470" spans="1:1">
      <c r="A470" s="2"/>
    </row>
    <row r="471" spans="1:1">
      <c r="A471" s="2"/>
    </row>
    <row r="472" spans="1:1">
      <c r="A472" s="2"/>
    </row>
    <row r="473" spans="1:1">
      <c r="A473" s="2"/>
    </row>
    <row r="474" spans="1:1">
      <c r="A474" s="2"/>
    </row>
    <row r="475" spans="1:1">
      <c r="A475" s="2"/>
    </row>
    <row r="476" spans="1:1">
      <c r="A476" s="2"/>
    </row>
    <row r="477" spans="1:1">
      <c r="A477" s="2"/>
    </row>
    <row r="478" spans="1:1">
      <c r="A478" s="2"/>
    </row>
    <row r="479" spans="1:1">
      <c r="A479" s="2"/>
    </row>
    <row r="480" spans="1:1">
      <c r="A480" s="2"/>
    </row>
    <row r="481" spans="1:1">
      <c r="A481" s="2"/>
    </row>
    <row r="482" spans="1:1">
      <c r="A482" s="2"/>
    </row>
    <row r="483" spans="1:1">
      <c r="A483" s="2"/>
    </row>
    <row r="484" spans="1:1">
      <c r="A484" s="2"/>
    </row>
    <row r="485" spans="1:1">
      <c r="A485" s="2"/>
    </row>
    <row r="486" spans="1:1">
      <c r="A486" s="2"/>
    </row>
    <row r="487" spans="1:1">
      <c r="A487" s="2"/>
    </row>
    <row r="488" spans="1:1">
      <c r="A488" s="2"/>
    </row>
    <row r="489" spans="1:1">
      <c r="A489" s="2"/>
    </row>
    <row r="490" spans="1:1">
      <c r="A490" s="2"/>
    </row>
    <row r="491" spans="1:1">
      <c r="A491" s="2"/>
    </row>
    <row r="492" spans="1:1">
      <c r="A492" s="2"/>
    </row>
    <row r="493" spans="1:1">
      <c r="A493" s="2"/>
    </row>
    <row r="494" spans="1:1">
      <c r="A494" s="2"/>
    </row>
    <row r="495" spans="1:1">
      <c r="A495" s="2"/>
    </row>
    <row r="496" spans="1:1">
      <c r="A496" s="2"/>
    </row>
    <row r="497" spans="1:1">
      <c r="A497" s="2"/>
    </row>
    <row r="498" spans="1:1">
      <c r="A498" s="2"/>
    </row>
    <row r="499" spans="1:1">
      <c r="A499" s="2"/>
    </row>
    <row r="500" spans="1:1">
      <c r="A500" s="2"/>
    </row>
    <row r="501" spans="1:1">
      <c r="A501" s="2"/>
    </row>
    <row r="502" spans="1:1">
      <c r="A502" s="2"/>
    </row>
    <row r="503" spans="1:1">
      <c r="A503" s="2"/>
    </row>
    <row r="504" spans="1:1">
      <c r="A504" s="2"/>
    </row>
    <row r="505" spans="1:1">
      <c r="A505" s="2"/>
    </row>
    <row r="506" spans="1:1">
      <c r="A506" s="2"/>
    </row>
    <row r="507" spans="1:1">
      <c r="A507" s="2"/>
    </row>
    <row r="508" spans="1:1">
      <c r="A508" s="2"/>
    </row>
  </sheetData>
  <mergeCells count="1">
    <mergeCell ref="B8:H8"/>
  </mergeCells>
  <phoneticPr fontId="0" type="noConversion"/>
  <pageMargins left="0.75" right="0.75" top="1" bottom="1" header="0.5" footer="0.5"/>
  <pageSetup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6564" r:id="rId3" name="Button 4">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66565"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66566"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66567"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8" enableFormatConditionsCalculation="0"/>
  <dimension ref="A1:N468"/>
  <sheetViews>
    <sheetView workbookViewId="0"/>
  </sheetViews>
  <sheetFormatPr baseColWidth="10" defaultColWidth="8.83203125" defaultRowHeight="12" x14ac:dyDescent="0"/>
  <cols>
    <col min="2" max="2" width="17.83203125" customWidth="1"/>
    <col min="4" max="4" width="10.5" customWidth="1"/>
    <col min="5" max="5" width="10.1640625" customWidth="1"/>
    <col min="6" max="6" width="16.1640625" customWidth="1"/>
    <col min="7" max="7" width="14.83203125" customWidth="1"/>
    <col min="8" max="8" width="13" customWidth="1"/>
    <col min="9" max="9" width="13.5" customWidth="1"/>
  </cols>
  <sheetData>
    <row r="1" spans="1:14">
      <c r="A1" s="21"/>
      <c r="B1" s="21"/>
      <c r="C1" s="21" t="s">
        <v>846</v>
      </c>
      <c r="D1" s="21"/>
      <c r="E1" s="21"/>
      <c r="F1" s="21"/>
      <c r="G1" s="21"/>
      <c r="H1" s="21"/>
    </row>
    <row r="2" spans="1:14" ht="21" customHeight="1">
      <c r="A2" s="21"/>
      <c r="B2" s="21"/>
      <c r="C2" s="21"/>
      <c r="D2" s="374"/>
      <c r="E2" s="374"/>
      <c r="F2" s="374"/>
      <c r="G2" s="374"/>
      <c r="H2" s="374"/>
      <c r="I2" s="372"/>
      <c r="J2" s="372"/>
      <c r="K2" s="372"/>
      <c r="L2" s="372"/>
      <c r="M2" s="372"/>
      <c r="N2" s="372"/>
    </row>
    <row r="3" spans="1:14">
      <c r="A3" s="19" t="s">
        <v>1045</v>
      </c>
      <c r="B3" s="20" t="s">
        <v>128</v>
      </c>
      <c r="C3" s="21"/>
      <c r="D3" s="21"/>
      <c r="E3" s="21"/>
      <c r="F3" s="21"/>
      <c r="G3" s="21"/>
      <c r="H3" s="21"/>
    </row>
    <row r="4" spans="1:14">
      <c r="A4" s="19" t="s">
        <v>774</v>
      </c>
      <c r="B4" s="20" t="s">
        <v>129</v>
      </c>
      <c r="C4" s="21"/>
      <c r="D4" s="21"/>
      <c r="E4" s="21"/>
      <c r="F4" s="21"/>
      <c r="G4" s="21"/>
      <c r="H4" s="21"/>
    </row>
    <row r="5" spans="1:14" ht="33.75" customHeight="1">
      <c r="A5" s="118" t="s">
        <v>779</v>
      </c>
      <c r="B5" s="446" t="s">
        <v>1071</v>
      </c>
      <c r="C5" s="446"/>
      <c r="D5" s="446"/>
      <c r="E5" s="446"/>
      <c r="F5" s="446"/>
      <c r="G5" s="446"/>
      <c r="H5" s="446"/>
    </row>
    <row r="6" spans="1:14" ht="14.25" customHeight="1">
      <c r="A6" s="19"/>
      <c r="B6" s="446" t="s">
        <v>1072</v>
      </c>
      <c r="C6" s="446"/>
      <c r="D6" s="446"/>
      <c r="E6" s="446"/>
      <c r="F6" s="446"/>
      <c r="G6" s="446"/>
      <c r="H6" s="446"/>
    </row>
    <row r="7" spans="1:14" ht="14.25" customHeight="1">
      <c r="A7" s="19"/>
      <c r="B7" s="446" t="s">
        <v>1073</v>
      </c>
      <c r="C7" s="446"/>
      <c r="D7" s="446"/>
      <c r="E7" s="446"/>
      <c r="F7" s="446"/>
      <c r="G7" s="446"/>
      <c r="H7" s="446"/>
    </row>
    <row r="8" spans="1:14" ht="46.5" customHeight="1">
      <c r="A8" s="19"/>
      <c r="B8" s="446" t="s">
        <v>353</v>
      </c>
      <c r="C8" s="446"/>
      <c r="D8" s="446"/>
      <c r="E8" s="446"/>
      <c r="F8" s="446"/>
      <c r="G8" s="446"/>
      <c r="H8" s="446"/>
    </row>
    <row r="9" spans="1:14" ht="14.25" customHeight="1">
      <c r="A9" s="19"/>
      <c r="B9" s="21"/>
      <c r="C9" s="21"/>
      <c r="D9" s="21"/>
      <c r="E9" s="21"/>
      <c r="F9" s="21"/>
      <c r="G9" s="21"/>
      <c r="H9" s="21"/>
    </row>
    <row r="10" spans="1:14" ht="37.5" customHeight="1">
      <c r="A10" s="22"/>
      <c r="B10" s="22" t="s">
        <v>1090</v>
      </c>
      <c r="C10" s="22" t="s">
        <v>1098</v>
      </c>
      <c r="D10" s="22" t="s">
        <v>1099</v>
      </c>
      <c r="E10" s="198" t="s">
        <v>1067</v>
      </c>
      <c r="F10" s="196" t="s">
        <v>207</v>
      </c>
      <c r="G10" s="198" t="s">
        <v>354</v>
      </c>
      <c r="H10" s="198" t="s">
        <v>355</v>
      </c>
    </row>
    <row r="11" spans="1:14">
      <c r="A11" s="79">
        <v>1</v>
      </c>
      <c r="B11" s="110">
        <v>35731</v>
      </c>
      <c r="C11" s="111">
        <v>29.531300000000002</v>
      </c>
      <c r="D11" s="29">
        <v>20122</v>
      </c>
      <c r="E11" s="111">
        <f t="shared" ref="E11:E20" si="0">D11/$C$25</f>
        <v>5.0336611391954147</v>
      </c>
      <c r="F11" s="111">
        <f t="shared" ref="F11:F20" si="1">C11*E11</f>
        <v>148.65055719992156</v>
      </c>
      <c r="G11" s="111"/>
      <c r="H11" s="111"/>
    </row>
    <row r="12" spans="1:14">
      <c r="A12" s="79">
        <v>2</v>
      </c>
      <c r="B12" s="110">
        <v>35732</v>
      </c>
      <c r="C12" s="111">
        <v>30.5</v>
      </c>
      <c r="D12" s="29">
        <v>6602</v>
      </c>
      <c r="E12" s="111">
        <f t="shared" si="0"/>
        <v>1.6515371653398334</v>
      </c>
      <c r="F12" s="111">
        <f t="shared" si="1"/>
        <v>50.371883542864921</v>
      </c>
      <c r="G12" s="111"/>
      <c r="H12" s="111"/>
    </row>
    <row r="13" spans="1:14">
      <c r="A13" s="77">
        <v>3</v>
      </c>
      <c r="B13" s="109">
        <v>35733</v>
      </c>
      <c r="C13" s="112">
        <v>31.5</v>
      </c>
      <c r="D13" s="28">
        <v>5810</v>
      </c>
      <c r="E13" s="112">
        <f t="shared" si="0"/>
        <v>1.4534127432027313</v>
      </c>
      <c r="F13" s="112">
        <f t="shared" si="1"/>
        <v>45.782501410886034</v>
      </c>
      <c r="G13" s="112"/>
      <c r="H13" s="112"/>
    </row>
    <row r="14" spans="1:14">
      <c r="A14" s="77">
        <v>4</v>
      </c>
      <c r="B14" s="109">
        <v>35734</v>
      </c>
      <c r="C14" s="112">
        <v>31.6875</v>
      </c>
      <c r="D14" s="28">
        <v>4434</v>
      </c>
      <c r="E14" s="112">
        <f t="shared" si="0"/>
        <v>1.1091965754493822</v>
      </c>
      <c r="F14" s="112">
        <f t="shared" si="1"/>
        <v>35.147666484552296</v>
      </c>
      <c r="G14" s="112"/>
      <c r="H14" s="112"/>
    </row>
    <row r="15" spans="1:14">
      <c r="A15" s="79">
        <v>5</v>
      </c>
      <c r="B15" s="110">
        <v>35737</v>
      </c>
      <c r="C15" s="111">
        <v>32.375</v>
      </c>
      <c r="D15" s="29">
        <v>5814</v>
      </c>
      <c r="E15" s="111">
        <f t="shared" si="0"/>
        <v>1.4544133715973633</v>
      </c>
      <c r="F15" s="111">
        <f t="shared" si="1"/>
        <v>47.086632905464633</v>
      </c>
      <c r="G15" s="111">
        <f>F15*0.53424</f>
        <v>25.155562763415428</v>
      </c>
      <c r="H15" s="111"/>
    </row>
    <row r="16" spans="1:14">
      <c r="A16" s="79">
        <v>6</v>
      </c>
      <c r="B16" s="110">
        <v>35738</v>
      </c>
      <c r="C16" s="111">
        <v>33.093800000000002</v>
      </c>
      <c r="D16" s="29">
        <v>4656</v>
      </c>
      <c r="E16" s="111">
        <f t="shared" si="0"/>
        <v>1.1647314513514488</v>
      </c>
      <c r="F16" s="111">
        <f t="shared" si="1"/>
        <v>38.545389704734582</v>
      </c>
      <c r="G16" s="111">
        <f>F16</f>
        <v>38.545389704734582</v>
      </c>
      <c r="H16" s="111"/>
    </row>
    <row r="17" spans="1:8">
      <c r="A17" s="77">
        <v>7</v>
      </c>
      <c r="B17" s="109">
        <v>35739</v>
      </c>
      <c r="C17" s="112">
        <v>34.093800000000002</v>
      </c>
      <c r="D17" s="28">
        <v>3856</v>
      </c>
      <c r="E17" s="112">
        <f t="shared" si="0"/>
        <v>0.96460577242508294</v>
      </c>
      <c r="F17" s="112">
        <f t="shared" si="1"/>
        <v>32.887076283906296</v>
      </c>
      <c r="G17" s="112">
        <f>F17</f>
        <v>32.887076283906296</v>
      </c>
      <c r="H17" s="112"/>
    </row>
    <row r="18" spans="1:8">
      <c r="A18" s="77">
        <v>8</v>
      </c>
      <c r="B18" s="109">
        <v>35740</v>
      </c>
      <c r="C18" s="112">
        <v>33.468800000000002</v>
      </c>
      <c r="D18" s="28">
        <v>2202</v>
      </c>
      <c r="E18" s="112">
        <f t="shared" si="0"/>
        <v>0.55084593124482173</v>
      </c>
      <c r="F18" s="112">
        <f t="shared" si="1"/>
        <v>18.43615230364669</v>
      </c>
      <c r="G18" s="112">
        <f>F18</f>
        <v>18.43615230364669</v>
      </c>
      <c r="H18" s="112"/>
    </row>
    <row r="19" spans="1:8">
      <c r="A19" s="79">
        <v>9</v>
      </c>
      <c r="B19" s="110">
        <v>35741</v>
      </c>
      <c r="C19" s="111">
        <v>32.968800000000002</v>
      </c>
      <c r="D19" s="29">
        <v>3342</v>
      </c>
      <c r="E19" s="111">
        <f t="shared" si="0"/>
        <v>0.83602502371489296</v>
      </c>
      <c r="F19" s="111">
        <f t="shared" si="1"/>
        <v>27.562741801851566</v>
      </c>
      <c r="G19" s="111">
        <f>F19</f>
        <v>27.562741801851566</v>
      </c>
      <c r="H19" s="111"/>
    </row>
    <row r="20" spans="1:8">
      <c r="A20" s="79">
        <v>10</v>
      </c>
      <c r="B20" s="110">
        <v>35744</v>
      </c>
      <c r="C20" s="111">
        <v>32.6875</v>
      </c>
      <c r="D20" s="29">
        <v>2826</v>
      </c>
      <c r="E20" s="111">
        <f t="shared" si="0"/>
        <v>0.70694396080738708</v>
      </c>
      <c r="F20" s="111">
        <f t="shared" si="1"/>
        <v>23.108230718891466</v>
      </c>
      <c r="G20" s="111">
        <f>F20</f>
        <v>23.108230718891466</v>
      </c>
      <c r="H20" s="111">
        <f>G21/5</f>
        <v>33.139030715289202</v>
      </c>
    </row>
    <row r="21" spans="1:8" ht="13" thickBot="1">
      <c r="B21" s="2"/>
      <c r="C21" s="32"/>
      <c r="F21" t="s">
        <v>1068</v>
      </c>
      <c r="G21" s="285">
        <f>SUM(G15:G20)</f>
        <v>165.69515357644602</v>
      </c>
    </row>
    <row r="22" spans="1:8" ht="14" thickTop="1" thickBot="1">
      <c r="B22" s="2"/>
      <c r="C22" s="32"/>
      <c r="G22" s="330"/>
    </row>
    <row r="23" spans="1:8">
      <c r="B23" s="237" t="s">
        <v>1069</v>
      </c>
      <c r="C23" s="238">
        <f>SUM(D11:D20)</f>
        <v>59664</v>
      </c>
      <c r="G23" s="330"/>
    </row>
    <row r="24" spans="1:8">
      <c r="B24" s="239" t="s">
        <v>1070</v>
      </c>
      <c r="C24" s="216">
        <f>C23/10</f>
        <v>5966.4</v>
      </c>
      <c r="G24" s="330"/>
    </row>
    <row r="25" spans="1:8" ht="13" thickBot="1">
      <c r="B25" s="240" t="s">
        <v>1067</v>
      </c>
      <c r="C25" s="225">
        <f>C24*0.67</f>
        <v>3997.4879999999998</v>
      </c>
    </row>
    <row r="26" spans="1:8">
      <c r="B26" s="331"/>
      <c r="C26" s="214"/>
    </row>
    <row r="27" spans="1:8">
      <c r="B27" s="2"/>
    </row>
    <row r="28" spans="1:8">
      <c r="A28" t="s">
        <v>86</v>
      </c>
      <c r="B28" s="2"/>
    </row>
    <row r="29" spans="1:8">
      <c r="A29" t="s">
        <v>57</v>
      </c>
      <c r="B29" s="2" t="s">
        <v>356</v>
      </c>
    </row>
    <row r="30" spans="1:8">
      <c r="A30" t="s">
        <v>58</v>
      </c>
      <c r="B30" s="2" t="s">
        <v>357</v>
      </c>
    </row>
    <row r="31" spans="1:8">
      <c r="A31" t="s">
        <v>59</v>
      </c>
      <c r="B31" s="2" t="s">
        <v>60</v>
      </c>
    </row>
    <row r="32" spans="1:8">
      <c r="A32" t="s">
        <v>87</v>
      </c>
      <c r="B32" s="2" t="s">
        <v>359</v>
      </c>
    </row>
    <row r="33" spans="1:2">
      <c r="A33" t="s">
        <v>215</v>
      </c>
      <c r="B33" s="2" t="s">
        <v>358</v>
      </c>
    </row>
    <row r="34" spans="1:2">
      <c r="A34" t="s">
        <v>88</v>
      </c>
      <c r="B34" s="208" t="s">
        <v>225</v>
      </c>
    </row>
    <row r="35" spans="1:2">
      <c r="B35" s="208" t="s">
        <v>226</v>
      </c>
    </row>
    <row r="36" spans="1:2">
      <c r="A36" t="s">
        <v>89</v>
      </c>
      <c r="B36" s="2" t="s">
        <v>362</v>
      </c>
    </row>
    <row r="37" spans="1:2">
      <c r="B37" s="2"/>
    </row>
    <row r="38" spans="1:2">
      <c r="B38" s="2"/>
    </row>
    <row r="39" spans="1:2">
      <c r="B39" s="2"/>
    </row>
    <row r="40" spans="1:2">
      <c r="B40" s="2"/>
    </row>
    <row r="41" spans="1:2">
      <c r="B41" s="2"/>
    </row>
    <row r="42" spans="1:2">
      <c r="B42" s="2"/>
    </row>
    <row r="43" spans="1:2">
      <c r="B43" s="2"/>
    </row>
    <row r="44" spans="1:2">
      <c r="B44" s="2"/>
    </row>
    <row r="45" spans="1:2">
      <c r="B45" s="2"/>
    </row>
    <row r="46" spans="1:2">
      <c r="B46" s="2"/>
    </row>
    <row r="47" spans="1:2">
      <c r="B47" s="2"/>
    </row>
    <row r="48" spans="1:2">
      <c r="B48" s="2"/>
    </row>
    <row r="49" spans="2:2">
      <c r="B49" s="2"/>
    </row>
    <row r="50" spans="2:2">
      <c r="B50" s="2"/>
    </row>
    <row r="51" spans="2:2">
      <c r="B51" s="2"/>
    </row>
    <row r="52" spans="2:2">
      <c r="B52" s="2"/>
    </row>
    <row r="53" spans="2:2">
      <c r="B53" s="2"/>
    </row>
    <row r="54" spans="2:2">
      <c r="B54" s="2"/>
    </row>
    <row r="55" spans="2:2">
      <c r="B55" s="2"/>
    </row>
    <row r="56" spans="2:2">
      <c r="B56" s="2"/>
    </row>
    <row r="57" spans="2:2">
      <c r="B57" s="2"/>
    </row>
    <row r="58" spans="2:2">
      <c r="B58" s="2"/>
    </row>
    <row r="59" spans="2:2">
      <c r="B59" s="2"/>
    </row>
    <row r="60" spans="2:2">
      <c r="B60" s="2"/>
    </row>
    <row r="61" spans="2:2">
      <c r="B61" s="2"/>
    </row>
    <row r="62" spans="2:2">
      <c r="B62" s="2"/>
    </row>
    <row r="63" spans="2:2">
      <c r="B63" s="2"/>
    </row>
    <row r="64" spans="2:2">
      <c r="B64" s="2"/>
    </row>
    <row r="65" spans="2:2">
      <c r="B65" s="2"/>
    </row>
    <row r="66" spans="2:2">
      <c r="B66" s="2"/>
    </row>
    <row r="67" spans="2:2">
      <c r="B67" s="2"/>
    </row>
    <row r="68" spans="2:2">
      <c r="B68" s="2"/>
    </row>
    <row r="69" spans="2:2">
      <c r="B69" s="2"/>
    </row>
    <row r="70" spans="2:2">
      <c r="B70" s="2"/>
    </row>
    <row r="71" spans="2:2">
      <c r="B71" s="2"/>
    </row>
    <row r="72" spans="2:2">
      <c r="B72" s="2"/>
    </row>
    <row r="73" spans="2:2">
      <c r="B73" s="2"/>
    </row>
    <row r="74" spans="2:2">
      <c r="B74" s="2"/>
    </row>
    <row r="75" spans="2:2">
      <c r="B75" s="2"/>
    </row>
    <row r="76" spans="2:2">
      <c r="B76" s="2"/>
    </row>
    <row r="77" spans="2:2">
      <c r="B77" s="2"/>
    </row>
    <row r="78" spans="2:2">
      <c r="B78" s="2"/>
    </row>
    <row r="79" spans="2:2">
      <c r="B79" s="2"/>
    </row>
    <row r="80" spans="2:2">
      <c r="B80" s="2"/>
    </row>
    <row r="81" spans="2:2">
      <c r="B81" s="2"/>
    </row>
    <row r="82" spans="2:2">
      <c r="B82" s="2"/>
    </row>
    <row r="83" spans="2:2">
      <c r="B83" s="2"/>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2"/>
    </row>
    <row r="217" spans="2:2">
      <c r="B217" s="2"/>
    </row>
    <row r="218" spans="2:2">
      <c r="B218" s="2"/>
    </row>
    <row r="219" spans="2:2">
      <c r="B219" s="2"/>
    </row>
    <row r="220" spans="2:2">
      <c r="B220" s="2"/>
    </row>
    <row r="221" spans="2:2">
      <c r="B221" s="2"/>
    </row>
    <row r="222" spans="2:2">
      <c r="B222" s="2"/>
    </row>
    <row r="223" spans="2:2">
      <c r="B223" s="2"/>
    </row>
    <row r="224" spans="2:2">
      <c r="B224" s="2"/>
    </row>
    <row r="225" spans="2:2">
      <c r="B225" s="2"/>
    </row>
    <row r="226" spans="2:2">
      <c r="B226" s="2"/>
    </row>
    <row r="227" spans="2:2">
      <c r="B227" s="2"/>
    </row>
    <row r="228" spans="2:2">
      <c r="B228" s="2"/>
    </row>
    <row r="229" spans="2:2">
      <c r="B229" s="2"/>
    </row>
    <row r="230" spans="2:2">
      <c r="B230" s="2"/>
    </row>
    <row r="231" spans="2:2">
      <c r="B231" s="2"/>
    </row>
    <row r="232" spans="2:2">
      <c r="B232" s="2"/>
    </row>
    <row r="233" spans="2:2">
      <c r="B233" s="2"/>
    </row>
    <row r="234" spans="2:2">
      <c r="B234" s="2"/>
    </row>
    <row r="235" spans="2:2">
      <c r="B235" s="2"/>
    </row>
    <row r="236" spans="2:2">
      <c r="B236" s="2"/>
    </row>
    <row r="237" spans="2:2">
      <c r="B237" s="2"/>
    </row>
    <row r="238" spans="2:2">
      <c r="B238" s="2"/>
    </row>
    <row r="239" spans="2:2">
      <c r="B239" s="2"/>
    </row>
    <row r="240" spans="2:2">
      <c r="B240" s="2"/>
    </row>
    <row r="241" spans="2:2">
      <c r="B241" s="2"/>
    </row>
    <row r="242" spans="2:2">
      <c r="B242" s="2"/>
    </row>
    <row r="243" spans="2:2">
      <c r="B243" s="2"/>
    </row>
    <row r="244" spans="2:2">
      <c r="B244" s="2"/>
    </row>
    <row r="245" spans="2:2">
      <c r="B245" s="2"/>
    </row>
    <row r="246" spans="2:2">
      <c r="B246" s="2"/>
    </row>
    <row r="247" spans="2:2">
      <c r="B247" s="2"/>
    </row>
    <row r="248" spans="2:2">
      <c r="B248" s="2"/>
    </row>
    <row r="249" spans="2:2">
      <c r="B249" s="2"/>
    </row>
    <row r="250" spans="2:2">
      <c r="B250" s="2"/>
    </row>
    <row r="251" spans="2:2">
      <c r="B251" s="2"/>
    </row>
    <row r="252" spans="2:2">
      <c r="B252" s="2"/>
    </row>
    <row r="253" spans="2:2">
      <c r="B253" s="2"/>
    </row>
    <row r="254" spans="2:2">
      <c r="B254" s="2"/>
    </row>
    <row r="255" spans="2:2">
      <c r="B255" s="2"/>
    </row>
    <row r="256" spans="2:2">
      <c r="B256" s="2"/>
    </row>
    <row r="257" spans="2:2">
      <c r="B257" s="2"/>
    </row>
    <row r="258" spans="2:2">
      <c r="B258" s="2"/>
    </row>
    <row r="259" spans="2:2">
      <c r="B259" s="2"/>
    </row>
    <row r="260" spans="2:2">
      <c r="B260" s="2"/>
    </row>
    <row r="261" spans="2:2">
      <c r="B261" s="2"/>
    </row>
    <row r="262" spans="2:2">
      <c r="B262" s="2"/>
    </row>
    <row r="263" spans="2:2">
      <c r="B263" s="2"/>
    </row>
    <row r="264" spans="2:2">
      <c r="B264" s="2"/>
    </row>
    <row r="265" spans="2:2">
      <c r="B265" s="2"/>
    </row>
    <row r="266" spans="2:2">
      <c r="B266" s="2"/>
    </row>
    <row r="267" spans="2:2">
      <c r="B267" s="2"/>
    </row>
    <row r="268" spans="2:2">
      <c r="B268" s="2"/>
    </row>
    <row r="269" spans="2:2">
      <c r="B269" s="2"/>
    </row>
    <row r="270" spans="2:2">
      <c r="B270" s="2"/>
    </row>
    <row r="271" spans="2:2">
      <c r="B271" s="2"/>
    </row>
    <row r="272" spans="2:2">
      <c r="B272" s="2"/>
    </row>
    <row r="273" spans="2:2">
      <c r="B273" s="2"/>
    </row>
    <row r="274" spans="2:2">
      <c r="B274" s="2"/>
    </row>
    <row r="275" spans="2:2">
      <c r="B275" s="2"/>
    </row>
    <row r="276" spans="2:2">
      <c r="B276" s="2"/>
    </row>
    <row r="277" spans="2:2">
      <c r="B277" s="2"/>
    </row>
    <row r="278" spans="2:2">
      <c r="B278" s="2"/>
    </row>
    <row r="279" spans="2:2">
      <c r="B279" s="2"/>
    </row>
    <row r="280" spans="2:2">
      <c r="B280" s="2"/>
    </row>
    <row r="281" spans="2:2">
      <c r="B281" s="2"/>
    </row>
    <row r="282" spans="2:2">
      <c r="B282" s="2"/>
    </row>
    <row r="283" spans="2:2">
      <c r="B283" s="2"/>
    </row>
    <row r="284" spans="2:2">
      <c r="B284" s="2"/>
    </row>
    <row r="285" spans="2:2">
      <c r="B285" s="2"/>
    </row>
    <row r="286" spans="2:2">
      <c r="B286" s="2"/>
    </row>
    <row r="287" spans="2:2">
      <c r="B287" s="2"/>
    </row>
    <row r="288" spans="2:2">
      <c r="B288" s="2"/>
    </row>
    <row r="289" spans="2:2">
      <c r="B289" s="2"/>
    </row>
    <row r="290" spans="2:2">
      <c r="B290" s="2"/>
    </row>
    <row r="291" spans="2:2">
      <c r="B291" s="2"/>
    </row>
    <row r="292" spans="2:2">
      <c r="B292" s="2"/>
    </row>
    <row r="293" spans="2:2">
      <c r="B293" s="2"/>
    </row>
    <row r="294" spans="2:2">
      <c r="B294" s="2"/>
    </row>
    <row r="295" spans="2:2">
      <c r="B295" s="2"/>
    </row>
    <row r="296" spans="2:2">
      <c r="B296" s="2"/>
    </row>
    <row r="297" spans="2:2">
      <c r="B297" s="2"/>
    </row>
    <row r="298" spans="2:2">
      <c r="B298" s="2"/>
    </row>
    <row r="299" spans="2:2">
      <c r="B299" s="2"/>
    </row>
    <row r="300" spans="2:2">
      <c r="B300" s="2"/>
    </row>
    <row r="301" spans="2:2">
      <c r="B301" s="2"/>
    </row>
    <row r="302" spans="2:2">
      <c r="B302" s="2"/>
    </row>
    <row r="303" spans="2:2">
      <c r="B303" s="2"/>
    </row>
    <row r="304" spans="2:2">
      <c r="B304" s="2"/>
    </row>
    <row r="305" spans="2:2">
      <c r="B305" s="2"/>
    </row>
    <row r="306" spans="2:2">
      <c r="B306" s="2"/>
    </row>
    <row r="307" spans="2:2">
      <c r="B307" s="2"/>
    </row>
    <row r="308" spans="2:2">
      <c r="B308" s="2"/>
    </row>
    <row r="309" spans="2:2">
      <c r="B309" s="2"/>
    </row>
    <row r="310" spans="2:2">
      <c r="B310" s="2"/>
    </row>
    <row r="311" spans="2:2">
      <c r="B311" s="2"/>
    </row>
    <row r="312" spans="2:2">
      <c r="B312" s="2"/>
    </row>
    <row r="313" spans="2:2">
      <c r="B313" s="2"/>
    </row>
    <row r="314" spans="2:2">
      <c r="B314" s="2"/>
    </row>
    <row r="315" spans="2:2">
      <c r="B315" s="2"/>
    </row>
    <row r="316" spans="2:2">
      <c r="B316" s="2"/>
    </row>
    <row r="317" spans="2:2">
      <c r="B317" s="2"/>
    </row>
    <row r="318" spans="2:2">
      <c r="B318" s="2"/>
    </row>
    <row r="319" spans="2:2">
      <c r="B319" s="2"/>
    </row>
    <row r="320" spans="2:2">
      <c r="B320" s="2"/>
    </row>
    <row r="321" spans="2:2">
      <c r="B321" s="2"/>
    </row>
    <row r="322" spans="2:2">
      <c r="B322" s="2"/>
    </row>
    <row r="323" spans="2:2">
      <c r="B323" s="2"/>
    </row>
    <row r="324" spans="2:2">
      <c r="B324" s="2"/>
    </row>
    <row r="325" spans="2:2">
      <c r="B325" s="2"/>
    </row>
    <row r="326" spans="2:2">
      <c r="B326" s="2"/>
    </row>
    <row r="327" spans="2:2">
      <c r="B327" s="2"/>
    </row>
    <row r="328" spans="2:2">
      <c r="B328" s="2"/>
    </row>
    <row r="329" spans="2:2">
      <c r="B329" s="2"/>
    </row>
    <row r="330" spans="2:2">
      <c r="B330" s="2"/>
    </row>
    <row r="331" spans="2:2">
      <c r="B331" s="2"/>
    </row>
    <row r="332" spans="2:2">
      <c r="B332" s="2"/>
    </row>
    <row r="333" spans="2:2">
      <c r="B333" s="2"/>
    </row>
    <row r="334" spans="2:2">
      <c r="B334" s="2"/>
    </row>
    <row r="335" spans="2:2">
      <c r="B335" s="2"/>
    </row>
    <row r="336" spans="2:2">
      <c r="B336" s="2"/>
    </row>
    <row r="337" spans="2:2">
      <c r="B337" s="2"/>
    </row>
    <row r="338" spans="2:2">
      <c r="B338" s="2"/>
    </row>
    <row r="339" spans="2:2">
      <c r="B339" s="2"/>
    </row>
    <row r="340" spans="2:2">
      <c r="B340" s="2"/>
    </row>
    <row r="341" spans="2:2">
      <c r="B341" s="2"/>
    </row>
    <row r="342" spans="2:2">
      <c r="B342" s="2"/>
    </row>
    <row r="343" spans="2:2">
      <c r="B343" s="2"/>
    </row>
    <row r="344" spans="2:2">
      <c r="B344" s="2"/>
    </row>
    <row r="345" spans="2:2">
      <c r="B345" s="2"/>
    </row>
    <row r="346" spans="2:2">
      <c r="B346" s="2"/>
    </row>
    <row r="347" spans="2:2">
      <c r="B347" s="2"/>
    </row>
    <row r="348" spans="2:2">
      <c r="B348" s="2"/>
    </row>
    <row r="349" spans="2:2">
      <c r="B349" s="2"/>
    </row>
    <row r="350" spans="2:2">
      <c r="B350" s="2"/>
    </row>
    <row r="351" spans="2:2">
      <c r="B351" s="2"/>
    </row>
    <row r="352" spans="2:2">
      <c r="B352" s="2"/>
    </row>
    <row r="353" spans="2:2">
      <c r="B353" s="2"/>
    </row>
    <row r="354" spans="2:2">
      <c r="B354" s="2"/>
    </row>
    <row r="355" spans="2:2">
      <c r="B355" s="2"/>
    </row>
    <row r="356" spans="2:2">
      <c r="B356" s="2"/>
    </row>
    <row r="357" spans="2:2">
      <c r="B357" s="2"/>
    </row>
    <row r="358" spans="2:2">
      <c r="B358" s="2"/>
    </row>
    <row r="359" spans="2:2">
      <c r="B359" s="2"/>
    </row>
    <row r="360" spans="2:2">
      <c r="B360" s="2"/>
    </row>
    <row r="361" spans="2:2">
      <c r="B361" s="2"/>
    </row>
    <row r="362" spans="2:2">
      <c r="B362" s="2"/>
    </row>
    <row r="363" spans="2:2">
      <c r="B363" s="2"/>
    </row>
    <row r="364" spans="2:2">
      <c r="B364" s="2"/>
    </row>
    <row r="365" spans="2:2">
      <c r="B365" s="2"/>
    </row>
    <row r="366" spans="2:2">
      <c r="B366" s="2"/>
    </row>
    <row r="367" spans="2:2">
      <c r="B367" s="2"/>
    </row>
    <row r="368" spans="2:2">
      <c r="B368" s="2"/>
    </row>
    <row r="369" spans="2:2">
      <c r="B369" s="2"/>
    </row>
    <row r="370" spans="2:2">
      <c r="B370" s="2"/>
    </row>
    <row r="371" spans="2:2">
      <c r="B371" s="2"/>
    </row>
    <row r="372" spans="2:2">
      <c r="B372" s="2"/>
    </row>
    <row r="373" spans="2:2">
      <c r="B373" s="2"/>
    </row>
    <row r="374" spans="2:2">
      <c r="B374" s="2"/>
    </row>
    <row r="375" spans="2:2">
      <c r="B375" s="2"/>
    </row>
    <row r="376" spans="2:2">
      <c r="B376" s="2"/>
    </row>
    <row r="377" spans="2:2">
      <c r="B377" s="2"/>
    </row>
    <row r="378" spans="2:2">
      <c r="B378" s="2"/>
    </row>
    <row r="379" spans="2:2">
      <c r="B379" s="2"/>
    </row>
    <row r="380" spans="2:2">
      <c r="B380" s="2"/>
    </row>
    <row r="381" spans="2:2">
      <c r="B381" s="2"/>
    </row>
    <row r="382" spans="2:2">
      <c r="B382" s="2"/>
    </row>
    <row r="383" spans="2:2">
      <c r="B383" s="2"/>
    </row>
    <row r="384" spans="2:2">
      <c r="B384" s="2"/>
    </row>
    <row r="385" spans="2:2">
      <c r="B385" s="2"/>
    </row>
    <row r="386" spans="2:2">
      <c r="B386" s="2"/>
    </row>
    <row r="387" spans="2:2">
      <c r="B387" s="2"/>
    </row>
    <row r="388" spans="2:2">
      <c r="B388" s="2"/>
    </row>
    <row r="389" spans="2:2">
      <c r="B389" s="2"/>
    </row>
    <row r="390" spans="2:2">
      <c r="B390" s="2"/>
    </row>
    <row r="391" spans="2:2">
      <c r="B391" s="2"/>
    </row>
    <row r="392" spans="2:2">
      <c r="B392" s="2"/>
    </row>
    <row r="393" spans="2:2">
      <c r="B393" s="2"/>
    </row>
    <row r="394" spans="2:2">
      <c r="B394" s="2"/>
    </row>
    <row r="395" spans="2:2">
      <c r="B395" s="2"/>
    </row>
    <row r="396" spans="2:2">
      <c r="B396" s="2"/>
    </row>
    <row r="397" spans="2:2">
      <c r="B397" s="2"/>
    </row>
    <row r="398" spans="2:2">
      <c r="B398" s="2"/>
    </row>
    <row r="399" spans="2:2">
      <c r="B399" s="2"/>
    </row>
    <row r="400" spans="2:2">
      <c r="B400" s="2"/>
    </row>
    <row r="401" spans="2:2">
      <c r="B401" s="2"/>
    </row>
    <row r="402" spans="2:2">
      <c r="B402" s="2"/>
    </row>
    <row r="403" spans="2:2">
      <c r="B403" s="2"/>
    </row>
    <row r="404" spans="2:2">
      <c r="B404" s="2"/>
    </row>
    <row r="405" spans="2:2">
      <c r="B405" s="2"/>
    </row>
    <row r="406" spans="2:2">
      <c r="B406" s="2"/>
    </row>
    <row r="407" spans="2:2">
      <c r="B407" s="2"/>
    </row>
    <row r="408" spans="2:2">
      <c r="B408" s="2"/>
    </row>
    <row r="409" spans="2:2">
      <c r="B409" s="2"/>
    </row>
    <row r="410" spans="2:2">
      <c r="B410" s="2"/>
    </row>
    <row r="411" spans="2:2">
      <c r="B411" s="2"/>
    </row>
    <row r="412" spans="2:2">
      <c r="B412" s="2"/>
    </row>
    <row r="413" spans="2:2">
      <c r="B413" s="2"/>
    </row>
    <row r="414" spans="2:2">
      <c r="B414" s="2"/>
    </row>
    <row r="415" spans="2:2">
      <c r="B415" s="2"/>
    </row>
    <row r="416" spans="2:2">
      <c r="B416" s="2"/>
    </row>
    <row r="417" spans="2:2">
      <c r="B417" s="2"/>
    </row>
    <row r="418" spans="2:2">
      <c r="B418" s="2"/>
    </row>
    <row r="419" spans="2:2">
      <c r="B419" s="2"/>
    </row>
    <row r="420" spans="2:2">
      <c r="B420" s="2"/>
    </row>
    <row r="421" spans="2:2">
      <c r="B421" s="2"/>
    </row>
    <row r="422" spans="2:2">
      <c r="B422" s="2"/>
    </row>
    <row r="423" spans="2:2">
      <c r="B423" s="2"/>
    </row>
    <row r="424" spans="2:2">
      <c r="B424" s="2"/>
    </row>
    <row r="425" spans="2:2">
      <c r="B425" s="2"/>
    </row>
    <row r="426" spans="2:2">
      <c r="B426" s="2"/>
    </row>
    <row r="427" spans="2:2">
      <c r="B427" s="2"/>
    </row>
    <row r="428" spans="2:2">
      <c r="B428" s="2"/>
    </row>
    <row r="429" spans="2:2">
      <c r="B429" s="2"/>
    </row>
    <row r="430" spans="2:2">
      <c r="B430" s="2"/>
    </row>
    <row r="431" spans="2:2">
      <c r="B431" s="2"/>
    </row>
    <row r="432" spans="2:2">
      <c r="B432" s="2"/>
    </row>
    <row r="433" spans="2:2">
      <c r="B433" s="2"/>
    </row>
    <row r="434" spans="2:2">
      <c r="B434" s="2"/>
    </row>
    <row r="435" spans="2:2">
      <c r="B435" s="2"/>
    </row>
    <row r="436" spans="2:2">
      <c r="B436" s="2"/>
    </row>
    <row r="437" spans="2:2">
      <c r="B437" s="2"/>
    </row>
    <row r="438" spans="2:2">
      <c r="B438" s="2"/>
    </row>
    <row r="439" spans="2:2">
      <c r="B439" s="2"/>
    </row>
    <row r="440" spans="2:2">
      <c r="B440" s="2"/>
    </row>
    <row r="441" spans="2:2">
      <c r="B441" s="2"/>
    </row>
    <row r="442" spans="2:2">
      <c r="B442" s="2"/>
    </row>
    <row r="443" spans="2:2">
      <c r="B443" s="2"/>
    </row>
    <row r="444" spans="2:2">
      <c r="B444" s="2"/>
    </row>
    <row r="445" spans="2:2">
      <c r="B445" s="2"/>
    </row>
    <row r="446" spans="2:2">
      <c r="B446" s="2"/>
    </row>
    <row r="447" spans="2:2">
      <c r="B447" s="2"/>
    </row>
    <row r="448" spans="2:2">
      <c r="B448" s="2"/>
    </row>
    <row r="449" spans="2:2">
      <c r="B449" s="2"/>
    </row>
    <row r="450" spans="2:2">
      <c r="B450" s="2"/>
    </row>
    <row r="451" spans="2:2">
      <c r="B451" s="2"/>
    </row>
    <row r="452" spans="2:2">
      <c r="B452" s="2"/>
    </row>
    <row r="453" spans="2:2">
      <c r="B453" s="2"/>
    </row>
    <row r="454" spans="2:2">
      <c r="B454" s="2"/>
    </row>
    <row r="455" spans="2:2">
      <c r="B455" s="2"/>
    </row>
    <row r="456" spans="2:2">
      <c r="B456" s="2"/>
    </row>
    <row r="457" spans="2:2">
      <c r="B457" s="2"/>
    </row>
    <row r="458" spans="2:2">
      <c r="B458" s="2"/>
    </row>
    <row r="459" spans="2:2">
      <c r="B459" s="2"/>
    </row>
    <row r="460" spans="2:2">
      <c r="B460" s="2"/>
    </row>
    <row r="461" spans="2:2">
      <c r="B461" s="2"/>
    </row>
    <row r="462" spans="2:2">
      <c r="B462" s="2"/>
    </row>
    <row r="463" spans="2:2">
      <c r="B463" s="2"/>
    </row>
    <row r="464" spans="2:2">
      <c r="B464" s="2"/>
    </row>
    <row r="465" spans="2:2">
      <c r="B465" s="2"/>
    </row>
    <row r="466" spans="2:2">
      <c r="B466" s="2"/>
    </row>
    <row r="467" spans="2:2">
      <c r="B467" s="2"/>
    </row>
    <row r="468" spans="2:2">
      <c r="B468" s="2"/>
    </row>
  </sheetData>
  <mergeCells count="4">
    <mergeCell ref="B5:H5"/>
    <mergeCell ref="B6:H6"/>
    <mergeCell ref="B7:H7"/>
    <mergeCell ref="B8:H8"/>
  </mergeCells>
  <phoneticPr fontId="0"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64514" r:id="rId3" name="Button 2">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64515" r:id="rId4" name="Button 3">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64516" r:id="rId5" name="Button 4">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64517" r:id="rId6" name="Button 5">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9" enableFormatConditionsCalculation="0"/>
  <dimension ref="A1:M499"/>
  <sheetViews>
    <sheetView workbookViewId="0"/>
  </sheetViews>
  <sheetFormatPr baseColWidth="10" defaultColWidth="8.83203125" defaultRowHeight="12" x14ac:dyDescent="0"/>
  <cols>
    <col min="2" max="2" width="13.33203125" customWidth="1"/>
    <col min="3" max="3" width="10.5" customWidth="1"/>
    <col min="4" max="4" width="12.6640625" customWidth="1"/>
    <col min="5" max="6" width="11.83203125" customWidth="1"/>
    <col min="7" max="7" width="13.33203125" customWidth="1"/>
  </cols>
  <sheetData>
    <row r="1" spans="1:13">
      <c r="A1" s="21"/>
      <c r="B1" s="21"/>
      <c r="C1" s="21" t="s">
        <v>846</v>
      </c>
      <c r="D1" s="21"/>
      <c r="E1" s="21"/>
      <c r="F1" s="21"/>
      <c r="G1" s="21"/>
    </row>
    <row r="2" spans="1:13" ht="21" customHeight="1">
      <c r="A2" s="21"/>
      <c r="B2" s="21"/>
      <c r="C2" s="21"/>
      <c r="D2" s="374"/>
      <c r="E2" s="374"/>
      <c r="F2" s="374"/>
      <c r="G2" s="21"/>
      <c r="H2" s="372"/>
      <c r="I2" s="372"/>
      <c r="J2" s="372"/>
      <c r="K2" s="372"/>
      <c r="L2" s="372"/>
      <c r="M2" s="372"/>
    </row>
    <row r="3" spans="1:13">
      <c r="A3" s="19" t="s">
        <v>1045</v>
      </c>
      <c r="B3" s="20" t="s">
        <v>128</v>
      </c>
      <c r="C3" s="21"/>
      <c r="D3" s="21"/>
      <c r="E3" s="21"/>
      <c r="F3" s="21"/>
      <c r="G3" s="20"/>
    </row>
    <row r="4" spans="1:13">
      <c r="A4" s="19" t="s">
        <v>774</v>
      </c>
      <c r="B4" s="20" t="s">
        <v>129</v>
      </c>
      <c r="C4" s="21"/>
      <c r="D4" s="21"/>
      <c r="E4" s="21"/>
      <c r="F4" s="21"/>
      <c r="G4" s="20"/>
    </row>
    <row r="5" spans="1:13" ht="93" customHeight="1">
      <c r="A5" s="118" t="s">
        <v>779</v>
      </c>
      <c r="B5" s="446" t="s">
        <v>847</v>
      </c>
      <c r="C5" s="446"/>
      <c r="D5" s="446"/>
      <c r="E5" s="446"/>
      <c r="F5" s="446"/>
      <c r="G5" s="21"/>
    </row>
    <row r="6" spans="1:13" ht="14.25" customHeight="1">
      <c r="A6" s="19"/>
      <c r="B6" s="21"/>
      <c r="C6" s="21"/>
      <c r="D6" s="21"/>
      <c r="E6" s="21"/>
      <c r="F6" s="21"/>
      <c r="G6" s="21"/>
    </row>
    <row r="7" spans="1:13" ht="51" customHeight="1">
      <c r="A7" s="22"/>
      <c r="B7" s="22" t="s">
        <v>1090</v>
      </c>
      <c r="C7" s="22" t="s">
        <v>1098</v>
      </c>
      <c r="D7" s="196" t="s">
        <v>208</v>
      </c>
      <c r="E7" s="198"/>
      <c r="F7" s="198"/>
      <c r="G7" s="22"/>
    </row>
    <row r="8" spans="1:13">
      <c r="A8" s="103">
        <v>1</v>
      </c>
      <c r="B8" s="109">
        <v>35664</v>
      </c>
      <c r="C8" s="112">
        <v>25</v>
      </c>
      <c r="D8" s="28"/>
      <c r="E8" s="28"/>
      <c r="F8" s="28"/>
      <c r="G8" s="109"/>
    </row>
    <row r="9" spans="1:13">
      <c r="A9" s="103">
        <v>2</v>
      </c>
      <c r="B9" s="109">
        <v>35667</v>
      </c>
      <c r="C9" s="112">
        <v>24.875</v>
      </c>
      <c r="D9" s="28"/>
      <c r="E9" s="28"/>
      <c r="F9" s="28"/>
      <c r="G9" s="109"/>
    </row>
    <row r="10" spans="1:13">
      <c r="A10" s="104">
        <v>3</v>
      </c>
      <c r="B10" s="110">
        <v>35668</v>
      </c>
      <c r="C10" s="111">
        <v>24.781300000000002</v>
      </c>
      <c r="D10" s="29"/>
      <c r="E10" s="29"/>
      <c r="F10" s="29"/>
      <c r="G10" s="110"/>
    </row>
    <row r="11" spans="1:13">
      <c r="A11" s="104">
        <v>4</v>
      </c>
      <c r="B11" s="110">
        <v>35669</v>
      </c>
      <c r="C11" s="111">
        <v>24.593800000000002</v>
      </c>
      <c r="D11" s="29"/>
      <c r="E11" s="29"/>
      <c r="F11" s="29"/>
      <c r="G11" s="110"/>
    </row>
    <row r="12" spans="1:13">
      <c r="A12" s="103">
        <v>5</v>
      </c>
      <c r="B12" s="109">
        <v>35670</v>
      </c>
      <c r="C12" s="112">
        <v>24.5</v>
      </c>
      <c r="D12" s="52">
        <f>((1*C8)+(2*C9)+(3*C10)+(4*C11)+(5*C12))/15</f>
        <v>24.664606666666668</v>
      </c>
      <c r="E12" s="52"/>
      <c r="F12" s="52"/>
      <c r="G12" s="109"/>
    </row>
    <row r="13" spans="1:13">
      <c r="A13" s="103">
        <v>6</v>
      </c>
      <c r="B13" s="109">
        <v>35671</v>
      </c>
      <c r="C13" s="112">
        <v>24.625</v>
      </c>
      <c r="D13" s="52">
        <f t="shared" ref="D13:D63" si="0">((1*C9)+(2*C10)+(3*C11)+(4*C12)+(5*C13))/15</f>
        <v>24.622933333333332</v>
      </c>
      <c r="E13" s="52"/>
      <c r="F13" s="52"/>
      <c r="G13" s="109"/>
    </row>
    <row r="14" spans="1:13">
      <c r="A14" s="104">
        <v>7</v>
      </c>
      <c r="B14" s="110">
        <v>35675</v>
      </c>
      <c r="C14" s="111">
        <v>25.218800000000002</v>
      </c>
      <c r="D14" s="55">
        <f t="shared" si="0"/>
        <v>24.804193333333334</v>
      </c>
      <c r="E14" s="55"/>
      <c r="F14" s="55"/>
      <c r="G14" s="110"/>
    </row>
    <row r="15" spans="1:13">
      <c r="A15" s="104">
        <v>8</v>
      </c>
      <c r="B15" s="110">
        <v>35676</v>
      </c>
      <c r="C15" s="111">
        <v>27.25</v>
      </c>
      <c r="D15" s="55">
        <f t="shared" si="0"/>
        <v>25.639599999999998</v>
      </c>
      <c r="E15" s="55"/>
      <c r="F15" s="55"/>
      <c r="G15" s="110"/>
    </row>
    <row r="16" spans="1:13">
      <c r="A16" s="103">
        <v>9</v>
      </c>
      <c r="B16" s="109">
        <v>35677</v>
      </c>
      <c r="C16" s="112">
        <v>26.25</v>
      </c>
      <c r="D16" s="52">
        <f t="shared" si="0"/>
        <v>25.977093333333336</v>
      </c>
      <c r="E16" s="52"/>
      <c r="F16" s="52"/>
      <c r="G16" s="109"/>
    </row>
    <row r="17" spans="1:7">
      <c r="A17" s="103">
        <v>10</v>
      </c>
      <c r="B17" s="109">
        <v>35678</v>
      </c>
      <c r="C17" s="112">
        <v>26.593800000000002</v>
      </c>
      <c r="D17" s="52">
        <f t="shared" si="0"/>
        <v>26.318773333333333</v>
      </c>
      <c r="E17" s="52"/>
      <c r="F17" s="52"/>
      <c r="G17" s="109"/>
    </row>
    <row r="18" spans="1:7">
      <c r="A18" s="104">
        <v>11</v>
      </c>
      <c r="B18" s="110">
        <v>35681</v>
      </c>
      <c r="C18" s="111">
        <v>27.593800000000002</v>
      </c>
      <c r="D18" s="55">
        <f t="shared" si="0"/>
        <v>26.854199999999999</v>
      </c>
      <c r="E18" s="55"/>
      <c r="F18" s="55"/>
      <c r="G18" s="110"/>
    </row>
    <row r="19" spans="1:7">
      <c r="A19" s="104">
        <v>12</v>
      </c>
      <c r="B19" s="110">
        <v>35682</v>
      </c>
      <c r="C19" s="111">
        <v>27.875</v>
      </c>
      <c r="D19" s="55">
        <f t="shared" si="0"/>
        <v>27.285440000000001</v>
      </c>
      <c r="E19" s="55"/>
      <c r="F19" s="55"/>
      <c r="G19" s="110"/>
    </row>
    <row r="20" spans="1:7">
      <c r="A20" s="103">
        <v>13</v>
      </c>
      <c r="B20" s="109">
        <v>35683</v>
      </c>
      <c r="C20" s="112">
        <v>27.531300000000002</v>
      </c>
      <c r="D20" s="52">
        <f t="shared" si="0"/>
        <v>27.425033333333332</v>
      </c>
      <c r="E20" s="52"/>
      <c r="F20" s="52"/>
      <c r="G20" s="109"/>
    </row>
    <row r="21" spans="1:7">
      <c r="A21" s="103">
        <v>14</v>
      </c>
      <c r="B21" s="109">
        <v>35684</v>
      </c>
      <c r="C21" s="112">
        <v>27.218800000000002</v>
      </c>
      <c r="D21" s="52">
        <f t="shared" si="0"/>
        <v>27.441706666666668</v>
      </c>
      <c r="E21" s="52"/>
      <c r="F21" s="52"/>
      <c r="G21" s="109"/>
    </row>
    <row r="22" spans="1:7">
      <c r="A22" s="104">
        <v>15</v>
      </c>
      <c r="B22" s="110">
        <v>35685</v>
      </c>
      <c r="C22" s="111">
        <v>26.968800000000002</v>
      </c>
      <c r="D22" s="55">
        <f t="shared" si="0"/>
        <v>27.310459999999999</v>
      </c>
      <c r="E22" s="55"/>
      <c r="F22" s="55"/>
      <c r="G22" s="110"/>
    </row>
    <row r="23" spans="1:7">
      <c r="A23" s="104">
        <v>16</v>
      </c>
      <c r="B23" s="110">
        <v>35688</v>
      </c>
      <c r="C23" s="111">
        <v>26.75</v>
      </c>
      <c r="D23" s="55">
        <f t="shared" si="0"/>
        <v>27.08128</v>
      </c>
      <c r="E23" s="55"/>
      <c r="F23" s="55"/>
      <c r="G23" s="110"/>
    </row>
    <row r="24" spans="1:7">
      <c r="A24" s="103">
        <v>17</v>
      </c>
      <c r="B24" s="109">
        <v>35689</v>
      </c>
      <c r="C24" s="112">
        <v>27.468800000000002</v>
      </c>
      <c r="D24" s="52">
        <f t="shared" si="0"/>
        <v>27.147953333333337</v>
      </c>
      <c r="E24" s="52"/>
      <c r="F24" s="52"/>
      <c r="G24" s="109"/>
    </row>
    <row r="25" spans="1:7">
      <c r="A25" s="103">
        <v>18</v>
      </c>
      <c r="B25" s="109">
        <v>35690</v>
      </c>
      <c r="C25" s="112">
        <v>27.3125</v>
      </c>
      <c r="D25" s="52">
        <f t="shared" si="0"/>
        <v>27.18960666666667</v>
      </c>
      <c r="E25" s="52"/>
      <c r="F25" s="52"/>
      <c r="G25" s="109"/>
    </row>
    <row r="26" spans="1:7">
      <c r="A26" s="104">
        <v>19</v>
      </c>
      <c r="B26" s="110">
        <v>35691</v>
      </c>
      <c r="C26" s="111">
        <v>27.5</v>
      </c>
      <c r="D26" s="55">
        <f t="shared" si="0"/>
        <v>27.308346666666669</v>
      </c>
      <c r="E26" s="55"/>
      <c r="F26" s="55"/>
      <c r="G26" s="110"/>
    </row>
    <row r="27" spans="1:7">
      <c r="A27" s="104">
        <v>20</v>
      </c>
      <c r="B27" s="110">
        <v>35692</v>
      </c>
      <c r="C27" s="111">
        <v>27.5</v>
      </c>
      <c r="D27" s="55">
        <f t="shared" si="0"/>
        <v>27.408339999999999</v>
      </c>
      <c r="E27" s="55"/>
      <c r="F27" s="55"/>
      <c r="G27" s="110"/>
    </row>
    <row r="28" spans="1:7">
      <c r="A28" s="103">
        <v>21</v>
      </c>
      <c r="B28" s="109">
        <v>35695</v>
      </c>
      <c r="C28" s="112">
        <v>26.75</v>
      </c>
      <c r="D28" s="52">
        <f t="shared" si="0"/>
        <v>27.222919999999998</v>
      </c>
      <c r="E28" s="52"/>
      <c r="F28" s="52"/>
      <c r="G28" s="109"/>
    </row>
    <row r="29" spans="1:7">
      <c r="A29" s="103">
        <v>22</v>
      </c>
      <c r="B29" s="109">
        <v>35696</v>
      </c>
      <c r="C29" s="112">
        <v>27.0625</v>
      </c>
      <c r="D29" s="52">
        <f t="shared" si="0"/>
        <v>27.141666666666666</v>
      </c>
      <c r="E29" s="52"/>
      <c r="F29" s="52"/>
      <c r="G29" s="109"/>
    </row>
    <row r="30" spans="1:7">
      <c r="A30" s="104">
        <v>23</v>
      </c>
      <c r="B30" s="110">
        <v>35697</v>
      </c>
      <c r="C30" s="111">
        <v>28.656300000000002</v>
      </c>
      <c r="D30" s="55">
        <f t="shared" si="0"/>
        <v>27.618766666666666</v>
      </c>
      <c r="E30" s="55"/>
      <c r="F30" s="55"/>
      <c r="G30" s="110"/>
    </row>
    <row r="31" spans="1:7">
      <c r="A31" s="104">
        <v>24</v>
      </c>
      <c r="B31" s="110">
        <v>35698</v>
      </c>
      <c r="C31" s="111">
        <v>28.093800000000002</v>
      </c>
      <c r="D31" s="55">
        <f t="shared" si="0"/>
        <v>27.81878</v>
      </c>
      <c r="E31" s="55"/>
      <c r="F31" s="55"/>
      <c r="G31" s="110"/>
    </row>
    <row r="32" spans="1:7">
      <c r="A32" s="103">
        <v>25</v>
      </c>
      <c r="B32" s="109">
        <v>35699</v>
      </c>
      <c r="C32" s="112">
        <v>28.8125</v>
      </c>
      <c r="D32" s="52">
        <f t="shared" si="0"/>
        <v>28.218773333333335</v>
      </c>
      <c r="E32" s="52"/>
      <c r="F32" s="52"/>
      <c r="G32" s="109"/>
    </row>
    <row r="33" spans="1:7">
      <c r="A33" s="103">
        <v>26</v>
      </c>
      <c r="B33" s="109">
        <v>35702</v>
      </c>
      <c r="C33" s="112">
        <v>29.781300000000002</v>
      </c>
      <c r="D33" s="52">
        <f t="shared" si="0"/>
        <v>28.854199999999999</v>
      </c>
      <c r="E33" s="52"/>
      <c r="F33" s="52"/>
      <c r="G33" s="109"/>
    </row>
    <row r="34" spans="1:7">
      <c r="A34" s="104">
        <v>27</v>
      </c>
      <c r="B34" s="110">
        <v>35703</v>
      </c>
      <c r="C34" s="111">
        <v>30.281300000000002</v>
      </c>
      <c r="D34" s="55">
        <f t="shared" si="0"/>
        <v>29.454206666666668</v>
      </c>
      <c r="E34" s="55"/>
      <c r="F34" s="55"/>
      <c r="G34" s="110"/>
    </row>
    <row r="35" spans="1:7">
      <c r="A35" s="104">
        <v>28</v>
      </c>
      <c r="B35" s="110">
        <v>35704</v>
      </c>
      <c r="C35" s="111">
        <v>31.281300000000002</v>
      </c>
      <c r="D35" s="55">
        <f t="shared" si="0"/>
        <v>30.17296</v>
      </c>
      <c r="E35" s="55"/>
      <c r="F35" s="55"/>
      <c r="G35" s="110"/>
    </row>
    <row r="36" spans="1:7">
      <c r="A36" s="103">
        <v>29</v>
      </c>
      <c r="B36" s="109">
        <v>35705</v>
      </c>
      <c r="C36" s="112">
        <v>31.593800000000002</v>
      </c>
      <c r="D36" s="52">
        <f t="shared" si="0"/>
        <v>30.820879999999999</v>
      </c>
      <c r="E36" s="52"/>
      <c r="F36" s="52"/>
      <c r="G36" s="109"/>
    </row>
    <row r="37" spans="1:7">
      <c r="A37" s="103">
        <v>30</v>
      </c>
      <c r="B37" s="109">
        <v>35706</v>
      </c>
      <c r="C37" s="112">
        <v>31.875</v>
      </c>
      <c r="D37" s="52">
        <f t="shared" si="0"/>
        <v>31.3292</v>
      </c>
      <c r="E37" s="52"/>
      <c r="F37" s="52"/>
      <c r="G37" s="109"/>
    </row>
    <row r="38" spans="1:7">
      <c r="A38" s="104">
        <v>31</v>
      </c>
      <c r="B38" s="110">
        <v>35709</v>
      </c>
      <c r="C38" s="111">
        <v>32.593800000000002</v>
      </c>
      <c r="D38" s="55">
        <f t="shared" si="0"/>
        <v>31.872953333333335</v>
      </c>
      <c r="E38" s="55"/>
      <c r="F38" s="55"/>
      <c r="G38" s="110"/>
    </row>
    <row r="39" spans="1:7">
      <c r="A39" s="104">
        <v>32</v>
      </c>
      <c r="B39" s="110">
        <v>35710</v>
      </c>
      <c r="C39" s="111">
        <v>33.5</v>
      </c>
      <c r="D39" s="55">
        <f t="shared" si="0"/>
        <v>32.531273333333338</v>
      </c>
      <c r="E39" s="55"/>
      <c r="F39" s="55"/>
      <c r="G39" s="110"/>
    </row>
    <row r="40" spans="1:7">
      <c r="A40" s="103">
        <v>33</v>
      </c>
      <c r="B40" s="109">
        <v>35711</v>
      </c>
      <c r="C40" s="112">
        <v>33.75</v>
      </c>
      <c r="D40" s="52">
        <f t="shared" si="0"/>
        <v>33.058346666666665</v>
      </c>
      <c r="E40" s="52"/>
      <c r="F40" s="52"/>
      <c r="G40" s="109"/>
    </row>
    <row r="41" spans="1:7">
      <c r="A41" s="103">
        <v>34</v>
      </c>
      <c r="B41" s="109">
        <v>35712</v>
      </c>
      <c r="C41" s="112">
        <v>33.218800000000002</v>
      </c>
      <c r="D41" s="52">
        <f t="shared" si="0"/>
        <v>33.24377333333333</v>
      </c>
      <c r="E41" s="52"/>
      <c r="F41" s="52"/>
      <c r="G41" s="109"/>
    </row>
    <row r="42" spans="1:7">
      <c r="A42" s="104">
        <v>35</v>
      </c>
      <c r="B42" s="110">
        <v>35713</v>
      </c>
      <c r="C42" s="111">
        <v>32.9375</v>
      </c>
      <c r="D42" s="55">
        <f t="shared" si="0"/>
        <v>33.2271</v>
      </c>
      <c r="E42" s="55"/>
      <c r="F42" s="55"/>
      <c r="G42" s="110"/>
    </row>
    <row r="43" spans="1:7">
      <c r="A43" s="104">
        <v>36</v>
      </c>
      <c r="B43" s="110">
        <v>35716</v>
      </c>
      <c r="C43" s="111">
        <v>33.4375</v>
      </c>
      <c r="D43" s="55">
        <f t="shared" si="0"/>
        <v>33.306260000000002</v>
      </c>
      <c r="E43" s="55"/>
      <c r="F43" s="55"/>
      <c r="G43" s="110"/>
    </row>
    <row r="44" spans="1:7">
      <c r="A44" s="103">
        <v>37</v>
      </c>
      <c r="B44" s="109">
        <v>35717</v>
      </c>
      <c r="C44" s="112">
        <v>33.906300000000002</v>
      </c>
      <c r="D44" s="52">
        <f t="shared" si="0"/>
        <v>33.485439999999997</v>
      </c>
      <c r="E44" s="52"/>
      <c r="F44" s="52"/>
      <c r="G44" s="109"/>
    </row>
    <row r="45" spans="1:7">
      <c r="A45" s="103">
        <v>38</v>
      </c>
      <c r="B45" s="109">
        <v>35718</v>
      </c>
      <c r="C45" s="112">
        <v>33.968800000000002</v>
      </c>
      <c r="D45" s="52">
        <f t="shared" si="0"/>
        <v>33.658366666666666</v>
      </c>
      <c r="E45" s="52"/>
      <c r="F45" s="52"/>
      <c r="G45" s="109"/>
    </row>
    <row r="46" spans="1:7">
      <c r="A46" s="104">
        <v>39</v>
      </c>
      <c r="B46" s="110">
        <v>35719</v>
      </c>
      <c r="C46" s="111">
        <v>33.3125</v>
      </c>
      <c r="D46" s="55">
        <f t="shared" si="0"/>
        <v>33.597940000000001</v>
      </c>
      <c r="E46" s="55"/>
      <c r="F46" s="55"/>
      <c r="G46" s="110"/>
    </row>
    <row r="47" spans="1:7">
      <c r="A47" s="104">
        <v>40</v>
      </c>
      <c r="B47" s="110">
        <v>35720</v>
      </c>
      <c r="C47" s="111">
        <v>31.6875</v>
      </c>
      <c r="D47" s="55">
        <f t="shared" si="0"/>
        <v>32.989600000000003</v>
      </c>
      <c r="E47" s="55"/>
      <c r="F47" s="55"/>
      <c r="G47" s="110"/>
    </row>
    <row r="48" spans="1:7">
      <c r="A48" s="103">
        <v>41</v>
      </c>
      <c r="B48" s="109">
        <v>35723</v>
      </c>
      <c r="C48" s="112">
        <v>31.75</v>
      </c>
      <c r="D48" s="52">
        <f t="shared" si="0"/>
        <v>32.485426666666669</v>
      </c>
      <c r="E48" s="52"/>
      <c r="F48" s="52"/>
      <c r="G48" s="109"/>
    </row>
    <row r="49" spans="1:7">
      <c r="A49" s="103">
        <v>42</v>
      </c>
      <c r="B49" s="109">
        <v>35724</v>
      </c>
      <c r="C49" s="112">
        <v>33.25</v>
      </c>
      <c r="D49" s="52">
        <f t="shared" si="0"/>
        <v>32.593753333333332</v>
      </c>
      <c r="E49" s="52"/>
      <c r="F49" s="52"/>
      <c r="G49" s="109"/>
    </row>
    <row r="50" spans="1:7">
      <c r="A50" s="104">
        <v>43</v>
      </c>
      <c r="B50" s="110">
        <v>35725</v>
      </c>
      <c r="C50" s="111">
        <v>32.906300000000002</v>
      </c>
      <c r="D50" s="55">
        <f t="shared" si="0"/>
        <v>32.631266666666669</v>
      </c>
      <c r="E50" s="55"/>
      <c r="F50" s="55"/>
      <c r="G50" s="110"/>
    </row>
    <row r="51" spans="1:7">
      <c r="A51" s="104">
        <v>44</v>
      </c>
      <c r="B51" s="110">
        <v>35726</v>
      </c>
      <c r="C51" s="111">
        <v>31.6875</v>
      </c>
      <c r="D51" s="55">
        <f t="shared" si="0"/>
        <v>32.333346666666664</v>
      </c>
      <c r="E51" s="55"/>
      <c r="F51" s="55"/>
      <c r="G51" s="110"/>
    </row>
    <row r="52" spans="1:7">
      <c r="A52" s="103">
        <v>45</v>
      </c>
      <c r="B52" s="109">
        <v>35727</v>
      </c>
      <c r="C52" s="112">
        <v>31.406300000000002</v>
      </c>
      <c r="D52" s="52">
        <f t="shared" si="0"/>
        <v>32.050026666666668</v>
      </c>
      <c r="E52" s="52"/>
      <c r="F52" s="52"/>
      <c r="G52" s="109"/>
    </row>
    <row r="53" spans="1:7">
      <c r="A53" s="103">
        <v>46</v>
      </c>
      <c r="B53" s="109">
        <v>35730</v>
      </c>
      <c r="C53" s="112">
        <v>27.968800000000002</v>
      </c>
      <c r="D53" s="52">
        <f t="shared" si="0"/>
        <v>30.639620000000001</v>
      </c>
      <c r="E53" s="52"/>
      <c r="F53" s="52"/>
      <c r="G53" s="109"/>
    </row>
    <row r="54" spans="1:7">
      <c r="A54" s="104">
        <v>47</v>
      </c>
      <c r="B54" s="110">
        <v>35731</v>
      </c>
      <c r="C54" s="111">
        <v>29.531300000000002</v>
      </c>
      <c r="D54" s="55">
        <f t="shared" si="0"/>
        <v>30.002126666666665</v>
      </c>
      <c r="E54" s="55"/>
      <c r="F54" s="55"/>
      <c r="G54" s="110"/>
    </row>
    <row r="55" spans="1:7">
      <c r="A55" s="104">
        <v>48</v>
      </c>
      <c r="B55" s="110">
        <v>35732</v>
      </c>
      <c r="C55" s="111">
        <v>30.5</v>
      </c>
      <c r="D55" s="55">
        <f t="shared" si="0"/>
        <v>29.935446666666667</v>
      </c>
      <c r="E55" s="55"/>
      <c r="F55" s="55"/>
      <c r="G55" s="110"/>
    </row>
    <row r="56" spans="1:7">
      <c r="A56" s="103">
        <v>49</v>
      </c>
      <c r="B56" s="109">
        <v>35733</v>
      </c>
      <c r="C56" s="112">
        <v>31.5</v>
      </c>
      <c r="D56" s="52">
        <f t="shared" si="0"/>
        <v>30.362520000000004</v>
      </c>
      <c r="E56" s="52"/>
      <c r="F56" s="52"/>
      <c r="G56" s="109"/>
    </row>
    <row r="57" spans="1:7">
      <c r="A57" s="103">
        <v>50</v>
      </c>
      <c r="B57" s="109">
        <v>35734</v>
      </c>
      <c r="C57" s="112">
        <v>31.6875</v>
      </c>
      <c r="D57" s="52">
        <f t="shared" si="0"/>
        <v>30.864593333333335</v>
      </c>
      <c r="E57" s="52"/>
      <c r="F57" s="52"/>
      <c r="G57" s="109"/>
    </row>
    <row r="58" spans="1:7">
      <c r="A58" s="104">
        <v>51</v>
      </c>
      <c r="B58" s="110">
        <v>35737</v>
      </c>
      <c r="C58" s="111">
        <v>32.375</v>
      </c>
      <c r="D58" s="55">
        <f t="shared" si="0"/>
        <v>31.577086666666666</v>
      </c>
      <c r="E58" s="55"/>
      <c r="F58" s="55"/>
      <c r="G58" s="110"/>
    </row>
    <row r="59" spans="1:7">
      <c r="A59" s="104">
        <v>52</v>
      </c>
      <c r="B59" s="110">
        <v>35738</v>
      </c>
      <c r="C59" s="111">
        <v>33.093800000000002</v>
      </c>
      <c r="D59" s="55">
        <f t="shared" si="0"/>
        <v>32.235433333333333</v>
      </c>
      <c r="E59" s="55"/>
      <c r="F59" s="55"/>
      <c r="G59" s="110"/>
    </row>
    <row r="60" spans="1:7">
      <c r="A60" s="103">
        <v>53</v>
      </c>
      <c r="B60" s="109">
        <v>35739</v>
      </c>
      <c r="C60" s="112">
        <v>34.093800000000002</v>
      </c>
      <c r="D60" s="52">
        <f t="shared" si="0"/>
        <v>32.989613333333331</v>
      </c>
      <c r="E60" s="52"/>
      <c r="F60" s="52"/>
      <c r="G60" s="109"/>
    </row>
    <row r="61" spans="1:7">
      <c r="A61" s="103">
        <v>54</v>
      </c>
      <c r="B61" s="109">
        <v>35740</v>
      </c>
      <c r="C61" s="112">
        <v>33.468800000000002</v>
      </c>
      <c r="D61" s="52">
        <f t="shared" si="0"/>
        <v>33.295873333333333</v>
      </c>
      <c r="E61" s="52"/>
      <c r="F61" s="52"/>
      <c r="G61" s="109"/>
    </row>
    <row r="62" spans="1:7">
      <c r="A62" s="104">
        <v>55</v>
      </c>
      <c r="B62" s="110">
        <v>35741</v>
      </c>
      <c r="C62" s="111">
        <v>32.968800000000002</v>
      </c>
      <c r="D62" s="55">
        <f t="shared" si="0"/>
        <v>33.30421333333333</v>
      </c>
      <c r="E62" s="55"/>
      <c r="F62" s="55"/>
      <c r="G62" s="110"/>
    </row>
    <row r="63" spans="1:7">
      <c r="A63" s="104">
        <v>56</v>
      </c>
      <c r="B63" s="110">
        <v>35744</v>
      </c>
      <c r="C63" s="111">
        <v>32.6875</v>
      </c>
      <c r="D63" s="55">
        <f t="shared" si="0"/>
        <v>33.133366666666667</v>
      </c>
      <c r="E63" s="55"/>
      <c r="F63" s="55"/>
      <c r="G63" s="110"/>
    </row>
    <row r="64" spans="1:7">
      <c r="B64" s="2"/>
      <c r="C64" s="32"/>
      <c r="D64" s="4"/>
      <c r="E64" s="4"/>
      <c r="F64" s="4"/>
      <c r="G64" s="2"/>
    </row>
    <row r="65" spans="1:7">
      <c r="B65" s="2"/>
      <c r="D65" s="4"/>
      <c r="E65" s="4"/>
      <c r="F65" s="4"/>
      <c r="G65" s="2"/>
    </row>
    <row r="66" spans="1:7" ht="42" customHeight="1">
      <c r="A66" s="463" t="s">
        <v>848</v>
      </c>
      <c r="B66" s="463"/>
      <c r="C66" s="463"/>
      <c r="D66" s="463"/>
      <c r="E66" s="463"/>
      <c r="F66" s="463"/>
    </row>
    <row r="67" spans="1:7">
      <c r="B67" s="2"/>
      <c r="D67" s="4"/>
      <c r="E67" s="4"/>
      <c r="F67" s="4"/>
      <c r="G67" s="2"/>
    </row>
    <row r="68" spans="1:7">
      <c r="B68" s="2"/>
      <c r="D68" s="4"/>
      <c r="E68" s="4"/>
      <c r="F68" s="4"/>
      <c r="G68" s="2"/>
    </row>
    <row r="69" spans="1:7">
      <c r="B69" s="2"/>
      <c r="G69" s="2"/>
    </row>
    <row r="70" spans="1:7">
      <c r="B70" s="2"/>
      <c r="G70" s="2"/>
    </row>
    <row r="71" spans="1:7">
      <c r="B71" s="2"/>
      <c r="G71" s="2"/>
    </row>
    <row r="72" spans="1:7">
      <c r="B72" s="2"/>
      <c r="G72" s="2"/>
    </row>
    <row r="73" spans="1:7">
      <c r="B73" s="2"/>
      <c r="G73" s="2"/>
    </row>
    <row r="74" spans="1:7">
      <c r="B74" s="2"/>
      <c r="G74" s="2"/>
    </row>
    <row r="75" spans="1:7">
      <c r="B75" s="2"/>
      <c r="G75" s="2"/>
    </row>
    <row r="76" spans="1:7">
      <c r="B76" s="2"/>
      <c r="G76" s="2"/>
    </row>
    <row r="77" spans="1:7">
      <c r="B77" s="2"/>
      <c r="G77" s="2"/>
    </row>
    <row r="78" spans="1:7">
      <c r="B78" s="2"/>
      <c r="G78" s="2"/>
    </row>
    <row r="79" spans="1:7">
      <c r="B79" s="2"/>
      <c r="G79" s="2"/>
    </row>
    <row r="80" spans="1:7">
      <c r="B80" s="2"/>
      <c r="G80" s="2"/>
    </row>
    <row r="81" spans="2:7">
      <c r="B81" s="2"/>
      <c r="G81" s="2"/>
    </row>
    <row r="82" spans="2:7">
      <c r="B82" s="2"/>
      <c r="G82" s="2"/>
    </row>
    <row r="83" spans="2:7">
      <c r="B83" s="2"/>
      <c r="G83" s="2"/>
    </row>
    <row r="84" spans="2:7">
      <c r="B84" s="2"/>
      <c r="G84" s="2"/>
    </row>
    <row r="85" spans="2:7">
      <c r="B85" s="2"/>
      <c r="G85" s="2"/>
    </row>
    <row r="86" spans="2:7">
      <c r="B86" s="2"/>
      <c r="G86" s="2"/>
    </row>
    <row r="87" spans="2:7">
      <c r="B87" s="2"/>
      <c r="G87" s="2"/>
    </row>
    <row r="88" spans="2:7">
      <c r="B88" s="2"/>
      <c r="G88" s="2"/>
    </row>
    <row r="89" spans="2:7">
      <c r="B89" s="2"/>
      <c r="G89" s="2"/>
    </row>
    <row r="90" spans="2:7">
      <c r="B90" s="2"/>
      <c r="G90" s="2"/>
    </row>
    <row r="91" spans="2:7">
      <c r="B91" s="2"/>
      <c r="G91" s="2"/>
    </row>
    <row r="92" spans="2:7">
      <c r="B92" s="2"/>
      <c r="G92" s="2"/>
    </row>
    <row r="93" spans="2:7">
      <c r="B93" s="2"/>
      <c r="G93" s="2"/>
    </row>
    <row r="94" spans="2:7">
      <c r="B94" s="2"/>
      <c r="G94" s="2"/>
    </row>
    <row r="95" spans="2:7">
      <c r="B95" s="2"/>
      <c r="G95" s="2"/>
    </row>
    <row r="96" spans="2:7">
      <c r="B96" s="2"/>
      <c r="G96" s="2"/>
    </row>
    <row r="97" spans="2:7">
      <c r="B97" s="2"/>
      <c r="G97" s="2"/>
    </row>
    <row r="98" spans="2:7">
      <c r="B98" s="2"/>
      <c r="G98" s="2"/>
    </row>
    <row r="99" spans="2:7">
      <c r="B99" s="2"/>
      <c r="G99" s="2"/>
    </row>
    <row r="100" spans="2:7">
      <c r="B100" s="2"/>
      <c r="G100" s="2"/>
    </row>
    <row r="101" spans="2:7">
      <c r="B101" s="2"/>
      <c r="G101" s="2"/>
    </row>
    <row r="102" spans="2:7">
      <c r="B102" s="2"/>
      <c r="G102" s="2"/>
    </row>
    <row r="103" spans="2:7">
      <c r="B103" s="2"/>
      <c r="G103" s="2"/>
    </row>
    <row r="104" spans="2:7">
      <c r="B104" s="2"/>
      <c r="G104" s="2"/>
    </row>
    <row r="105" spans="2:7">
      <c r="B105" s="2"/>
      <c r="G105" s="2"/>
    </row>
    <row r="106" spans="2:7">
      <c r="B106" s="2"/>
      <c r="G106" s="2"/>
    </row>
    <row r="107" spans="2:7">
      <c r="B107" s="2"/>
      <c r="G107" s="2"/>
    </row>
    <row r="108" spans="2:7">
      <c r="B108" s="2"/>
      <c r="G108" s="2"/>
    </row>
    <row r="109" spans="2:7">
      <c r="B109" s="2"/>
      <c r="G109" s="2"/>
    </row>
    <row r="110" spans="2:7">
      <c r="B110" s="2"/>
      <c r="G110" s="2"/>
    </row>
    <row r="111" spans="2:7">
      <c r="B111" s="2"/>
      <c r="G111" s="2"/>
    </row>
    <row r="112" spans="2:7">
      <c r="B112" s="2"/>
      <c r="G112" s="2"/>
    </row>
    <row r="113" spans="2:7">
      <c r="B113" s="2"/>
      <c r="G113" s="2"/>
    </row>
    <row r="114" spans="2:7">
      <c r="B114" s="2"/>
      <c r="G114" s="2"/>
    </row>
    <row r="115" spans="2:7">
      <c r="B115" s="2"/>
      <c r="G115" s="2"/>
    </row>
    <row r="116" spans="2:7">
      <c r="B116" s="2"/>
      <c r="G116" s="2"/>
    </row>
    <row r="117" spans="2:7">
      <c r="B117" s="2"/>
      <c r="G117" s="2"/>
    </row>
    <row r="118" spans="2:7">
      <c r="B118" s="2"/>
      <c r="G118" s="2"/>
    </row>
    <row r="119" spans="2:7">
      <c r="B119" s="2"/>
      <c r="G119" s="2"/>
    </row>
    <row r="120" spans="2:7">
      <c r="B120" s="2"/>
      <c r="G120" s="2"/>
    </row>
    <row r="121" spans="2:7">
      <c r="B121" s="2"/>
      <c r="G121" s="2"/>
    </row>
    <row r="122" spans="2:7">
      <c r="B122" s="2"/>
      <c r="G122" s="2"/>
    </row>
    <row r="123" spans="2:7">
      <c r="B123" s="2"/>
      <c r="G123" s="2"/>
    </row>
    <row r="124" spans="2:7">
      <c r="B124" s="2"/>
      <c r="G124" s="2"/>
    </row>
    <row r="125" spans="2:7">
      <c r="B125" s="2"/>
      <c r="G125" s="2"/>
    </row>
    <row r="126" spans="2:7">
      <c r="B126" s="2"/>
      <c r="G126" s="2"/>
    </row>
    <row r="127" spans="2:7">
      <c r="B127" s="2"/>
      <c r="G127" s="2"/>
    </row>
    <row r="128" spans="2:7">
      <c r="B128" s="2"/>
      <c r="G128" s="2"/>
    </row>
    <row r="129" spans="2:7">
      <c r="B129" s="2"/>
      <c r="G129" s="2"/>
    </row>
    <row r="130" spans="2:7">
      <c r="B130" s="2"/>
      <c r="G130" s="2"/>
    </row>
    <row r="131" spans="2:7">
      <c r="B131" s="2"/>
      <c r="G131" s="2"/>
    </row>
    <row r="132" spans="2:7">
      <c r="B132" s="2"/>
      <c r="G132" s="2"/>
    </row>
    <row r="133" spans="2:7">
      <c r="B133" s="2"/>
      <c r="G133" s="2"/>
    </row>
    <row r="134" spans="2:7">
      <c r="B134" s="2"/>
      <c r="G134" s="2"/>
    </row>
    <row r="135" spans="2:7">
      <c r="B135" s="2"/>
      <c r="G135" s="2"/>
    </row>
    <row r="136" spans="2:7">
      <c r="B136" s="2"/>
      <c r="G136" s="2"/>
    </row>
    <row r="137" spans="2:7">
      <c r="B137" s="2"/>
      <c r="G137" s="2"/>
    </row>
    <row r="138" spans="2:7">
      <c r="B138" s="2"/>
      <c r="G138" s="2"/>
    </row>
    <row r="139" spans="2:7">
      <c r="B139" s="2"/>
      <c r="G139" s="2"/>
    </row>
    <row r="140" spans="2:7">
      <c r="B140" s="2"/>
      <c r="G140" s="2"/>
    </row>
    <row r="141" spans="2:7">
      <c r="B141" s="2"/>
      <c r="G141" s="2"/>
    </row>
    <row r="142" spans="2:7">
      <c r="B142" s="2"/>
      <c r="G142" s="2"/>
    </row>
    <row r="143" spans="2:7">
      <c r="B143" s="2"/>
      <c r="G143" s="2"/>
    </row>
    <row r="144" spans="2:7">
      <c r="B144" s="2"/>
      <c r="G144" s="2"/>
    </row>
    <row r="145" spans="2:7">
      <c r="B145" s="2"/>
      <c r="G145" s="2"/>
    </row>
    <row r="146" spans="2:7">
      <c r="B146" s="2"/>
      <c r="G146" s="2"/>
    </row>
    <row r="147" spans="2:7">
      <c r="B147" s="2"/>
      <c r="G147" s="2"/>
    </row>
    <row r="148" spans="2:7">
      <c r="B148" s="2"/>
      <c r="G148" s="2"/>
    </row>
    <row r="149" spans="2:7">
      <c r="B149" s="2"/>
      <c r="G149" s="2"/>
    </row>
    <row r="150" spans="2:7">
      <c r="B150" s="2"/>
      <c r="G150" s="2"/>
    </row>
    <row r="151" spans="2:7">
      <c r="B151" s="2"/>
      <c r="G151" s="2"/>
    </row>
    <row r="152" spans="2:7">
      <c r="B152" s="2"/>
      <c r="G152" s="2"/>
    </row>
    <row r="153" spans="2:7">
      <c r="B153" s="2"/>
      <c r="G153" s="2"/>
    </row>
    <row r="154" spans="2:7">
      <c r="B154" s="2"/>
      <c r="G154" s="2"/>
    </row>
    <row r="155" spans="2:7">
      <c r="B155" s="2"/>
      <c r="G155" s="2"/>
    </row>
    <row r="156" spans="2:7">
      <c r="B156" s="2"/>
      <c r="G156" s="2"/>
    </row>
    <row r="157" spans="2:7">
      <c r="B157" s="2"/>
      <c r="G157" s="2"/>
    </row>
    <row r="158" spans="2:7">
      <c r="B158" s="2"/>
      <c r="G158" s="2"/>
    </row>
    <row r="159" spans="2:7">
      <c r="B159" s="2"/>
      <c r="G159" s="2"/>
    </row>
    <row r="160" spans="2:7">
      <c r="B160" s="2"/>
      <c r="G160" s="2"/>
    </row>
    <row r="161" spans="2:7">
      <c r="B161" s="2"/>
      <c r="G161" s="2"/>
    </row>
    <row r="162" spans="2:7">
      <c r="B162" s="2"/>
      <c r="G162" s="2"/>
    </row>
    <row r="163" spans="2:7">
      <c r="B163" s="2"/>
      <c r="G163" s="2"/>
    </row>
    <row r="164" spans="2:7">
      <c r="B164" s="2"/>
      <c r="G164" s="2"/>
    </row>
    <row r="165" spans="2:7">
      <c r="B165" s="2"/>
      <c r="G165" s="2"/>
    </row>
    <row r="166" spans="2:7">
      <c r="B166" s="2"/>
      <c r="G166" s="2"/>
    </row>
    <row r="167" spans="2:7">
      <c r="B167" s="2"/>
      <c r="G167" s="2"/>
    </row>
    <row r="168" spans="2:7">
      <c r="B168" s="2"/>
      <c r="G168" s="2"/>
    </row>
    <row r="169" spans="2:7">
      <c r="B169" s="2"/>
      <c r="G169" s="2"/>
    </row>
    <row r="170" spans="2:7">
      <c r="B170" s="2"/>
      <c r="G170" s="2"/>
    </row>
    <row r="171" spans="2:7">
      <c r="B171" s="2"/>
      <c r="G171" s="2"/>
    </row>
    <row r="172" spans="2:7">
      <c r="B172" s="2"/>
      <c r="G172" s="2"/>
    </row>
    <row r="173" spans="2:7">
      <c r="B173" s="2"/>
      <c r="G173" s="2"/>
    </row>
    <row r="174" spans="2:7">
      <c r="B174" s="2"/>
      <c r="G174" s="2"/>
    </row>
    <row r="175" spans="2:7">
      <c r="B175" s="2"/>
      <c r="G175" s="2"/>
    </row>
    <row r="176" spans="2:7">
      <c r="B176" s="2"/>
      <c r="G176" s="2"/>
    </row>
    <row r="177" spans="2:7">
      <c r="B177" s="2"/>
      <c r="G177" s="2"/>
    </row>
    <row r="178" spans="2:7">
      <c r="B178" s="2"/>
      <c r="G178" s="2"/>
    </row>
    <row r="179" spans="2:7">
      <c r="B179" s="2"/>
      <c r="G179" s="2"/>
    </row>
    <row r="180" spans="2:7">
      <c r="B180" s="2"/>
      <c r="G180" s="2"/>
    </row>
    <row r="181" spans="2:7">
      <c r="B181" s="2"/>
      <c r="G181" s="2"/>
    </row>
    <row r="182" spans="2:7">
      <c r="B182" s="2"/>
      <c r="G182" s="2"/>
    </row>
    <row r="183" spans="2:7">
      <c r="B183" s="2"/>
      <c r="G183" s="2"/>
    </row>
    <row r="184" spans="2:7">
      <c r="B184" s="2"/>
      <c r="G184" s="2"/>
    </row>
    <row r="185" spans="2:7">
      <c r="B185" s="2"/>
      <c r="G185" s="2"/>
    </row>
    <row r="186" spans="2:7">
      <c r="B186" s="2"/>
      <c r="G186" s="2"/>
    </row>
    <row r="187" spans="2:7">
      <c r="B187" s="2"/>
      <c r="G187" s="2"/>
    </row>
    <row r="188" spans="2:7">
      <c r="B188" s="2"/>
      <c r="G188" s="2"/>
    </row>
    <row r="189" spans="2:7">
      <c r="B189" s="2"/>
      <c r="G189" s="2"/>
    </row>
    <row r="190" spans="2:7">
      <c r="B190" s="2"/>
      <c r="G190" s="2"/>
    </row>
    <row r="191" spans="2:7">
      <c r="B191" s="2"/>
      <c r="G191" s="2"/>
    </row>
    <row r="192" spans="2:7">
      <c r="B192" s="2"/>
      <c r="G192" s="2"/>
    </row>
    <row r="193" spans="2:7">
      <c r="B193" s="2"/>
      <c r="G193" s="2"/>
    </row>
    <row r="194" spans="2:7">
      <c r="B194" s="2"/>
      <c r="G194" s="2"/>
    </row>
    <row r="195" spans="2:7">
      <c r="B195" s="2"/>
      <c r="G195" s="2"/>
    </row>
    <row r="196" spans="2:7">
      <c r="B196" s="2"/>
      <c r="G196" s="2"/>
    </row>
    <row r="197" spans="2:7">
      <c r="B197" s="2"/>
      <c r="G197" s="2"/>
    </row>
    <row r="198" spans="2:7">
      <c r="B198" s="2"/>
      <c r="G198" s="2"/>
    </row>
    <row r="199" spans="2:7">
      <c r="B199" s="2"/>
      <c r="G199" s="2"/>
    </row>
    <row r="200" spans="2:7">
      <c r="B200" s="2"/>
      <c r="G200" s="2"/>
    </row>
    <row r="201" spans="2:7">
      <c r="B201" s="2"/>
      <c r="G201" s="2"/>
    </row>
    <row r="202" spans="2:7">
      <c r="B202" s="2"/>
      <c r="G202" s="2"/>
    </row>
    <row r="203" spans="2:7">
      <c r="B203" s="2"/>
      <c r="G203" s="2"/>
    </row>
    <row r="204" spans="2:7">
      <c r="B204" s="2"/>
      <c r="G204" s="2"/>
    </row>
    <row r="205" spans="2:7">
      <c r="B205" s="2"/>
      <c r="G205" s="2"/>
    </row>
    <row r="206" spans="2:7">
      <c r="B206" s="2"/>
      <c r="G206" s="2"/>
    </row>
    <row r="207" spans="2:7">
      <c r="B207" s="2"/>
      <c r="G207" s="2"/>
    </row>
    <row r="208" spans="2:7">
      <c r="B208" s="2"/>
      <c r="G208" s="2"/>
    </row>
    <row r="209" spans="2:7">
      <c r="B209" s="2"/>
      <c r="G209" s="2"/>
    </row>
    <row r="210" spans="2:7">
      <c r="B210" s="2"/>
      <c r="G210" s="2"/>
    </row>
    <row r="211" spans="2:7">
      <c r="B211" s="2"/>
      <c r="G211" s="2"/>
    </row>
    <row r="212" spans="2:7">
      <c r="B212" s="2"/>
      <c r="G212" s="2"/>
    </row>
    <row r="213" spans="2:7">
      <c r="B213" s="2"/>
      <c r="G213" s="2"/>
    </row>
    <row r="214" spans="2:7">
      <c r="B214" s="2"/>
      <c r="G214" s="2"/>
    </row>
    <row r="215" spans="2:7">
      <c r="B215" s="2"/>
      <c r="G215" s="2"/>
    </row>
    <row r="216" spans="2:7">
      <c r="B216" s="2"/>
      <c r="G216" s="2"/>
    </row>
    <row r="217" spans="2:7">
      <c r="B217" s="2"/>
      <c r="G217" s="2"/>
    </row>
    <row r="218" spans="2:7">
      <c r="B218" s="2"/>
      <c r="G218" s="2"/>
    </row>
    <row r="219" spans="2:7">
      <c r="B219" s="2"/>
      <c r="G219" s="2"/>
    </row>
    <row r="220" spans="2:7">
      <c r="B220" s="2"/>
      <c r="G220" s="2"/>
    </row>
    <row r="221" spans="2:7">
      <c r="B221" s="2"/>
      <c r="G221" s="2"/>
    </row>
    <row r="222" spans="2:7">
      <c r="B222" s="2"/>
      <c r="G222" s="2"/>
    </row>
    <row r="223" spans="2:7">
      <c r="B223" s="2"/>
      <c r="G223" s="2"/>
    </row>
    <row r="224" spans="2:7">
      <c r="B224" s="2"/>
      <c r="G224" s="2"/>
    </row>
    <row r="225" spans="2:7">
      <c r="B225" s="2"/>
      <c r="G225" s="2"/>
    </row>
    <row r="226" spans="2:7">
      <c r="B226" s="2"/>
      <c r="G226" s="2"/>
    </row>
    <row r="227" spans="2:7">
      <c r="B227" s="2"/>
      <c r="G227" s="2"/>
    </row>
    <row r="228" spans="2:7">
      <c r="B228" s="2"/>
      <c r="G228" s="2"/>
    </row>
    <row r="229" spans="2:7">
      <c r="B229" s="2"/>
      <c r="G229" s="2"/>
    </row>
    <row r="230" spans="2:7">
      <c r="B230" s="2"/>
      <c r="G230" s="2"/>
    </row>
    <row r="231" spans="2:7">
      <c r="B231" s="2"/>
      <c r="G231" s="2"/>
    </row>
    <row r="232" spans="2:7">
      <c r="B232" s="2"/>
      <c r="G232" s="2"/>
    </row>
    <row r="233" spans="2:7">
      <c r="B233" s="2"/>
      <c r="G233" s="2"/>
    </row>
    <row r="234" spans="2:7">
      <c r="B234" s="2"/>
      <c r="G234" s="2"/>
    </row>
    <row r="235" spans="2:7">
      <c r="B235" s="2"/>
      <c r="G235" s="2"/>
    </row>
    <row r="236" spans="2:7">
      <c r="B236" s="2"/>
      <c r="G236" s="2"/>
    </row>
    <row r="237" spans="2:7">
      <c r="B237" s="2"/>
      <c r="G237" s="2"/>
    </row>
    <row r="238" spans="2:7">
      <c r="B238" s="2"/>
      <c r="G238" s="2"/>
    </row>
    <row r="239" spans="2:7">
      <c r="B239" s="2"/>
      <c r="G239" s="2"/>
    </row>
    <row r="240" spans="2:7">
      <c r="B240" s="2"/>
      <c r="G240" s="2"/>
    </row>
    <row r="241" spans="2:7">
      <c r="B241" s="2"/>
      <c r="G241" s="2"/>
    </row>
    <row r="242" spans="2:7">
      <c r="B242" s="2"/>
      <c r="G242" s="2"/>
    </row>
    <row r="243" spans="2:7">
      <c r="B243" s="2"/>
      <c r="G243" s="2"/>
    </row>
    <row r="244" spans="2:7">
      <c r="B244" s="2"/>
      <c r="G244" s="2"/>
    </row>
    <row r="245" spans="2:7">
      <c r="B245" s="2"/>
      <c r="G245" s="2"/>
    </row>
    <row r="246" spans="2:7">
      <c r="B246" s="2"/>
      <c r="G246" s="2"/>
    </row>
    <row r="247" spans="2:7">
      <c r="B247" s="2"/>
      <c r="G247" s="2"/>
    </row>
    <row r="248" spans="2:7">
      <c r="B248" s="2"/>
      <c r="G248" s="2"/>
    </row>
    <row r="249" spans="2:7">
      <c r="B249" s="2"/>
      <c r="G249" s="2"/>
    </row>
    <row r="250" spans="2:7">
      <c r="B250" s="2"/>
      <c r="G250" s="2"/>
    </row>
    <row r="251" spans="2:7">
      <c r="B251" s="2"/>
      <c r="G251" s="2"/>
    </row>
    <row r="252" spans="2:7">
      <c r="B252" s="2"/>
      <c r="G252" s="2"/>
    </row>
    <row r="253" spans="2:7">
      <c r="B253" s="2"/>
      <c r="G253" s="2"/>
    </row>
    <row r="254" spans="2:7">
      <c r="B254" s="2"/>
      <c r="G254" s="2"/>
    </row>
    <row r="255" spans="2:7">
      <c r="B255" s="2"/>
      <c r="G255" s="2"/>
    </row>
    <row r="256" spans="2:7">
      <c r="B256" s="2"/>
      <c r="G256" s="2"/>
    </row>
    <row r="257" spans="2:7">
      <c r="B257" s="2"/>
      <c r="G257" s="2"/>
    </row>
    <row r="258" spans="2:7">
      <c r="B258" s="2"/>
      <c r="G258" s="2"/>
    </row>
    <row r="259" spans="2:7">
      <c r="B259" s="2"/>
      <c r="G259" s="2"/>
    </row>
    <row r="260" spans="2:7">
      <c r="B260" s="2"/>
      <c r="G260" s="2"/>
    </row>
    <row r="261" spans="2:7">
      <c r="B261" s="2"/>
      <c r="G261" s="2"/>
    </row>
    <row r="262" spans="2:7">
      <c r="B262" s="2"/>
      <c r="G262" s="2"/>
    </row>
    <row r="263" spans="2:7">
      <c r="B263" s="2"/>
      <c r="G263" s="2"/>
    </row>
    <row r="264" spans="2:7">
      <c r="B264" s="2"/>
      <c r="G264" s="2"/>
    </row>
    <row r="265" spans="2:7">
      <c r="B265" s="2"/>
      <c r="G265" s="2"/>
    </row>
    <row r="266" spans="2:7">
      <c r="B266" s="2"/>
      <c r="G266" s="2"/>
    </row>
    <row r="267" spans="2:7">
      <c r="B267" s="2"/>
      <c r="G267" s="2"/>
    </row>
    <row r="268" spans="2:7">
      <c r="B268" s="2"/>
      <c r="G268" s="2"/>
    </row>
    <row r="269" spans="2:7">
      <c r="B269" s="2"/>
      <c r="G269" s="2"/>
    </row>
    <row r="270" spans="2:7">
      <c r="B270" s="2"/>
      <c r="G270" s="2"/>
    </row>
    <row r="271" spans="2:7">
      <c r="B271" s="2"/>
      <c r="G271" s="2"/>
    </row>
    <row r="272" spans="2:7">
      <c r="B272" s="2"/>
      <c r="G272" s="2"/>
    </row>
    <row r="273" spans="2:7">
      <c r="B273" s="2"/>
      <c r="G273" s="2"/>
    </row>
    <row r="274" spans="2:7">
      <c r="B274" s="2"/>
      <c r="G274" s="2"/>
    </row>
    <row r="275" spans="2:7">
      <c r="B275" s="2"/>
      <c r="G275" s="2"/>
    </row>
    <row r="276" spans="2:7">
      <c r="B276" s="2"/>
      <c r="G276" s="2"/>
    </row>
    <row r="277" spans="2:7">
      <c r="B277" s="2"/>
      <c r="G277" s="2"/>
    </row>
    <row r="278" spans="2:7">
      <c r="B278" s="2"/>
      <c r="G278" s="2"/>
    </row>
    <row r="279" spans="2:7">
      <c r="B279" s="2"/>
      <c r="G279" s="2"/>
    </row>
    <row r="280" spans="2:7">
      <c r="B280" s="2"/>
      <c r="G280" s="2"/>
    </row>
    <row r="281" spans="2:7">
      <c r="B281" s="2"/>
      <c r="G281" s="2"/>
    </row>
    <row r="282" spans="2:7">
      <c r="B282" s="2"/>
      <c r="G282" s="2"/>
    </row>
    <row r="283" spans="2:7">
      <c r="B283" s="2"/>
      <c r="G283" s="2"/>
    </row>
    <row r="284" spans="2:7">
      <c r="B284" s="2"/>
      <c r="G284" s="2"/>
    </row>
    <row r="285" spans="2:7">
      <c r="B285" s="2"/>
      <c r="G285" s="2"/>
    </row>
    <row r="286" spans="2:7">
      <c r="B286" s="2"/>
      <c r="G286" s="2"/>
    </row>
    <row r="287" spans="2:7">
      <c r="B287" s="2"/>
      <c r="G287" s="2"/>
    </row>
    <row r="288" spans="2:7">
      <c r="B288" s="2"/>
      <c r="G288" s="2"/>
    </row>
    <row r="289" spans="2:7">
      <c r="B289" s="2"/>
      <c r="G289" s="2"/>
    </row>
    <row r="290" spans="2:7">
      <c r="B290" s="2"/>
      <c r="G290" s="2"/>
    </row>
    <row r="291" spans="2:7">
      <c r="B291" s="2"/>
      <c r="G291" s="2"/>
    </row>
    <row r="292" spans="2:7">
      <c r="B292" s="2"/>
      <c r="G292" s="2"/>
    </row>
    <row r="293" spans="2:7">
      <c r="B293" s="2"/>
      <c r="G293" s="2"/>
    </row>
    <row r="294" spans="2:7">
      <c r="B294" s="2"/>
      <c r="G294" s="2"/>
    </row>
    <row r="295" spans="2:7">
      <c r="B295" s="2"/>
      <c r="G295" s="2"/>
    </row>
    <row r="296" spans="2:7">
      <c r="B296" s="2"/>
      <c r="G296" s="2"/>
    </row>
    <row r="297" spans="2:7">
      <c r="B297" s="2"/>
      <c r="G297" s="2"/>
    </row>
    <row r="298" spans="2:7">
      <c r="B298" s="2"/>
      <c r="G298" s="2"/>
    </row>
    <row r="299" spans="2:7">
      <c r="B299" s="2"/>
      <c r="G299" s="2"/>
    </row>
    <row r="300" spans="2:7">
      <c r="B300" s="2"/>
      <c r="G300" s="2"/>
    </row>
    <row r="301" spans="2:7">
      <c r="B301" s="2"/>
      <c r="G301" s="2"/>
    </row>
    <row r="302" spans="2:7">
      <c r="B302" s="2"/>
      <c r="G302" s="2"/>
    </row>
    <row r="303" spans="2:7">
      <c r="B303" s="2"/>
      <c r="G303" s="2"/>
    </row>
    <row r="304" spans="2:7">
      <c r="B304" s="2"/>
      <c r="G304" s="2"/>
    </row>
    <row r="305" spans="2:7">
      <c r="B305" s="2"/>
      <c r="G305" s="2"/>
    </row>
    <row r="306" spans="2:7">
      <c r="B306" s="2"/>
      <c r="G306" s="2"/>
    </row>
    <row r="307" spans="2:7">
      <c r="B307" s="2"/>
      <c r="G307" s="2"/>
    </row>
    <row r="308" spans="2:7">
      <c r="B308" s="2"/>
      <c r="G308" s="2"/>
    </row>
    <row r="309" spans="2:7">
      <c r="B309" s="2"/>
      <c r="G309" s="2"/>
    </row>
    <row r="310" spans="2:7">
      <c r="B310" s="2"/>
      <c r="G310" s="2"/>
    </row>
    <row r="311" spans="2:7">
      <c r="B311" s="2"/>
      <c r="G311" s="2"/>
    </row>
    <row r="312" spans="2:7">
      <c r="B312" s="2"/>
      <c r="G312" s="2"/>
    </row>
    <row r="313" spans="2:7">
      <c r="B313" s="2"/>
      <c r="G313" s="2"/>
    </row>
    <row r="314" spans="2:7">
      <c r="B314" s="2"/>
      <c r="G314" s="2"/>
    </row>
    <row r="315" spans="2:7">
      <c r="B315" s="2"/>
      <c r="G315" s="2"/>
    </row>
    <row r="316" spans="2:7">
      <c r="B316" s="2"/>
      <c r="G316" s="2"/>
    </row>
    <row r="317" spans="2:7">
      <c r="B317" s="2"/>
      <c r="G317" s="2"/>
    </row>
    <row r="318" spans="2:7">
      <c r="B318" s="2"/>
      <c r="G318" s="2"/>
    </row>
    <row r="319" spans="2:7">
      <c r="B319" s="2"/>
      <c r="G319" s="2"/>
    </row>
    <row r="320" spans="2:7">
      <c r="B320" s="2"/>
      <c r="G320" s="2"/>
    </row>
    <row r="321" spans="2:7">
      <c r="B321" s="2"/>
      <c r="G321" s="2"/>
    </row>
    <row r="322" spans="2:7">
      <c r="B322" s="2"/>
      <c r="G322" s="2"/>
    </row>
    <row r="323" spans="2:7">
      <c r="B323" s="2"/>
      <c r="G323" s="2"/>
    </row>
    <row r="324" spans="2:7">
      <c r="B324" s="2"/>
      <c r="G324" s="2"/>
    </row>
    <row r="325" spans="2:7">
      <c r="B325" s="2"/>
      <c r="G325" s="2"/>
    </row>
    <row r="326" spans="2:7">
      <c r="B326" s="2"/>
      <c r="G326" s="2"/>
    </row>
    <row r="327" spans="2:7">
      <c r="B327" s="2"/>
      <c r="G327" s="2"/>
    </row>
    <row r="328" spans="2:7">
      <c r="B328" s="2"/>
      <c r="G328" s="2"/>
    </row>
    <row r="329" spans="2:7">
      <c r="B329" s="2"/>
      <c r="G329" s="2"/>
    </row>
    <row r="330" spans="2:7">
      <c r="B330" s="2"/>
      <c r="G330" s="2"/>
    </row>
    <row r="331" spans="2:7">
      <c r="B331" s="2"/>
      <c r="G331" s="2"/>
    </row>
    <row r="332" spans="2:7">
      <c r="B332" s="2"/>
      <c r="G332" s="2"/>
    </row>
    <row r="333" spans="2:7">
      <c r="B333" s="2"/>
      <c r="G333" s="2"/>
    </row>
    <row r="334" spans="2:7">
      <c r="B334" s="2"/>
      <c r="G334" s="2"/>
    </row>
    <row r="335" spans="2:7">
      <c r="B335" s="2"/>
      <c r="G335" s="2"/>
    </row>
    <row r="336" spans="2:7">
      <c r="B336" s="2"/>
      <c r="G336" s="2"/>
    </row>
    <row r="337" spans="2:7">
      <c r="B337" s="2"/>
      <c r="G337" s="2"/>
    </row>
    <row r="338" spans="2:7">
      <c r="B338" s="2"/>
      <c r="G338" s="2"/>
    </row>
    <row r="339" spans="2:7">
      <c r="B339" s="2"/>
      <c r="G339" s="2"/>
    </row>
    <row r="340" spans="2:7">
      <c r="B340" s="2"/>
      <c r="G340" s="2"/>
    </row>
    <row r="341" spans="2:7">
      <c r="B341" s="2"/>
      <c r="G341" s="2"/>
    </row>
    <row r="342" spans="2:7">
      <c r="B342" s="2"/>
      <c r="G342" s="2"/>
    </row>
    <row r="343" spans="2:7">
      <c r="B343" s="2"/>
      <c r="G343" s="2"/>
    </row>
    <row r="344" spans="2:7">
      <c r="B344" s="2"/>
      <c r="G344" s="2"/>
    </row>
    <row r="345" spans="2:7">
      <c r="B345" s="2"/>
      <c r="G345" s="2"/>
    </row>
    <row r="346" spans="2:7">
      <c r="B346" s="2"/>
      <c r="G346" s="2"/>
    </row>
    <row r="347" spans="2:7">
      <c r="B347" s="2"/>
      <c r="G347" s="2"/>
    </row>
    <row r="348" spans="2:7">
      <c r="B348" s="2"/>
      <c r="G348" s="2"/>
    </row>
    <row r="349" spans="2:7">
      <c r="B349" s="2"/>
      <c r="G349" s="2"/>
    </row>
    <row r="350" spans="2:7">
      <c r="B350" s="2"/>
      <c r="G350" s="2"/>
    </row>
    <row r="351" spans="2:7">
      <c r="B351" s="2"/>
      <c r="G351" s="2"/>
    </row>
    <row r="352" spans="2:7">
      <c r="B352" s="2"/>
      <c r="G352" s="2"/>
    </row>
    <row r="353" spans="2:7">
      <c r="B353" s="2"/>
      <c r="G353" s="2"/>
    </row>
    <row r="354" spans="2:7">
      <c r="B354" s="2"/>
      <c r="G354" s="2"/>
    </row>
    <row r="355" spans="2:7">
      <c r="B355" s="2"/>
      <c r="G355" s="2"/>
    </row>
    <row r="356" spans="2:7">
      <c r="B356" s="2"/>
      <c r="G356" s="2"/>
    </row>
    <row r="357" spans="2:7">
      <c r="B357" s="2"/>
      <c r="G357" s="2"/>
    </row>
    <row r="358" spans="2:7">
      <c r="B358" s="2"/>
      <c r="G358" s="2"/>
    </row>
    <row r="359" spans="2:7">
      <c r="B359" s="2"/>
      <c r="G359" s="2"/>
    </row>
    <row r="360" spans="2:7">
      <c r="B360" s="2"/>
      <c r="G360" s="2"/>
    </row>
    <row r="361" spans="2:7">
      <c r="B361" s="2"/>
      <c r="G361" s="2"/>
    </row>
    <row r="362" spans="2:7">
      <c r="B362" s="2"/>
      <c r="G362" s="2"/>
    </row>
    <row r="363" spans="2:7">
      <c r="B363" s="2"/>
      <c r="G363" s="2"/>
    </row>
    <row r="364" spans="2:7">
      <c r="B364" s="2"/>
      <c r="G364" s="2"/>
    </row>
    <row r="365" spans="2:7">
      <c r="B365" s="2"/>
      <c r="G365" s="2"/>
    </row>
    <row r="366" spans="2:7">
      <c r="B366" s="2"/>
      <c r="G366" s="2"/>
    </row>
    <row r="367" spans="2:7">
      <c r="B367" s="2"/>
      <c r="G367" s="2"/>
    </row>
    <row r="368" spans="2:7">
      <c r="B368" s="2"/>
      <c r="G368" s="2"/>
    </row>
    <row r="369" spans="2:7">
      <c r="B369" s="2"/>
      <c r="G369" s="2"/>
    </row>
    <row r="370" spans="2:7">
      <c r="B370" s="2"/>
      <c r="G370" s="2"/>
    </row>
    <row r="371" spans="2:7">
      <c r="B371" s="2"/>
      <c r="G371" s="2"/>
    </row>
    <row r="372" spans="2:7">
      <c r="B372" s="2"/>
      <c r="G372" s="2"/>
    </row>
    <row r="373" spans="2:7">
      <c r="B373" s="2"/>
      <c r="G373" s="2"/>
    </row>
    <row r="374" spans="2:7">
      <c r="B374" s="2"/>
      <c r="G374" s="2"/>
    </row>
    <row r="375" spans="2:7">
      <c r="B375" s="2"/>
      <c r="G375" s="2"/>
    </row>
    <row r="376" spans="2:7">
      <c r="B376" s="2"/>
      <c r="G376" s="2"/>
    </row>
    <row r="377" spans="2:7">
      <c r="B377" s="2"/>
      <c r="G377" s="2"/>
    </row>
    <row r="378" spans="2:7">
      <c r="B378" s="2"/>
      <c r="G378" s="2"/>
    </row>
    <row r="379" spans="2:7">
      <c r="B379" s="2"/>
      <c r="G379" s="2"/>
    </row>
    <row r="380" spans="2:7">
      <c r="B380" s="2"/>
      <c r="G380" s="2"/>
    </row>
    <row r="381" spans="2:7">
      <c r="B381" s="2"/>
      <c r="G381" s="2"/>
    </row>
    <row r="382" spans="2:7">
      <c r="B382" s="2"/>
      <c r="G382" s="2"/>
    </row>
    <row r="383" spans="2:7">
      <c r="B383" s="2"/>
      <c r="G383" s="2"/>
    </row>
    <row r="384" spans="2:7">
      <c r="B384" s="2"/>
      <c r="G384" s="2"/>
    </row>
    <row r="385" spans="2:7">
      <c r="B385" s="2"/>
      <c r="G385" s="2"/>
    </row>
    <row r="386" spans="2:7">
      <c r="B386" s="2"/>
      <c r="G386" s="2"/>
    </row>
    <row r="387" spans="2:7">
      <c r="B387" s="2"/>
      <c r="G387" s="2"/>
    </row>
    <row r="388" spans="2:7">
      <c r="B388" s="2"/>
      <c r="G388" s="2"/>
    </row>
    <row r="389" spans="2:7">
      <c r="B389" s="2"/>
      <c r="G389" s="2"/>
    </row>
    <row r="390" spans="2:7">
      <c r="B390" s="2"/>
      <c r="G390" s="2"/>
    </row>
    <row r="391" spans="2:7">
      <c r="B391" s="2"/>
      <c r="G391" s="2"/>
    </row>
    <row r="392" spans="2:7">
      <c r="B392" s="2"/>
      <c r="G392" s="2"/>
    </row>
    <row r="393" spans="2:7">
      <c r="B393" s="2"/>
      <c r="G393" s="2"/>
    </row>
    <row r="394" spans="2:7">
      <c r="B394" s="2"/>
      <c r="G394" s="2"/>
    </row>
    <row r="395" spans="2:7">
      <c r="B395" s="2"/>
      <c r="G395" s="2"/>
    </row>
    <row r="396" spans="2:7">
      <c r="B396" s="2"/>
      <c r="G396" s="2"/>
    </row>
    <row r="397" spans="2:7">
      <c r="B397" s="2"/>
      <c r="G397" s="2"/>
    </row>
    <row r="398" spans="2:7">
      <c r="B398" s="2"/>
      <c r="G398" s="2"/>
    </row>
    <row r="399" spans="2:7">
      <c r="B399" s="2"/>
      <c r="G399" s="2"/>
    </row>
    <row r="400" spans="2:7">
      <c r="B400" s="2"/>
      <c r="G400" s="2"/>
    </row>
    <row r="401" spans="2:7">
      <c r="B401" s="2"/>
      <c r="G401" s="2"/>
    </row>
    <row r="402" spans="2:7">
      <c r="B402" s="2"/>
      <c r="G402" s="2"/>
    </row>
    <row r="403" spans="2:7">
      <c r="B403" s="2"/>
      <c r="G403" s="2"/>
    </row>
    <row r="404" spans="2:7">
      <c r="B404" s="2"/>
      <c r="G404" s="2"/>
    </row>
    <row r="405" spans="2:7">
      <c r="B405" s="2"/>
      <c r="G405" s="2"/>
    </row>
    <row r="406" spans="2:7">
      <c r="B406" s="2"/>
      <c r="G406" s="2"/>
    </row>
    <row r="407" spans="2:7">
      <c r="B407" s="2"/>
      <c r="G407" s="2"/>
    </row>
    <row r="408" spans="2:7">
      <c r="B408" s="2"/>
      <c r="G408" s="2"/>
    </row>
    <row r="409" spans="2:7">
      <c r="B409" s="2"/>
      <c r="G409" s="2"/>
    </row>
    <row r="410" spans="2:7">
      <c r="B410" s="2"/>
      <c r="G410" s="2"/>
    </row>
    <row r="411" spans="2:7">
      <c r="B411" s="2"/>
      <c r="G411" s="2"/>
    </row>
    <row r="412" spans="2:7">
      <c r="B412" s="2"/>
      <c r="G412" s="2"/>
    </row>
    <row r="413" spans="2:7">
      <c r="B413" s="2"/>
      <c r="G413" s="2"/>
    </row>
    <row r="414" spans="2:7">
      <c r="B414" s="2"/>
      <c r="G414" s="2"/>
    </row>
    <row r="415" spans="2:7">
      <c r="B415" s="2"/>
      <c r="G415" s="2"/>
    </row>
    <row r="416" spans="2:7">
      <c r="B416" s="2"/>
      <c r="G416" s="2"/>
    </row>
    <row r="417" spans="2:7">
      <c r="B417" s="2"/>
      <c r="G417" s="2"/>
    </row>
    <row r="418" spans="2:7">
      <c r="B418" s="2"/>
      <c r="G418" s="2"/>
    </row>
    <row r="419" spans="2:7">
      <c r="B419" s="2"/>
      <c r="G419" s="2"/>
    </row>
    <row r="420" spans="2:7">
      <c r="B420" s="2"/>
      <c r="G420" s="2"/>
    </row>
    <row r="421" spans="2:7">
      <c r="B421" s="2"/>
      <c r="G421" s="2"/>
    </row>
    <row r="422" spans="2:7">
      <c r="B422" s="2"/>
      <c r="G422" s="2"/>
    </row>
    <row r="423" spans="2:7">
      <c r="B423" s="2"/>
      <c r="G423" s="2"/>
    </row>
    <row r="424" spans="2:7">
      <c r="B424" s="2"/>
      <c r="G424" s="2"/>
    </row>
    <row r="425" spans="2:7">
      <c r="B425" s="2"/>
      <c r="G425" s="2"/>
    </row>
    <row r="426" spans="2:7">
      <c r="B426" s="2"/>
      <c r="G426" s="2"/>
    </row>
    <row r="427" spans="2:7">
      <c r="B427" s="2"/>
      <c r="G427" s="2"/>
    </row>
    <row r="428" spans="2:7">
      <c r="B428" s="2"/>
      <c r="G428" s="2"/>
    </row>
    <row r="429" spans="2:7">
      <c r="B429" s="2"/>
      <c r="G429" s="2"/>
    </row>
    <row r="430" spans="2:7">
      <c r="B430" s="2"/>
      <c r="G430" s="2"/>
    </row>
    <row r="431" spans="2:7">
      <c r="B431" s="2"/>
      <c r="G431" s="2"/>
    </row>
    <row r="432" spans="2:7">
      <c r="B432" s="2"/>
      <c r="G432" s="2"/>
    </row>
    <row r="433" spans="2:7">
      <c r="B433" s="2"/>
      <c r="G433" s="2"/>
    </row>
    <row r="434" spans="2:7">
      <c r="B434" s="2"/>
      <c r="G434" s="2"/>
    </row>
    <row r="435" spans="2:7">
      <c r="B435" s="2"/>
      <c r="G435" s="2"/>
    </row>
    <row r="436" spans="2:7">
      <c r="B436" s="2"/>
      <c r="G436" s="2"/>
    </row>
    <row r="437" spans="2:7">
      <c r="B437" s="2"/>
      <c r="G437" s="2"/>
    </row>
    <row r="438" spans="2:7">
      <c r="B438" s="2"/>
      <c r="G438" s="2"/>
    </row>
    <row r="439" spans="2:7">
      <c r="B439" s="2"/>
      <c r="G439" s="2"/>
    </row>
    <row r="440" spans="2:7">
      <c r="B440" s="2"/>
      <c r="G440" s="2"/>
    </row>
    <row r="441" spans="2:7">
      <c r="B441" s="2"/>
      <c r="G441" s="2"/>
    </row>
    <row r="442" spans="2:7">
      <c r="B442" s="2"/>
      <c r="G442" s="2"/>
    </row>
    <row r="443" spans="2:7">
      <c r="B443" s="2"/>
      <c r="G443" s="2"/>
    </row>
    <row r="444" spans="2:7">
      <c r="B444" s="2"/>
      <c r="G444" s="2"/>
    </row>
    <row r="445" spans="2:7">
      <c r="B445" s="2"/>
      <c r="G445" s="2"/>
    </row>
    <row r="446" spans="2:7">
      <c r="B446" s="2"/>
      <c r="G446" s="2"/>
    </row>
    <row r="447" spans="2:7">
      <c r="B447" s="2"/>
      <c r="G447" s="2"/>
    </row>
    <row r="448" spans="2:7">
      <c r="B448" s="2"/>
      <c r="G448" s="2"/>
    </row>
    <row r="449" spans="2:7">
      <c r="B449" s="2"/>
      <c r="G449" s="2"/>
    </row>
    <row r="450" spans="2:7">
      <c r="B450" s="2"/>
      <c r="G450" s="2"/>
    </row>
    <row r="451" spans="2:7">
      <c r="B451" s="2"/>
      <c r="G451" s="2"/>
    </row>
    <row r="452" spans="2:7">
      <c r="B452" s="2"/>
      <c r="G452" s="2"/>
    </row>
    <row r="453" spans="2:7">
      <c r="B453" s="2"/>
      <c r="G453" s="2"/>
    </row>
    <row r="454" spans="2:7">
      <c r="B454" s="2"/>
      <c r="G454" s="2"/>
    </row>
    <row r="455" spans="2:7">
      <c r="B455" s="2"/>
      <c r="G455" s="2"/>
    </row>
    <row r="456" spans="2:7">
      <c r="B456" s="2"/>
      <c r="G456" s="2"/>
    </row>
    <row r="457" spans="2:7">
      <c r="B457" s="2"/>
      <c r="G457" s="2"/>
    </row>
    <row r="458" spans="2:7">
      <c r="B458" s="2"/>
      <c r="G458" s="2"/>
    </row>
    <row r="459" spans="2:7">
      <c r="B459" s="2"/>
      <c r="G459" s="2"/>
    </row>
    <row r="460" spans="2:7">
      <c r="B460" s="2"/>
      <c r="G460" s="2"/>
    </row>
    <row r="461" spans="2:7">
      <c r="B461" s="2"/>
      <c r="G461" s="2"/>
    </row>
    <row r="462" spans="2:7">
      <c r="B462" s="2"/>
      <c r="G462" s="2"/>
    </row>
    <row r="463" spans="2:7">
      <c r="B463" s="2"/>
      <c r="G463" s="2"/>
    </row>
    <row r="464" spans="2:7">
      <c r="B464" s="2"/>
      <c r="G464" s="2"/>
    </row>
    <row r="465" spans="2:7">
      <c r="B465" s="2"/>
      <c r="G465" s="2"/>
    </row>
    <row r="466" spans="2:7">
      <c r="B466" s="2"/>
      <c r="G466" s="2"/>
    </row>
    <row r="467" spans="2:7">
      <c r="B467" s="2"/>
      <c r="G467" s="2"/>
    </row>
    <row r="468" spans="2:7">
      <c r="B468" s="2"/>
      <c r="G468" s="2"/>
    </row>
    <row r="469" spans="2:7">
      <c r="B469" s="2"/>
      <c r="G469" s="2"/>
    </row>
    <row r="470" spans="2:7">
      <c r="B470" s="2"/>
      <c r="G470" s="2"/>
    </row>
    <row r="471" spans="2:7">
      <c r="B471" s="2"/>
      <c r="G471" s="2"/>
    </row>
    <row r="472" spans="2:7">
      <c r="B472" s="2"/>
      <c r="G472" s="2"/>
    </row>
    <row r="473" spans="2:7">
      <c r="B473" s="2"/>
      <c r="G473" s="2"/>
    </row>
    <row r="474" spans="2:7">
      <c r="B474" s="2"/>
      <c r="G474" s="2"/>
    </row>
    <row r="475" spans="2:7">
      <c r="B475" s="2"/>
      <c r="G475" s="2"/>
    </row>
    <row r="476" spans="2:7">
      <c r="B476" s="2"/>
      <c r="G476" s="2"/>
    </row>
    <row r="477" spans="2:7">
      <c r="B477" s="2"/>
      <c r="G477" s="2"/>
    </row>
    <row r="478" spans="2:7">
      <c r="B478" s="2"/>
      <c r="G478" s="2"/>
    </row>
    <row r="479" spans="2:7">
      <c r="B479" s="2"/>
      <c r="G479" s="2"/>
    </row>
    <row r="480" spans="2:7">
      <c r="B480" s="2"/>
      <c r="G480" s="2"/>
    </row>
    <row r="481" spans="2:7">
      <c r="B481" s="2"/>
      <c r="G481" s="2"/>
    </row>
    <row r="482" spans="2:7">
      <c r="B482" s="2"/>
      <c r="G482" s="2"/>
    </row>
    <row r="483" spans="2:7">
      <c r="B483" s="2"/>
      <c r="G483" s="2"/>
    </row>
    <row r="484" spans="2:7">
      <c r="B484" s="2"/>
      <c r="G484" s="2"/>
    </row>
    <row r="485" spans="2:7">
      <c r="B485" s="2"/>
      <c r="G485" s="2"/>
    </row>
    <row r="486" spans="2:7">
      <c r="B486" s="2"/>
      <c r="G486" s="2"/>
    </row>
    <row r="487" spans="2:7">
      <c r="B487" s="2"/>
      <c r="G487" s="2"/>
    </row>
    <row r="488" spans="2:7">
      <c r="B488" s="2"/>
      <c r="G488" s="2"/>
    </row>
    <row r="489" spans="2:7">
      <c r="B489" s="2"/>
      <c r="G489" s="2"/>
    </row>
    <row r="490" spans="2:7">
      <c r="B490" s="2"/>
      <c r="G490" s="2"/>
    </row>
    <row r="491" spans="2:7">
      <c r="B491" s="2"/>
      <c r="G491" s="2"/>
    </row>
    <row r="492" spans="2:7">
      <c r="B492" s="2"/>
      <c r="G492" s="2"/>
    </row>
    <row r="493" spans="2:7">
      <c r="B493" s="2"/>
      <c r="G493" s="2"/>
    </row>
    <row r="494" spans="2:7">
      <c r="B494" s="2"/>
      <c r="G494" s="2"/>
    </row>
    <row r="495" spans="2:7">
      <c r="B495" s="2"/>
      <c r="G495" s="2"/>
    </row>
    <row r="496" spans="2:7">
      <c r="B496" s="2"/>
      <c r="G496" s="2"/>
    </row>
    <row r="497" spans="2:7">
      <c r="B497" s="2"/>
      <c r="G497" s="2"/>
    </row>
    <row r="498" spans="2:7">
      <c r="B498" s="2"/>
      <c r="G498" s="2"/>
    </row>
    <row r="499" spans="2:7">
      <c r="B499" s="2"/>
      <c r="G499" s="2"/>
    </row>
  </sheetData>
  <mergeCells count="2">
    <mergeCell ref="B5:F5"/>
    <mergeCell ref="A66:F66"/>
  </mergeCells>
  <phoneticPr fontId="0"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61442" r:id="rId3" name="Button 2">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61443" r:id="rId4" name="Button 3">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61444" r:id="rId5" name="Button 4">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61445" r:id="rId6" name="Button 5">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dimension ref="A1:N929"/>
  <sheetViews>
    <sheetView workbookViewId="0"/>
  </sheetViews>
  <sheetFormatPr baseColWidth="10" defaultColWidth="8.83203125" defaultRowHeight="12" x14ac:dyDescent="0"/>
  <cols>
    <col min="1" max="1" width="10.33203125" customWidth="1"/>
    <col min="3" max="3" width="11.33203125" bestFit="1" customWidth="1"/>
    <col min="4" max="4" width="13.5" customWidth="1"/>
    <col min="5" max="5" width="14.1640625" customWidth="1"/>
    <col min="6" max="6" width="14.33203125" customWidth="1"/>
    <col min="7" max="7" width="12.16406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813</v>
      </c>
      <c r="C3" s="21"/>
      <c r="D3" s="21"/>
      <c r="E3" s="21"/>
      <c r="F3" s="21"/>
      <c r="G3" s="21"/>
      <c r="H3" s="21"/>
      <c r="I3" s="21"/>
      <c r="J3" s="21"/>
    </row>
    <row r="4" spans="1:14">
      <c r="A4" s="19" t="s">
        <v>774</v>
      </c>
      <c r="B4" s="20" t="s">
        <v>795</v>
      </c>
      <c r="C4" s="21"/>
      <c r="D4" s="21"/>
      <c r="E4" s="21"/>
      <c r="F4" s="21"/>
      <c r="G4" s="21"/>
      <c r="H4" s="21"/>
      <c r="I4" s="21"/>
      <c r="J4" s="21"/>
    </row>
    <row r="5" spans="1:14" ht="30.75" customHeight="1">
      <c r="A5" s="118" t="s">
        <v>779</v>
      </c>
      <c r="B5" s="446" t="s">
        <v>849</v>
      </c>
      <c r="C5" s="446"/>
      <c r="D5" s="446"/>
      <c r="E5" s="446"/>
      <c r="F5" s="446"/>
      <c r="G5" s="446"/>
      <c r="H5" s="446"/>
      <c r="I5" s="446"/>
      <c r="J5" s="446"/>
    </row>
    <row r="6" spans="1:14" ht="23.25" customHeight="1">
      <c r="A6" s="19"/>
      <c r="B6" s="124" t="s">
        <v>852</v>
      </c>
      <c r="C6" s="21"/>
      <c r="D6" s="21"/>
      <c r="E6" s="21"/>
      <c r="F6" s="21"/>
      <c r="G6" s="21"/>
      <c r="H6" s="21"/>
      <c r="I6" s="21"/>
      <c r="J6" s="21"/>
    </row>
    <row r="7" spans="1:14" ht="36" customHeight="1">
      <c r="A7" s="19"/>
      <c r="B7" s="21"/>
      <c r="C7" s="21"/>
      <c r="D7" s="21"/>
      <c r="E7" s="21"/>
      <c r="F7" s="21"/>
      <c r="G7" s="21"/>
      <c r="H7" s="21"/>
      <c r="I7" s="21"/>
      <c r="J7" s="21"/>
    </row>
    <row r="8" spans="1:14" ht="15" customHeight="1">
      <c r="A8" s="19"/>
      <c r="B8" s="124" t="s">
        <v>851</v>
      </c>
      <c r="C8" s="21"/>
      <c r="D8" s="21"/>
      <c r="E8" s="21"/>
      <c r="F8" s="21"/>
      <c r="G8" s="21"/>
      <c r="H8" s="21"/>
      <c r="I8" s="21"/>
      <c r="J8" s="21"/>
    </row>
    <row r="9" spans="1:14" ht="19.5" customHeight="1">
      <c r="A9" s="19"/>
      <c r="B9" s="124"/>
      <c r="C9" s="149" t="s">
        <v>850</v>
      </c>
      <c r="D9" s="21"/>
      <c r="E9" s="21"/>
      <c r="F9" s="21"/>
      <c r="G9" s="21"/>
      <c r="H9" s="21"/>
      <c r="I9" s="21"/>
      <c r="J9" s="21"/>
    </row>
    <row r="10" spans="1:14" ht="40.5" customHeight="1">
      <c r="A10" s="22" t="s">
        <v>1090</v>
      </c>
      <c r="B10" s="22" t="s">
        <v>1098</v>
      </c>
      <c r="C10" s="22" t="s">
        <v>1099</v>
      </c>
      <c r="D10" s="31" t="s">
        <v>858</v>
      </c>
      <c r="E10" s="31" t="s">
        <v>859</v>
      </c>
      <c r="F10" s="31" t="s">
        <v>860</v>
      </c>
      <c r="G10" s="31" t="s">
        <v>861</v>
      </c>
      <c r="H10" s="22"/>
      <c r="I10" s="148"/>
      <c r="J10" s="22"/>
    </row>
    <row r="11" spans="1:14">
      <c r="A11" s="26">
        <v>32146</v>
      </c>
      <c r="B11" s="112">
        <v>6.5312999999999999</v>
      </c>
      <c r="C11" s="77">
        <v>10500</v>
      </c>
      <c r="D11" s="52"/>
      <c r="E11" s="52"/>
      <c r="F11" s="52"/>
      <c r="G11" s="52">
        <v>1000</v>
      </c>
      <c r="H11" s="28"/>
      <c r="I11" s="28"/>
      <c r="J11" s="54"/>
      <c r="K11" s="2"/>
      <c r="M11" s="2"/>
    </row>
    <row r="12" spans="1:14">
      <c r="A12" s="26">
        <v>32147</v>
      </c>
      <c r="B12" s="112">
        <v>6.5625</v>
      </c>
      <c r="C12" s="77">
        <v>6492</v>
      </c>
      <c r="D12" s="52">
        <f>B12-B11</f>
        <v>3.1200000000000117E-2</v>
      </c>
      <c r="E12" s="52">
        <f>D12/B11</f>
        <v>4.7769969225116161E-3</v>
      </c>
      <c r="F12" s="52">
        <f>E12*G11</f>
        <v>4.776996922511616</v>
      </c>
      <c r="G12" s="52">
        <f>IF(C12&lt;C11,F12+G11,G11)</f>
        <v>1004.7769969225117</v>
      </c>
      <c r="H12" s="28"/>
      <c r="I12" s="28"/>
      <c r="J12" s="54"/>
      <c r="K12" s="2"/>
      <c r="M12" s="2"/>
    </row>
    <row r="13" spans="1:14">
      <c r="A13" s="27">
        <v>32148</v>
      </c>
      <c r="B13" s="111">
        <v>6.4687999999999999</v>
      </c>
      <c r="C13" s="79">
        <v>6540</v>
      </c>
      <c r="D13" s="55">
        <f t="shared" ref="D13:D64" si="0">B13-B12</f>
        <v>-9.3700000000000117E-2</v>
      </c>
      <c r="E13" s="55">
        <f t="shared" ref="E13:E64" si="1">D13/B12</f>
        <v>-1.4278095238095256E-2</v>
      </c>
      <c r="F13" s="55">
        <f t="shared" ref="F13:F64" si="2">E13*G12</f>
        <v>-14.346301655106966</v>
      </c>
      <c r="G13" s="55">
        <f t="shared" ref="G13:G64" si="3">IF(C13&lt;C12,F13+G12,G12)</f>
        <v>1004.7769969225117</v>
      </c>
      <c r="H13" s="29"/>
      <c r="I13" s="29" t="s">
        <v>1109</v>
      </c>
      <c r="J13" s="57"/>
      <c r="K13" s="2"/>
      <c r="M13" s="2"/>
    </row>
    <row r="14" spans="1:14">
      <c r="A14" s="27">
        <v>32149</v>
      </c>
      <c r="B14" s="111">
        <v>6.4375</v>
      </c>
      <c r="C14" s="79">
        <v>8924</v>
      </c>
      <c r="D14" s="55">
        <f t="shared" si="0"/>
        <v>-3.1299999999999883E-2</v>
      </c>
      <c r="E14" s="55">
        <f t="shared" si="1"/>
        <v>-4.8386099431115331E-3</v>
      </c>
      <c r="F14" s="55">
        <f t="shared" si="2"/>
        <v>-4.8617239679190112</v>
      </c>
      <c r="G14" s="55">
        <f t="shared" si="3"/>
        <v>1004.7769969225117</v>
      </c>
      <c r="H14" s="29"/>
      <c r="J14" s="57"/>
      <c r="K14" s="2"/>
      <c r="M14" s="2"/>
    </row>
    <row r="15" spans="1:14">
      <c r="A15" s="26">
        <v>32150</v>
      </c>
      <c r="B15" s="112">
        <v>6.2187999999999999</v>
      </c>
      <c r="C15" s="77">
        <v>5416</v>
      </c>
      <c r="D15" s="52">
        <f t="shared" si="0"/>
        <v>-0.21870000000000012</v>
      </c>
      <c r="E15" s="52">
        <f t="shared" si="1"/>
        <v>-3.3972815533980599E-2</v>
      </c>
      <c r="F15" s="52">
        <f t="shared" si="2"/>
        <v>-34.135103569235483</v>
      </c>
      <c r="G15" s="52">
        <f t="shared" si="3"/>
        <v>970.64189335327615</v>
      </c>
      <c r="H15" s="28"/>
      <c r="I15" s="28"/>
      <c r="J15" s="54"/>
      <c r="K15" s="2"/>
      <c r="M15" s="2"/>
    </row>
    <row r="16" spans="1:14">
      <c r="A16" s="26">
        <v>32153</v>
      </c>
      <c r="B16" s="112">
        <v>6.25</v>
      </c>
      <c r="C16" s="77">
        <v>4588</v>
      </c>
      <c r="D16" s="52">
        <f t="shared" si="0"/>
        <v>3.1200000000000117E-2</v>
      </c>
      <c r="E16" s="52">
        <f t="shared" si="1"/>
        <v>5.0170450890847295E-3</v>
      </c>
      <c r="F16" s="52">
        <f t="shared" si="2"/>
        <v>4.8697541443079579</v>
      </c>
      <c r="G16" s="52">
        <f t="shared" si="3"/>
        <v>975.51164749758414</v>
      </c>
      <c r="H16" s="28"/>
      <c r="I16" s="28"/>
      <c r="J16" s="54"/>
      <c r="K16" s="2"/>
      <c r="M16" s="2"/>
    </row>
    <row r="17" spans="1:13">
      <c r="A17" s="27">
        <v>32154</v>
      </c>
      <c r="B17" s="111">
        <v>6.125</v>
      </c>
      <c r="C17" s="79">
        <v>16236</v>
      </c>
      <c r="D17" s="55">
        <f t="shared" si="0"/>
        <v>-0.125</v>
      </c>
      <c r="E17" s="55">
        <f t="shared" si="1"/>
        <v>-0.02</v>
      </c>
      <c r="F17" s="55">
        <f t="shared" si="2"/>
        <v>-19.510232949951682</v>
      </c>
      <c r="G17" s="55">
        <f t="shared" si="3"/>
        <v>975.51164749758414</v>
      </c>
      <c r="H17" s="29"/>
      <c r="I17" s="29"/>
      <c r="J17" s="57"/>
      <c r="K17" s="2"/>
      <c r="M17" s="2"/>
    </row>
    <row r="18" spans="1:13">
      <c r="A18" s="27">
        <v>32155</v>
      </c>
      <c r="B18" s="111">
        <v>6.1562999999999999</v>
      </c>
      <c r="C18" s="79">
        <v>2864</v>
      </c>
      <c r="D18" s="55">
        <f t="shared" si="0"/>
        <v>3.1299999999999883E-2</v>
      </c>
      <c r="E18" s="55">
        <f t="shared" si="1"/>
        <v>5.1102040816326339E-3</v>
      </c>
      <c r="F18" s="55">
        <f t="shared" si="2"/>
        <v>4.9850636027223301</v>
      </c>
      <c r="G18" s="55">
        <f t="shared" si="3"/>
        <v>980.49671110030647</v>
      </c>
      <c r="H18" s="29"/>
      <c r="I18" s="29"/>
      <c r="J18" s="57"/>
      <c r="K18" s="2"/>
      <c r="M18" s="2"/>
    </row>
    <row r="19" spans="1:13">
      <c r="A19" s="26">
        <v>32156</v>
      </c>
      <c r="B19" s="112">
        <v>6.25</v>
      </c>
      <c r="C19" s="77">
        <v>3080</v>
      </c>
      <c r="D19" s="52">
        <f t="shared" si="0"/>
        <v>9.3700000000000117E-2</v>
      </c>
      <c r="E19" s="52">
        <f t="shared" si="1"/>
        <v>1.5220180952845072E-2</v>
      </c>
      <c r="F19" s="52">
        <f t="shared" si="2"/>
        <v>14.923337366616122</v>
      </c>
      <c r="G19" s="52">
        <f t="shared" si="3"/>
        <v>980.49671110030647</v>
      </c>
      <c r="H19" s="28"/>
      <c r="I19" s="28"/>
      <c r="J19" s="54"/>
      <c r="K19" s="2"/>
      <c r="M19" s="2"/>
    </row>
    <row r="20" spans="1:13">
      <c r="A20" s="26">
        <v>32157</v>
      </c>
      <c r="B20" s="112">
        <v>6.3125</v>
      </c>
      <c r="C20" s="77">
        <v>5312</v>
      </c>
      <c r="D20" s="52">
        <f t="shared" si="0"/>
        <v>6.25E-2</v>
      </c>
      <c r="E20" s="52">
        <f t="shared" si="1"/>
        <v>0.01</v>
      </c>
      <c r="F20" s="52">
        <f t="shared" si="2"/>
        <v>9.8049671110030641</v>
      </c>
      <c r="G20" s="52">
        <f t="shared" si="3"/>
        <v>980.49671110030647</v>
      </c>
      <c r="H20" s="28"/>
      <c r="I20" s="28"/>
      <c r="J20" s="54"/>
      <c r="K20" s="2"/>
      <c r="M20" s="2"/>
    </row>
    <row r="21" spans="1:13">
      <c r="A21" s="27">
        <v>32160</v>
      </c>
      <c r="B21" s="111">
        <v>6.4687999999999999</v>
      </c>
      <c r="C21" s="79">
        <v>12456</v>
      </c>
      <c r="D21" s="55">
        <f t="shared" si="0"/>
        <v>0.15629999999999988</v>
      </c>
      <c r="E21" s="55">
        <f t="shared" si="1"/>
        <v>2.4760396039603942E-2</v>
      </c>
      <c r="F21" s="55">
        <f t="shared" si="2"/>
        <v>24.27748688237272</v>
      </c>
      <c r="G21" s="55">
        <f t="shared" si="3"/>
        <v>980.49671110030647</v>
      </c>
      <c r="H21" s="29"/>
      <c r="I21" s="29"/>
      <c r="J21" s="57"/>
      <c r="K21" s="2"/>
      <c r="M21" s="2"/>
    </row>
    <row r="22" spans="1:13">
      <c r="A22" s="27">
        <v>32161</v>
      </c>
      <c r="B22" s="111">
        <v>6.2812999999999999</v>
      </c>
      <c r="C22" s="79">
        <v>3020</v>
      </c>
      <c r="D22" s="55">
        <f t="shared" si="0"/>
        <v>-0.1875</v>
      </c>
      <c r="E22" s="55">
        <f t="shared" si="1"/>
        <v>-2.8985283205540439E-2</v>
      </c>
      <c r="F22" s="55">
        <f t="shared" si="2"/>
        <v>-28.419974853343348</v>
      </c>
      <c r="G22" s="55">
        <f t="shared" si="3"/>
        <v>952.07673624696315</v>
      </c>
      <c r="H22" s="29"/>
      <c r="I22" s="29"/>
      <c r="J22" s="57"/>
      <c r="K22" s="2"/>
      <c r="M22" s="2"/>
    </row>
    <row r="23" spans="1:13">
      <c r="A23" s="26">
        <v>32162</v>
      </c>
      <c r="B23" s="112">
        <v>6.125</v>
      </c>
      <c r="C23" s="77">
        <v>12228</v>
      </c>
      <c r="D23" s="52">
        <f t="shared" si="0"/>
        <v>-0.15629999999999988</v>
      </c>
      <c r="E23" s="52">
        <f t="shared" si="1"/>
        <v>-2.4883384012863562E-2</v>
      </c>
      <c r="F23" s="52">
        <f t="shared" si="2"/>
        <v>-23.690891037747001</v>
      </c>
      <c r="G23" s="52">
        <f t="shared" si="3"/>
        <v>952.07673624696315</v>
      </c>
      <c r="H23" s="28"/>
      <c r="I23" s="28"/>
      <c r="J23" s="54"/>
      <c r="K23" s="2"/>
      <c r="M23" s="2"/>
    </row>
    <row r="24" spans="1:13">
      <c r="A24" s="26">
        <v>32163</v>
      </c>
      <c r="B24" s="112">
        <v>6.1875</v>
      </c>
      <c r="C24" s="77">
        <v>5248</v>
      </c>
      <c r="D24" s="52">
        <f t="shared" si="0"/>
        <v>6.25E-2</v>
      </c>
      <c r="E24" s="52">
        <f t="shared" si="1"/>
        <v>1.020408163265306E-2</v>
      </c>
      <c r="F24" s="52">
        <f t="shared" si="2"/>
        <v>9.7150687372139082</v>
      </c>
      <c r="G24" s="52">
        <f t="shared" si="3"/>
        <v>961.79180498417702</v>
      </c>
      <c r="H24" s="28"/>
      <c r="I24" s="28"/>
      <c r="J24" s="54"/>
      <c r="K24" s="2"/>
      <c r="M24" s="2"/>
    </row>
    <row r="25" spans="1:13">
      <c r="A25" s="27">
        <v>32164</v>
      </c>
      <c r="B25" s="111">
        <v>6.1562999999999999</v>
      </c>
      <c r="C25" s="79">
        <v>6632</v>
      </c>
      <c r="D25" s="55">
        <f t="shared" si="0"/>
        <v>-3.1200000000000117E-2</v>
      </c>
      <c r="E25" s="55">
        <f t="shared" si="1"/>
        <v>-5.0424242424242614E-3</v>
      </c>
      <c r="F25" s="55">
        <f t="shared" si="2"/>
        <v>-4.8497623136172017</v>
      </c>
      <c r="G25" s="55">
        <f t="shared" si="3"/>
        <v>961.79180498417702</v>
      </c>
      <c r="H25" s="29" t="s">
        <v>1109</v>
      </c>
      <c r="I25" s="29"/>
      <c r="J25" s="57"/>
      <c r="K25" s="2"/>
      <c r="M25" s="2"/>
    </row>
    <row r="26" spans="1:13">
      <c r="A26" s="27">
        <v>32167</v>
      </c>
      <c r="B26" s="111">
        <v>6.2812999999999999</v>
      </c>
      <c r="C26" s="79">
        <v>4104</v>
      </c>
      <c r="D26" s="55">
        <f t="shared" si="0"/>
        <v>0.125</v>
      </c>
      <c r="E26" s="55">
        <f t="shared" si="1"/>
        <v>2.0304403619056902E-2</v>
      </c>
      <c r="F26" s="55">
        <f t="shared" si="2"/>
        <v>19.528609005899995</v>
      </c>
      <c r="G26" s="55">
        <f t="shared" si="3"/>
        <v>981.32041399007699</v>
      </c>
      <c r="H26" s="29"/>
      <c r="I26" s="29"/>
      <c r="J26" s="57"/>
      <c r="K26" s="2"/>
      <c r="M26" s="2"/>
    </row>
    <row r="27" spans="1:13">
      <c r="A27" s="26">
        <v>32168</v>
      </c>
      <c r="B27" s="112">
        <v>6.2187999999999999</v>
      </c>
      <c r="C27" s="77">
        <v>4464</v>
      </c>
      <c r="D27" s="52">
        <f t="shared" si="0"/>
        <v>-6.25E-2</v>
      </c>
      <c r="E27" s="52">
        <f t="shared" si="1"/>
        <v>-9.9501695508891468E-3</v>
      </c>
      <c r="F27" s="52">
        <f t="shared" si="2"/>
        <v>-9.7643045029499955</v>
      </c>
      <c r="G27" s="52">
        <f t="shared" si="3"/>
        <v>981.32041399007699</v>
      </c>
      <c r="H27" s="28"/>
      <c r="I27" s="28"/>
      <c r="J27" s="54"/>
      <c r="K27" s="2"/>
      <c r="M27" s="2"/>
    </row>
    <row r="28" spans="1:13">
      <c r="A28" s="26">
        <v>32169</v>
      </c>
      <c r="B28" s="112">
        <v>6.1562999999999999</v>
      </c>
      <c r="C28" s="77">
        <v>6212</v>
      </c>
      <c r="D28" s="52">
        <f t="shared" si="0"/>
        <v>-6.25E-2</v>
      </c>
      <c r="E28" s="52">
        <f t="shared" si="1"/>
        <v>-1.0050170450890848E-2</v>
      </c>
      <c r="F28" s="52">
        <f t="shared" si="2"/>
        <v>-9.8624374275390458</v>
      </c>
      <c r="G28" s="52">
        <f t="shared" si="3"/>
        <v>981.32041399007699</v>
      </c>
      <c r="H28" s="28"/>
      <c r="I28" s="28"/>
      <c r="J28" s="54"/>
      <c r="K28" s="2"/>
      <c r="M28" s="2"/>
    </row>
    <row r="29" spans="1:13">
      <c r="A29" s="27">
        <v>32170</v>
      </c>
      <c r="B29" s="111">
        <v>6.1875</v>
      </c>
      <c r="C29" s="79">
        <v>3836</v>
      </c>
      <c r="D29" s="55">
        <f t="shared" si="0"/>
        <v>3.1200000000000117E-2</v>
      </c>
      <c r="E29" s="55">
        <f t="shared" si="1"/>
        <v>5.0679791433166218E-3</v>
      </c>
      <c r="F29" s="55">
        <f t="shared" si="2"/>
        <v>4.973311391012543</v>
      </c>
      <c r="G29" s="55">
        <f t="shared" si="3"/>
        <v>986.29372538108953</v>
      </c>
      <c r="H29" s="29"/>
      <c r="I29" s="29"/>
      <c r="J29" s="57"/>
      <c r="K29" s="2"/>
      <c r="M29" s="2"/>
    </row>
    <row r="30" spans="1:13">
      <c r="A30" s="27">
        <v>32171</v>
      </c>
      <c r="B30" s="111">
        <v>6.375</v>
      </c>
      <c r="C30" s="79">
        <v>7640</v>
      </c>
      <c r="D30" s="55">
        <f t="shared" si="0"/>
        <v>0.1875</v>
      </c>
      <c r="E30" s="55">
        <f t="shared" si="1"/>
        <v>3.0303030303030304E-2</v>
      </c>
      <c r="F30" s="55">
        <f t="shared" si="2"/>
        <v>29.887688647911805</v>
      </c>
      <c r="G30" s="55">
        <f t="shared" si="3"/>
        <v>986.29372538108953</v>
      </c>
      <c r="H30" s="29"/>
      <c r="I30" s="29"/>
      <c r="J30" s="57"/>
      <c r="K30" s="2"/>
      <c r="M30" s="2"/>
    </row>
    <row r="31" spans="1:13">
      <c r="A31" s="26">
        <v>32174</v>
      </c>
      <c r="B31" s="112">
        <v>6.2812999999999999</v>
      </c>
      <c r="C31" s="77">
        <v>3544</v>
      </c>
      <c r="D31" s="52">
        <f t="shared" si="0"/>
        <v>-9.3700000000000117E-2</v>
      </c>
      <c r="E31" s="52">
        <f t="shared" si="1"/>
        <v>-1.4698039215686293E-2</v>
      </c>
      <c r="F31" s="52">
        <f t="shared" si="2"/>
        <v>-14.496583853836581</v>
      </c>
      <c r="G31" s="52">
        <f t="shared" si="3"/>
        <v>971.79714152725296</v>
      </c>
      <c r="H31" s="28"/>
      <c r="I31" s="28"/>
      <c r="J31" s="54"/>
      <c r="K31" s="2"/>
      <c r="M31" s="2"/>
    </row>
    <row r="32" spans="1:13">
      <c r="A32" s="26">
        <v>32175</v>
      </c>
      <c r="B32" s="112">
        <v>6.2812999999999999</v>
      </c>
      <c r="C32" s="77">
        <v>4660</v>
      </c>
      <c r="D32" s="52">
        <f t="shared" si="0"/>
        <v>0</v>
      </c>
      <c r="E32" s="52">
        <f t="shared" si="1"/>
        <v>0</v>
      </c>
      <c r="F32" s="52">
        <f t="shared" si="2"/>
        <v>0</v>
      </c>
      <c r="G32" s="52">
        <f t="shared" si="3"/>
        <v>971.79714152725296</v>
      </c>
      <c r="H32" s="28"/>
      <c r="I32" s="28"/>
      <c r="J32" s="54"/>
      <c r="K32" s="2"/>
      <c r="M32" s="2"/>
    </row>
    <row r="33" spans="1:13">
      <c r="A33" s="27">
        <v>32176</v>
      </c>
      <c r="B33" s="111">
        <v>6.3125</v>
      </c>
      <c r="C33" s="79">
        <v>4700</v>
      </c>
      <c r="D33" s="55">
        <f t="shared" si="0"/>
        <v>3.1200000000000117E-2</v>
      </c>
      <c r="E33" s="55">
        <f t="shared" si="1"/>
        <v>4.9671246398038807E-3</v>
      </c>
      <c r="F33" s="55">
        <f t="shared" si="2"/>
        <v>4.8270375265709973</v>
      </c>
      <c r="G33" s="55">
        <f t="shared" si="3"/>
        <v>971.79714152725296</v>
      </c>
      <c r="H33" s="29"/>
      <c r="I33" s="29"/>
      <c r="J33" s="57"/>
      <c r="K33" s="2"/>
      <c r="M33" s="2"/>
    </row>
    <row r="34" spans="1:13">
      <c r="A34" s="27">
        <v>32177</v>
      </c>
      <c r="B34" s="111">
        <v>6.2812999999999999</v>
      </c>
      <c r="C34" s="79">
        <v>9020</v>
      </c>
      <c r="D34" s="55">
        <f t="shared" si="0"/>
        <v>-3.1200000000000117E-2</v>
      </c>
      <c r="E34" s="55">
        <f t="shared" si="1"/>
        <v>-4.9425742574257612E-3</v>
      </c>
      <c r="F34" s="55">
        <f t="shared" si="2"/>
        <v>-4.8031795351525393</v>
      </c>
      <c r="G34" s="55">
        <f t="shared" si="3"/>
        <v>971.79714152725296</v>
      </c>
      <c r="H34" s="29"/>
      <c r="I34" s="29"/>
      <c r="J34" s="57"/>
      <c r="K34" s="2"/>
      <c r="M34" s="2"/>
    </row>
    <row r="35" spans="1:13">
      <c r="A35" s="26">
        <v>32178</v>
      </c>
      <c r="B35" s="112">
        <v>5.9687999999999999</v>
      </c>
      <c r="C35" s="77">
        <v>20964</v>
      </c>
      <c r="D35" s="52">
        <f t="shared" si="0"/>
        <v>-0.3125</v>
      </c>
      <c r="E35" s="52">
        <f t="shared" si="1"/>
        <v>-4.9750847754445736E-2</v>
      </c>
      <c r="F35" s="52">
        <f t="shared" si="2"/>
        <v>-48.347731636327921</v>
      </c>
      <c r="G35" s="52">
        <f t="shared" si="3"/>
        <v>971.79714152725296</v>
      </c>
      <c r="H35" s="28"/>
      <c r="I35" s="28"/>
      <c r="J35" s="54"/>
    </row>
    <row r="36" spans="1:13">
      <c r="A36" s="26">
        <v>32181</v>
      </c>
      <c r="B36" s="112">
        <v>6</v>
      </c>
      <c r="C36" s="77">
        <v>308040</v>
      </c>
      <c r="D36" s="52">
        <f t="shared" si="0"/>
        <v>3.1200000000000117E-2</v>
      </c>
      <c r="E36" s="52">
        <f t="shared" si="1"/>
        <v>5.227181342983534E-3</v>
      </c>
      <c r="F36" s="52">
        <f t="shared" si="2"/>
        <v>5.0797598873559853</v>
      </c>
      <c r="G36" s="52">
        <f t="shared" si="3"/>
        <v>971.79714152725296</v>
      </c>
      <c r="H36" s="28"/>
      <c r="I36" s="28"/>
      <c r="J36" s="54"/>
    </row>
    <row r="37" spans="1:13">
      <c r="A37" s="27">
        <v>32182</v>
      </c>
      <c r="B37" s="111">
        <v>6</v>
      </c>
      <c r="C37" s="79">
        <v>292100</v>
      </c>
      <c r="D37" s="55">
        <f t="shared" si="0"/>
        <v>0</v>
      </c>
      <c r="E37" s="55">
        <f t="shared" si="1"/>
        <v>0</v>
      </c>
      <c r="F37" s="55">
        <f t="shared" si="2"/>
        <v>0</v>
      </c>
      <c r="G37" s="55">
        <f t="shared" si="3"/>
        <v>971.79714152725296</v>
      </c>
      <c r="H37" s="29"/>
      <c r="I37" s="29"/>
      <c r="J37" s="57"/>
    </row>
    <row r="38" spans="1:13">
      <c r="A38" s="27">
        <v>32183</v>
      </c>
      <c r="B38" s="111">
        <v>6</v>
      </c>
      <c r="C38" s="79">
        <v>13612</v>
      </c>
      <c r="D38" s="55">
        <f t="shared" si="0"/>
        <v>0</v>
      </c>
      <c r="E38" s="55">
        <f t="shared" si="1"/>
        <v>0</v>
      </c>
      <c r="F38" s="55">
        <f t="shared" si="2"/>
        <v>0</v>
      </c>
      <c r="G38" s="55">
        <f t="shared" si="3"/>
        <v>971.79714152725296</v>
      </c>
      <c r="H38" s="29"/>
      <c r="I38" s="29"/>
      <c r="J38" s="57"/>
    </row>
    <row r="39" spans="1:13">
      <c r="A39" s="26">
        <v>32184</v>
      </c>
      <c r="B39" s="112">
        <v>6</v>
      </c>
      <c r="C39" s="77">
        <v>10216</v>
      </c>
      <c r="D39" s="52">
        <f t="shared" si="0"/>
        <v>0</v>
      </c>
      <c r="E39" s="52">
        <f t="shared" si="1"/>
        <v>0</v>
      </c>
      <c r="F39" s="52">
        <f t="shared" si="2"/>
        <v>0</v>
      </c>
      <c r="G39" s="52">
        <f t="shared" si="3"/>
        <v>971.79714152725296</v>
      </c>
      <c r="H39" s="28"/>
      <c r="I39" s="28"/>
      <c r="J39" s="54"/>
    </row>
    <row r="40" spans="1:13">
      <c r="A40" s="26">
        <v>32185</v>
      </c>
      <c r="B40" s="112">
        <v>6.0312999999999999</v>
      </c>
      <c r="C40" s="77">
        <v>621256</v>
      </c>
      <c r="D40" s="52">
        <f t="shared" si="0"/>
        <v>3.1299999999999883E-2</v>
      </c>
      <c r="E40" s="52">
        <f t="shared" si="1"/>
        <v>5.2166666666666472E-3</v>
      </c>
      <c r="F40" s="52">
        <f t="shared" si="2"/>
        <v>5.0695417549671511</v>
      </c>
      <c r="G40" s="52">
        <f t="shared" si="3"/>
        <v>971.79714152725296</v>
      </c>
      <c r="H40" s="28"/>
      <c r="I40" s="28"/>
      <c r="J40" s="54"/>
    </row>
    <row r="41" spans="1:13">
      <c r="A41" s="27">
        <v>32189</v>
      </c>
      <c r="B41" s="111">
        <v>6.0312999999999999</v>
      </c>
      <c r="C41" s="79">
        <v>8468</v>
      </c>
      <c r="D41" s="55">
        <f t="shared" si="0"/>
        <v>0</v>
      </c>
      <c r="E41" s="55">
        <f t="shared" si="1"/>
        <v>0</v>
      </c>
      <c r="F41" s="55">
        <f t="shared" si="2"/>
        <v>0</v>
      </c>
      <c r="G41" s="55">
        <f t="shared" si="3"/>
        <v>971.79714152725296</v>
      </c>
      <c r="H41" s="29"/>
      <c r="I41" s="29"/>
      <c r="J41" s="57"/>
    </row>
    <row r="42" spans="1:13">
      <c r="A42" s="27">
        <v>32190</v>
      </c>
      <c r="B42" s="111">
        <v>5.9687999999999999</v>
      </c>
      <c r="C42" s="79">
        <v>5624</v>
      </c>
      <c r="D42" s="55">
        <f t="shared" si="0"/>
        <v>-6.25E-2</v>
      </c>
      <c r="E42" s="55">
        <f t="shared" si="1"/>
        <v>-1.036260839288379E-2</v>
      </c>
      <c r="F42" s="55">
        <f t="shared" si="2"/>
        <v>-10.070353214970789</v>
      </c>
      <c r="G42" s="55">
        <f t="shared" si="3"/>
        <v>961.72678831228222</v>
      </c>
      <c r="H42" s="29"/>
      <c r="I42" s="29"/>
      <c r="J42" s="57"/>
    </row>
    <row r="43" spans="1:13">
      <c r="A43" s="26">
        <v>32191</v>
      </c>
      <c r="B43" s="112">
        <v>6.0312999999999999</v>
      </c>
      <c r="C43" s="77">
        <v>6052</v>
      </c>
      <c r="D43" s="52">
        <f t="shared" si="0"/>
        <v>6.25E-2</v>
      </c>
      <c r="E43" s="52">
        <f t="shared" si="1"/>
        <v>1.0471116472322746E-2</v>
      </c>
      <c r="F43" s="52">
        <f t="shared" si="2"/>
        <v>10.070353214970789</v>
      </c>
      <c r="G43" s="52">
        <f t="shared" si="3"/>
        <v>961.72678831228222</v>
      </c>
      <c r="H43" s="28"/>
      <c r="I43" s="28"/>
      <c r="J43" s="54"/>
    </row>
    <row r="44" spans="1:13">
      <c r="A44" s="26">
        <v>32192</v>
      </c>
      <c r="B44" s="112">
        <v>6.0937999999999999</v>
      </c>
      <c r="C44" s="77">
        <v>8984</v>
      </c>
      <c r="D44" s="52">
        <f t="shared" si="0"/>
        <v>6.25E-2</v>
      </c>
      <c r="E44" s="52">
        <f t="shared" si="1"/>
        <v>1.036260839288379E-2</v>
      </c>
      <c r="F44" s="52">
        <f t="shared" si="2"/>
        <v>9.9659980882260282</v>
      </c>
      <c r="G44" s="52">
        <f t="shared" si="3"/>
        <v>961.72678831228222</v>
      </c>
      <c r="H44" s="28"/>
      <c r="I44" s="28"/>
      <c r="J44" s="54"/>
    </row>
    <row r="45" spans="1:13">
      <c r="A45" s="27">
        <v>32195</v>
      </c>
      <c r="B45" s="111">
        <v>6.1875</v>
      </c>
      <c r="C45" s="79">
        <v>7220</v>
      </c>
      <c r="D45" s="55">
        <f t="shared" si="0"/>
        <v>9.3700000000000117E-2</v>
      </c>
      <c r="E45" s="55">
        <f t="shared" si="1"/>
        <v>1.5376284092027983E-2</v>
      </c>
      <c r="F45" s="55">
        <f t="shared" si="2"/>
        <v>14.787784316003309</v>
      </c>
      <c r="G45" s="55">
        <f t="shared" si="3"/>
        <v>976.51457262828558</v>
      </c>
      <c r="H45" s="29"/>
      <c r="I45" s="29"/>
      <c r="J45" s="57"/>
    </row>
    <row r="46" spans="1:13">
      <c r="A46" s="27">
        <v>32196</v>
      </c>
      <c r="B46" s="111">
        <v>6.125</v>
      </c>
      <c r="C46" s="79">
        <v>7272</v>
      </c>
      <c r="D46" s="55">
        <f t="shared" si="0"/>
        <v>-6.25E-2</v>
      </c>
      <c r="E46" s="55">
        <f t="shared" si="1"/>
        <v>-1.0101010101010102E-2</v>
      </c>
      <c r="F46" s="55">
        <f t="shared" si="2"/>
        <v>-9.8637835619018759</v>
      </c>
      <c r="G46" s="55">
        <f t="shared" si="3"/>
        <v>976.51457262828558</v>
      </c>
      <c r="H46" s="29"/>
      <c r="I46" s="29"/>
      <c r="J46" s="57"/>
    </row>
    <row r="47" spans="1:13">
      <c r="A47" s="26">
        <v>32197</v>
      </c>
      <c r="B47" s="112">
        <v>6.25</v>
      </c>
      <c r="C47" s="77">
        <v>15656</v>
      </c>
      <c r="D47" s="52">
        <f t="shared" si="0"/>
        <v>0.125</v>
      </c>
      <c r="E47" s="52">
        <f t="shared" si="1"/>
        <v>2.0408163265306121E-2</v>
      </c>
      <c r="F47" s="52">
        <f t="shared" si="2"/>
        <v>19.928868829148684</v>
      </c>
      <c r="G47" s="52">
        <f t="shared" si="3"/>
        <v>976.51457262828558</v>
      </c>
      <c r="H47" s="28"/>
      <c r="I47" s="28"/>
      <c r="J47" s="54"/>
    </row>
    <row r="48" spans="1:13">
      <c r="A48" s="26">
        <v>32198</v>
      </c>
      <c r="B48" s="112">
        <v>6.2187999999999999</v>
      </c>
      <c r="C48" s="77">
        <v>9976</v>
      </c>
      <c r="D48" s="52">
        <f t="shared" si="0"/>
        <v>-3.1200000000000117E-2</v>
      </c>
      <c r="E48" s="52">
        <f t="shared" si="1"/>
        <v>-4.992000000000019E-3</v>
      </c>
      <c r="F48" s="52">
        <f t="shared" si="2"/>
        <v>-4.8747607465604199</v>
      </c>
      <c r="G48" s="52">
        <f t="shared" si="3"/>
        <v>971.63981188172511</v>
      </c>
      <c r="H48" s="28"/>
      <c r="I48" s="28"/>
      <c r="J48" s="54"/>
    </row>
    <row r="49" spans="1:10">
      <c r="A49" s="27">
        <v>32199</v>
      </c>
      <c r="B49" s="111">
        <v>6.125</v>
      </c>
      <c r="C49" s="79">
        <v>5552</v>
      </c>
      <c r="D49" s="55">
        <f t="shared" si="0"/>
        <v>-9.3799999999999883E-2</v>
      </c>
      <c r="E49" s="55">
        <f t="shared" si="1"/>
        <v>-1.5083295812696965E-2</v>
      </c>
      <c r="F49" s="55">
        <f t="shared" si="2"/>
        <v>-14.655530706005292</v>
      </c>
      <c r="G49" s="55">
        <f t="shared" si="3"/>
        <v>956.98428117571984</v>
      </c>
      <c r="H49" s="29"/>
      <c r="I49" s="29"/>
      <c r="J49" s="57"/>
    </row>
    <row r="50" spans="1:10">
      <c r="A50" s="27">
        <v>32202</v>
      </c>
      <c r="B50" s="111">
        <v>6.0312999999999999</v>
      </c>
      <c r="C50" s="79">
        <v>6728</v>
      </c>
      <c r="D50" s="55">
        <f t="shared" si="0"/>
        <v>-9.3700000000000117E-2</v>
      </c>
      <c r="E50" s="55">
        <f t="shared" si="1"/>
        <v>-1.5297959183673488E-2</v>
      </c>
      <c r="F50" s="55">
        <f t="shared" si="2"/>
        <v>-14.639906472843274</v>
      </c>
      <c r="G50" s="55">
        <f t="shared" si="3"/>
        <v>956.98428117571984</v>
      </c>
      <c r="H50" s="29"/>
      <c r="I50" s="29"/>
      <c r="J50" s="57"/>
    </row>
    <row r="51" spans="1:10">
      <c r="A51" s="26">
        <v>32203</v>
      </c>
      <c r="B51" s="112">
        <v>6.0312999999999999</v>
      </c>
      <c r="C51" s="77">
        <v>24504</v>
      </c>
      <c r="D51" s="52">
        <f t="shared" si="0"/>
        <v>0</v>
      </c>
      <c r="E51" s="52">
        <f t="shared" si="1"/>
        <v>0</v>
      </c>
      <c r="F51" s="52">
        <f t="shared" si="2"/>
        <v>0</v>
      </c>
      <c r="G51" s="52">
        <f t="shared" si="3"/>
        <v>956.98428117571984</v>
      </c>
      <c r="H51" s="28"/>
      <c r="I51" s="28"/>
      <c r="J51" s="54"/>
    </row>
    <row r="52" spans="1:10">
      <c r="A52" s="26">
        <v>32204</v>
      </c>
      <c r="B52" s="112">
        <v>6</v>
      </c>
      <c r="C52" s="77">
        <v>14116</v>
      </c>
      <c r="D52" s="52">
        <f t="shared" si="0"/>
        <v>-3.1299999999999883E-2</v>
      </c>
      <c r="E52" s="52">
        <f t="shared" si="1"/>
        <v>-5.1895942831561822E-3</v>
      </c>
      <c r="F52" s="52">
        <f t="shared" si="2"/>
        <v>-4.9663601546598439</v>
      </c>
      <c r="G52" s="52">
        <f t="shared" si="3"/>
        <v>952.01792102106003</v>
      </c>
      <c r="H52" s="28"/>
      <c r="I52" s="28"/>
      <c r="J52" s="54"/>
    </row>
    <row r="53" spans="1:10">
      <c r="A53" s="27">
        <v>32205</v>
      </c>
      <c r="B53" s="111">
        <v>6</v>
      </c>
      <c r="C53" s="79">
        <v>8308</v>
      </c>
      <c r="D53" s="55">
        <f t="shared" si="0"/>
        <v>0</v>
      </c>
      <c r="E53" s="55">
        <f t="shared" si="1"/>
        <v>0</v>
      </c>
      <c r="F53" s="55">
        <f t="shared" si="2"/>
        <v>0</v>
      </c>
      <c r="G53" s="55">
        <f t="shared" si="3"/>
        <v>952.01792102106003</v>
      </c>
      <c r="H53" s="29"/>
      <c r="I53" s="29"/>
      <c r="J53" s="57"/>
    </row>
    <row r="54" spans="1:10">
      <c r="A54" s="27">
        <v>32206</v>
      </c>
      <c r="B54" s="111">
        <v>6</v>
      </c>
      <c r="C54" s="79">
        <v>6368</v>
      </c>
      <c r="D54" s="55">
        <f t="shared" si="0"/>
        <v>0</v>
      </c>
      <c r="E54" s="55">
        <f t="shared" si="1"/>
        <v>0</v>
      </c>
      <c r="F54" s="55">
        <f t="shared" si="2"/>
        <v>0</v>
      </c>
      <c r="G54" s="55">
        <f t="shared" si="3"/>
        <v>952.01792102106003</v>
      </c>
      <c r="H54" s="29"/>
      <c r="I54" s="29"/>
      <c r="J54" s="57"/>
    </row>
    <row r="55" spans="1:10">
      <c r="A55" s="26">
        <v>32209</v>
      </c>
      <c r="B55" s="112">
        <v>5.875</v>
      </c>
      <c r="C55" s="77">
        <v>6188</v>
      </c>
      <c r="D55" s="52">
        <f t="shared" si="0"/>
        <v>-0.125</v>
      </c>
      <c r="E55" s="52">
        <f t="shared" si="1"/>
        <v>-2.0833333333333332E-2</v>
      </c>
      <c r="F55" s="52">
        <f t="shared" si="2"/>
        <v>-19.833706687938751</v>
      </c>
      <c r="G55" s="52">
        <f t="shared" si="3"/>
        <v>932.1842143331213</v>
      </c>
      <c r="H55" s="28"/>
      <c r="I55" s="28"/>
      <c r="J55" s="54"/>
    </row>
    <row r="56" spans="1:10">
      <c r="A56" s="26">
        <v>32210</v>
      </c>
      <c r="B56" s="112">
        <v>5.9375</v>
      </c>
      <c r="C56" s="77">
        <v>16008</v>
      </c>
      <c r="D56" s="52">
        <f t="shared" si="0"/>
        <v>6.25E-2</v>
      </c>
      <c r="E56" s="52">
        <f t="shared" si="1"/>
        <v>1.0638297872340425E-2</v>
      </c>
      <c r="F56" s="52">
        <f t="shared" si="2"/>
        <v>9.9168533439693753</v>
      </c>
      <c r="G56" s="52">
        <f t="shared" si="3"/>
        <v>932.1842143331213</v>
      </c>
      <c r="H56" s="28"/>
      <c r="I56" s="28"/>
      <c r="J56" s="54"/>
    </row>
    <row r="57" spans="1:10">
      <c r="A57" s="27">
        <v>32211</v>
      </c>
      <c r="B57" s="111">
        <v>6</v>
      </c>
      <c r="C57" s="79">
        <v>15000</v>
      </c>
      <c r="D57" s="55">
        <f t="shared" si="0"/>
        <v>6.25E-2</v>
      </c>
      <c r="E57" s="55">
        <f t="shared" si="1"/>
        <v>1.0526315789473684E-2</v>
      </c>
      <c r="F57" s="55">
        <f t="shared" si="2"/>
        <v>9.8124654140328555</v>
      </c>
      <c r="G57" s="55">
        <f t="shared" si="3"/>
        <v>941.99667974715419</v>
      </c>
      <c r="H57" s="29"/>
      <c r="I57" s="29"/>
      <c r="J57" s="57"/>
    </row>
    <row r="58" spans="1:10">
      <c r="A58" s="27">
        <v>32212</v>
      </c>
      <c r="B58" s="111">
        <v>5.9687999999999999</v>
      </c>
      <c r="C58" s="79">
        <v>16164</v>
      </c>
      <c r="D58" s="55">
        <f t="shared" si="0"/>
        <v>-3.1200000000000117E-2</v>
      </c>
      <c r="E58" s="55">
        <f t="shared" si="1"/>
        <v>-5.2000000000000197E-3</v>
      </c>
      <c r="F58" s="55">
        <f t="shared" si="2"/>
        <v>-4.89838273468522</v>
      </c>
      <c r="G58" s="55">
        <f t="shared" si="3"/>
        <v>941.99667974715419</v>
      </c>
      <c r="H58" s="29"/>
      <c r="I58" s="29"/>
      <c r="J58" s="57"/>
    </row>
    <row r="59" spans="1:10">
      <c r="A59" s="26">
        <v>32213</v>
      </c>
      <c r="B59" s="112">
        <v>5.9375</v>
      </c>
      <c r="C59" s="77">
        <v>4476</v>
      </c>
      <c r="D59" s="52">
        <f t="shared" si="0"/>
        <v>-3.1299999999999883E-2</v>
      </c>
      <c r="E59" s="52">
        <f t="shared" si="1"/>
        <v>-5.2439351293392111E-3</v>
      </c>
      <c r="F59" s="52">
        <f t="shared" si="2"/>
        <v>-4.9397694806470005</v>
      </c>
      <c r="G59" s="52">
        <f t="shared" si="3"/>
        <v>937.0569102665072</v>
      </c>
      <c r="H59" s="28"/>
      <c r="I59" s="28"/>
      <c r="J59" s="54"/>
    </row>
    <row r="60" spans="1:10">
      <c r="A60" s="26">
        <v>32216</v>
      </c>
      <c r="B60" s="112">
        <v>5.9062999999999999</v>
      </c>
      <c r="C60" s="77">
        <v>5512</v>
      </c>
      <c r="D60" s="52">
        <f t="shared" si="0"/>
        <v>-3.1200000000000117E-2</v>
      </c>
      <c r="E60" s="52">
        <f t="shared" si="1"/>
        <v>-5.2547368421052825E-3</v>
      </c>
      <c r="F60" s="52">
        <f t="shared" si="2"/>
        <v>-4.9239874695267591</v>
      </c>
      <c r="G60" s="52">
        <f t="shared" si="3"/>
        <v>937.0569102665072</v>
      </c>
      <c r="H60" s="28"/>
      <c r="I60" s="28"/>
      <c r="J60" s="54"/>
    </row>
    <row r="61" spans="1:10">
      <c r="A61" s="27">
        <v>32217</v>
      </c>
      <c r="B61" s="111">
        <v>5.8437999999999999</v>
      </c>
      <c r="C61" s="79">
        <v>3516</v>
      </c>
      <c r="D61" s="55">
        <f t="shared" si="0"/>
        <v>-6.25E-2</v>
      </c>
      <c r="E61" s="55">
        <f t="shared" si="1"/>
        <v>-1.0581920999610585E-2</v>
      </c>
      <c r="F61" s="55">
        <f t="shared" si="2"/>
        <v>-9.915862196579365</v>
      </c>
      <c r="G61" s="55">
        <f t="shared" si="3"/>
        <v>927.14104806992782</v>
      </c>
      <c r="H61" s="29"/>
      <c r="I61" s="29"/>
      <c r="J61" s="57"/>
    </row>
    <row r="62" spans="1:10">
      <c r="A62" s="27">
        <v>32218</v>
      </c>
      <c r="B62" s="111">
        <v>5.8437999999999999</v>
      </c>
      <c r="C62" s="79">
        <v>6104</v>
      </c>
      <c r="D62" s="55">
        <f t="shared" si="0"/>
        <v>0</v>
      </c>
      <c r="E62" s="55">
        <f t="shared" si="1"/>
        <v>0</v>
      </c>
      <c r="F62" s="55">
        <f t="shared" si="2"/>
        <v>0</v>
      </c>
      <c r="G62" s="55">
        <f t="shared" si="3"/>
        <v>927.14104806992782</v>
      </c>
      <c r="H62" s="29"/>
      <c r="I62" s="29"/>
      <c r="J62" s="57"/>
    </row>
    <row r="63" spans="1:10">
      <c r="A63" s="26">
        <v>32219</v>
      </c>
      <c r="B63" s="112">
        <v>5.8437999999999999</v>
      </c>
      <c r="C63" s="77">
        <v>15576</v>
      </c>
      <c r="D63" s="52">
        <f t="shared" si="0"/>
        <v>0</v>
      </c>
      <c r="E63" s="52">
        <f t="shared" si="1"/>
        <v>0</v>
      </c>
      <c r="F63" s="52">
        <f t="shared" si="2"/>
        <v>0</v>
      </c>
      <c r="G63" s="52">
        <f t="shared" si="3"/>
        <v>927.14104806992782</v>
      </c>
      <c r="H63" s="28"/>
      <c r="I63" s="28"/>
      <c r="J63" s="54"/>
    </row>
    <row r="64" spans="1:10">
      <c r="A64" s="26">
        <v>32220</v>
      </c>
      <c r="B64" s="112">
        <v>5.75</v>
      </c>
      <c r="C64" s="77">
        <v>16152</v>
      </c>
      <c r="D64" s="52">
        <f t="shared" si="0"/>
        <v>-9.3799999999999883E-2</v>
      </c>
      <c r="E64" s="52">
        <f t="shared" si="1"/>
        <v>-1.6051199561928863E-2</v>
      </c>
      <c r="F64" s="52">
        <f t="shared" si="2"/>
        <v>-14.881725984626293</v>
      </c>
      <c r="G64" s="52">
        <f t="shared" si="3"/>
        <v>927.14104806992782</v>
      </c>
      <c r="H64" s="28"/>
      <c r="I64" s="28"/>
      <c r="J64" s="54"/>
    </row>
    <row r="65" spans="1:10">
      <c r="A65" s="8"/>
    </row>
    <row r="66" spans="1:10" ht="38.25" customHeight="1">
      <c r="A66" s="447" t="s">
        <v>853</v>
      </c>
      <c r="B66" s="447"/>
      <c r="C66" s="447"/>
      <c r="D66" s="447"/>
      <c r="E66" s="447"/>
      <c r="F66" s="447"/>
      <c r="G66" s="447"/>
      <c r="H66" s="447"/>
      <c r="I66" s="447"/>
      <c r="J66" s="447"/>
    </row>
    <row r="67" spans="1:10" ht="17.25" customHeight="1">
      <c r="A67" s="447" t="s">
        <v>854</v>
      </c>
      <c r="B67" s="447"/>
      <c r="C67" s="447"/>
      <c r="D67" s="447"/>
      <c r="E67" s="447"/>
      <c r="F67" s="447"/>
      <c r="G67" s="447"/>
      <c r="H67" s="447"/>
      <c r="I67" s="447"/>
      <c r="J67" s="447"/>
    </row>
    <row r="68" spans="1:10" ht="34.5" customHeight="1">
      <c r="A68" s="447" t="s">
        <v>855</v>
      </c>
      <c r="B68" s="447"/>
      <c r="C68" s="447"/>
      <c r="D68" s="447"/>
      <c r="E68" s="447"/>
      <c r="F68" s="447"/>
      <c r="G68" s="447"/>
      <c r="H68" s="447"/>
      <c r="I68" s="447"/>
      <c r="J68" s="447"/>
    </row>
    <row r="69" spans="1:10" ht="17.25" customHeight="1">
      <c r="A69" s="447" t="s">
        <v>856</v>
      </c>
      <c r="B69" s="447"/>
      <c r="C69" s="447"/>
      <c r="D69" s="447"/>
      <c r="E69" s="447"/>
      <c r="F69" s="447"/>
      <c r="G69" s="447"/>
      <c r="H69" s="447"/>
      <c r="I69" s="447"/>
      <c r="J69" s="447"/>
    </row>
    <row r="70" spans="1:10" ht="81" customHeight="1">
      <c r="A70" s="447" t="s">
        <v>857</v>
      </c>
      <c r="B70" s="447"/>
      <c r="C70" s="447"/>
      <c r="D70" s="447"/>
      <c r="E70" s="447"/>
      <c r="F70" s="447"/>
      <c r="G70" s="447"/>
      <c r="H70" s="447"/>
      <c r="I70" s="447"/>
      <c r="J70" s="447"/>
    </row>
    <row r="71" spans="1:10">
      <c r="A71" s="8"/>
    </row>
    <row r="72" spans="1:10">
      <c r="A72" s="8"/>
    </row>
    <row r="73" spans="1:10">
      <c r="A73" s="8"/>
    </row>
    <row r="74" spans="1:10">
      <c r="A74" s="8"/>
    </row>
    <row r="75" spans="1:10">
      <c r="A75" s="8"/>
    </row>
    <row r="76" spans="1:10">
      <c r="A76" s="8"/>
    </row>
    <row r="77" spans="1:10">
      <c r="A77" s="8"/>
    </row>
    <row r="78" spans="1:10">
      <c r="A78" s="8"/>
    </row>
    <row r="79" spans="1:10">
      <c r="A79" s="8"/>
    </row>
    <row r="80" spans="1:10">
      <c r="A80" s="8"/>
    </row>
    <row r="81" spans="1:1">
      <c r="A81" s="8"/>
    </row>
    <row r="82" spans="1:1">
      <c r="A82" s="8"/>
    </row>
    <row r="83" spans="1:1">
      <c r="A83" s="8"/>
    </row>
    <row r="84" spans="1:1">
      <c r="A84" s="8"/>
    </row>
    <row r="85" spans="1:1">
      <c r="A85" s="8"/>
    </row>
    <row r="86" spans="1:1">
      <c r="A86" s="8"/>
    </row>
    <row r="87" spans="1:1">
      <c r="A87" s="8"/>
    </row>
    <row r="88" spans="1:1">
      <c r="A88" s="8"/>
    </row>
    <row r="89" spans="1:1">
      <c r="A89" s="8"/>
    </row>
    <row r="90" spans="1:1">
      <c r="A90" s="8"/>
    </row>
    <row r="91" spans="1:1">
      <c r="A91" s="8"/>
    </row>
    <row r="92" spans="1:1">
      <c r="A92" s="8"/>
    </row>
    <row r="93" spans="1:1">
      <c r="A93" s="8"/>
    </row>
    <row r="94" spans="1:1">
      <c r="A94" s="8"/>
    </row>
    <row r="95" spans="1:1">
      <c r="A95" s="8"/>
    </row>
    <row r="96" spans="1:1">
      <c r="A96" s="8"/>
    </row>
    <row r="97" spans="1:1">
      <c r="A97" s="8"/>
    </row>
    <row r="98" spans="1:1">
      <c r="A98" s="8"/>
    </row>
    <row r="99" spans="1:1">
      <c r="A99" s="8"/>
    </row>
    <row r="100" spans="1:1">
      <c r="A100" s="8"/>
    </row>
    <row r="101" spans="1:1">
      <c r="A101" s="8"/>
    </row>
    <row r="102" spans="1:1">
      <c r="A102" s="8"/>
    </row>
    <row r="103" spans="1:1">
      <c r="A103" s="8"/>
    </row>
    <row r="104" spans="1:1">
      <c r="A104" s="8"/>
    </row>
    <row r="105" spans="1:1">
      <c r="A105" s="8"/>
    </row>
    <row r="106" spans="1:1">
      <c r="A106" s="8"/>
    </row>
    <row r="107" spans="1:1">
      <c r="A107" s="8"/>
    </row>
    <row r="108" spans="1:1">
      <c r="A108" s="8"/>
    </row>
    <row r="109" spans="1:1">
      <c r="A109" s="8"/>
    </row>
    <row r="110" spans="1:1">
      <c r="A110" s="8"/>
    </row>
    <row r="111" spans="1:1">
      <c r="A111" s="8"/>
    </row>
    <row r="112" spans="1:1">
      <c r="A112" s="8"/>
    </row>
    <row r="113" spans="1:1">
      <c r="A113" s="8"/>
    </row>
    <row r="114" spans="1:1">
      <c r="A114" s="8"/>
    </row>
    <row r="115" spans="1:1">
      <c r="A115" s="8"/>
    </row>
    <row r="116" spans="1:1">
      <c r="A116" s="8"/>
    </row>
    <row r="117" spans="1:1">
      <c r="A117" s="8"/>
    </row>
    <row r="118" spans="1:1">
      <c r="A118" s="8"/>
    </row>
    <row r="119" spans="1:1">
      <c r="A119" s="8"/>
    </row>
    <row r="120" spans="1:1">
      <c r="A120" s="8"/>
    </row>
    <row r="121" spans="1:1">
      <c r="A121" s="8"/>
    </row>
    <row r="122" spans="1:1">
      <c r="A122" s="8"/>
    </row>
    <row r="123" spans="1:1">
      <c r="A123" s="8"/>
    </row>
    <row r="124" spans="1:1">
      <c r="A124" s="8"/>
    </row>
    <row r="125" spans="1:1">
      <c r="A125" s="8"/>
    </row>
    <row r="126" spans="1:1">
      <c r="A126" s="8"/>
    </row>
    <row r="127" spans="1:1">
      <c r="A127" s="8"/>
    </row>
    <row r="128" spans="1:1">
      <c r="A128" s="8"/>
    </row>
    <row r="129" spans="1:1">
      <c r="A129" s="8"/>
    </row>
    <row r="130" spans="1:1">
      <c r="A130" s="8"/>
    </row>
    <row r="131" spans="1:1">
      <c r="A131" s="8"/>
    </row>
    <row r="132" spans="1:1">
      <c r="A132" s="8"/>
    </row>
    <row r="133" spans="1:1">
      <c r="A133" s="8"/>
    </row>
    <row r="134" spans="1:1">
      <c r="A134" s="8"/>
    </row>
    <row r="135" spans="1:1">
      <c r="A135" s="8"/>
    </row>
    <row r="136" spans="1:1">
      <c r="A136" s="8"/>
    </row>
    <row r="137" spans="1:1">
      <c r="A137" s="8"/>
    </row>
    <row r="138" spans="1:1">
      <c r="A138" s="8"/>
    </row>
    <row r="139" spans="1:1">
      <c r="A139" s="8"/>
    </row>
    <row r="140" spans="1:1">
      <c r="A140" s="8"/>
    </row>
    <row r="141" spans="1:1">
      <c r="A141" s="8"/>
    </row>
    <row r="142" spans="1:1">
      <c r="A142" s="8"/>
    </row>
    <row r="143" spans="1:1">
      <c r="A143" s="8"/>
    </row>
    <row r="144" spans="1:1">
      <c r="A144" s="8"/>
    </row>
    <row r="145" spans="1:1">
      <c r="A145" s="8"/>
    </row>
    <row r="146" spans="1:1">
      <c r="A146" s="8"/>
    </row>
    <row r="147" spans="1:1">
      <c r="A147" s="8"/>
    </row>
    <row r="148" spans="1:1">
      <c r="A148" s="8"/>
    </row>
    <row r="149" spans="1:1">
      <c r="A149" s="8"/>
    </row>
    <row r="150" spans="1:1">
      <c r="A150" s="8"/>
    </row>
    <row r="151" spans="1:1">
      <c r="A151" s="8"/>
    </row>
    <row r="152" spans="1:1">
      <c r="A152" s="8"/>
    </row>
    <row r="153" spans="1:1">
      <c r="A153" s="8"/>
    </row>
    <row r="154" spans="1:1">
      <c r="A154" s="8"/>
    </row>
    <row r="155" spans="1:1">
      <c r="A155" s="8"/>
    </row>
    <row r="156" spans="1:1">
      <c r="A156" s="8"/>
    </row>
    <row r="157" spans="1:1">
      <c r="A157" s="8"/>
    </row>
    <row r="158" spans="1:1">
      <c r="A158" s="8"/>
    </row>
    <row r="159" spans="1:1">
      <c r="A159" s="8"/>
    </row>
    <row r="160" spans="1:1">
      <c r="A160" s="8"/>
    </row>
    <row r="161" spans="1:1">
      <c r="A161" s="8"/>
    </row>
    <row r="162" spans="1:1">
      <c r="A162" s="8"/>
    </row>
    <row r="163" spans="1:1">
      <c r="A163" s="8"/>
    </row>
    <row r="164" spans="1:1">
      <c r="A164" s="8"/>
    </row>
    <row r="165" spans="1:1">
      <c r="A165" s="8"/>
    </row>
    <row r="166" spans="1:1">
      <c r="A166" s="8"/>
    </row>
    <row r="167" spans="1:1">
      <c r="A167" s="8"/>
    </row>
    <row r="168" spans="1:1">
      <c r="A168" s="8"/>
    </row>
    <row r="169" spans="1:1">
      <c r="A169" s="8"/>
    </row>
    <row r="170" spans="1:1">
      <c r="A170" s="8"/>
    </row>
    <row r="171" spans="1:1">
      <c r="A171" s="8"/>
    </row>
    <row r="172" spans="1:1">
      <c r="A172" s="8"/>
    </row>
    <row r="173" spans="1:1">
      <c r="A173" s="8"/>
    </row>
    <row r="174" spans="1:1">
      <c r="A174" s="8"/>
    </row>
    <row r="175" spans="1:1">
      <c r="A175" s="8"/>
    </row>
    <row r="176" spans="1:1">
      <c r="A176" s="8"/>
    </row>
    <row r="177" spans="1:1">
      <c r="A177" s="8"/>
    </row>
    <row r="178" spans="1:1">
      <c r="A178" s="8"/>
    </row>
    <row r="179" spans="1:1">
      <c r="A179" s="8"/>
    </row>
    <row r="180" spans="1:1">
      <c r="A180" s="8"/>
    </row>
    <row r="181" spans="1:1">
      <c r="A181" s="8"/>
    </row>
    <row r="182" spans="1:1">
      <c r="A182" s="8"/>
    </row>
    <row r="183" spans="1:1">
      <c r="A183" s="8"/>
    </row>
    <row r="184" spans="1:1">
      <c r="A184" s="8"/>
    </row>
    <row r="185" spans="1:1">
      <c r="A185" s="8"/>
    </row>
    <row r="186" spans="1:1">
      <c r="A186" s="8"/>
    </row>
    <row r="187" spans="1:1">
      <c r="A187" s="8"/>
    </row>
    <row r="188" spans="1:1">
      <c r="A188" s="8"/>
    </row>
    <row r="189" spans="1:1">
      <c r="A189" s="8"/>
    </row>
    <row r="190" spans="1:1">
      <c r="A190" s="8"/>
    </row>
    <row r="191" spans="1:1">
      <c r="A191" s="8"/>
    </row>
    <row r="192" spans="1:1">
      <c r="A192" s="8"/>
    </row>
    <row r="193" spans="1:1">
      <c r="A193" s="8"/>
    </row>
    <row r="194" spans="1:1">
      <c r="A194" s="8"/>
    </row>
    <row r="195" spans="1:1">
      <c r="A195" s="8"/>
    </row>
    <row r="196" spans="1:1">
      <c r="A196" s="8"/>
    </row>
    <row r="197" spans="1:1">
      <c r="A197" s="8"/>
    </row>
    <row r="198" spans="1:1">
      <c r="A198" s="8"/>
    </row>
    <row r="199" spans="1:1">
      <c r="A199" s="8"/>
    </row>
    <row r="200" spans="1:1">
      <c r="A200" s="8"/>
    </row>
    <row r="201" spans="1:1">
      <c r="A201" s="8"/>
    </row>
    <row r="202" spans="1:1">
      <c r="A202" s="8"/>
    </row>
    <row r="203" spans="1:1">
      <c r="A203" s="8"/>
    </row>
    <row r="204" spans="1:1">
      <c r="A204" s="8"/>
    </row>
    <row r="205" spans="1:1">
      <c r="A205" s="8"/>
    </row>
    <row r="206" spans="1:1">
      <c r="A206" s="8"/>
    </row>
    <row r="207" spans="1:1">
      <c r="A207" s="8"/>
    </row>
    <row r="208" spans="1:1">
      <c r="A208" s="8"/>
    </row>
    <row r="209" spans="1:1">
      <c r="A209" s="8"/>
    </row>
    <row r="210" spans="1:1">
      <c r="A210" s="8"/>
    </row>
    <row r="211" spans="1:1">
      <c r="A211" s="8"/>
    </row>
    <row r="212" spans="1:1">
      <c r="A212" s="8"/>
    </row>
    <row r="213" spans="1:1">
      <c r="A213" s="8"/>
    </row>
    <row r="214" spans="1:1">
      <c r="A214" s="8"/>
    </row>
    <row r="215" spans="1:1">
      <c r="A215" s="8"/>
    </row>
    <row r="216" spans="1:1">
      <c r="A216" s="8"/>
    </row>
    <row r="217" spans="1:1">
      <c r="A217" s="8"/>
    </row>
    <row r="218" spans="1:1">
      <c r="A218" s="8"/>
    </row>
    <row r="219" spans="1:1">
      <c r="A219" s="8"/>
    </row>
    <row r="220" spans="1:1">
      <c r="A220" s="8"/>
    </row>
    <row r="221" spans="1:1">
      <c r="A221" s="8"/>
    </row>
    <row r="222" spans="1:1">
      <c r="A222" s="8"/>
    </row>
    <row r="223" spans="1:1">
      <c r="A223" s="8"/>
    </row>
    <row r="224" spans="1:1">
      <c r="A224" s="8"/>
    </row>
    <row r="225" spans="1:1">
      <c r="A225" s="8"/>
    </row>
    <row r="226" spans="1:1">
      <c r="A226" s="8"/>
    </row>
    <row r="227" spans="1:1">
      <c r="A227" s="8"/>
    </row>
    <row r="228" spans="1:1">
      <c r="A228" s="8"/>
    </row>
    <row r="229" spans="1:1">
      <c r="A229" s="8"/>
    </row>
    <row r="230" spans="1:1">
      <c r="A230" s="8"/>
    </row>
    <row r="231" spans="1:1">
      <c r="A231" s="8"/>
    </row>
    <row r="232" spans="1:1">
      <c r="A232" s="8"/>
    </row>
    <row r="233" spans="1:1">
      <c r="A233" s="8"/>
    </row>
    <row r="234" spans="1:1">
      <c r="A234" s="8"/>
    </row>
    <row r="235" spans="1:1">
      <c r="A235" s="8"/>
    </row>
    <row r="236" spans="1:1">
      <c r="A236" s="8"/>
    </row>
    <row r="237" spans="1:1">
      <c r="A237" s="8"/>
    </row>
    <row r="238" spans="1:1">
      <c r="A238" s="8"/>
    </row>
    <row r="239" spans="1:1">
      <c r="A239" s="8"/>
    </row>
    <row r="240" spans="1:1">
      <c r="A240" s="8"/>
    </row>
    <row r="241" spans="1:1">
      <c r="A241" s="8"/>
    </row>
    <row r="242" spans="1:1">
      <c r="A242" s="8"/>
    </row>
    <row r="243" spans="1:1">
      <c r="A243" s="8"/>
    </row>
    <row r="244" spans="1:1">
      <c r="A244" s="8"/>
    </row>
    <row r="245" spans="1:1">
      <c r="A245" s="8"/>
    </row>
    <row r="246" spans="1:1">
      <c r="A246" s="8"/>
    </row>
    <row r="247" spans="1:1">
      <c r="A247" s="8"/>
    </row>
    <row r="248" spans="1:1">
      <c r="A248" s="8"/>
    </row>
    <row r="249" spans="1:1">
      <c r="A249" s="8"/>
    </row>
    <row r="250" spans="1:1">
      <c r="A250" s="8"/>
    </row>
    <row r="251" spans="1:1">
      <c r="A251" s="8"/>
    </row>
    <row r="252" spans="1:1">
      <c r="A252" s="8"/>
    </row>
    <row r="253" spans="1:1">
      <c r="A253" s="8"/>
    </row>
    <row r="254" spans="1:1">
      <c r="A254" s="8"/>
    </row>
    <row r="255" spans="1:1">
      <c r="A255" s="8"/>
    </row>
    <row r="256" spans="1:1">
      <c r="A256" s="8"/>
    </row>
    <row r="257" spans="1:1">
      <c r="A257" s="8"/>
    </row>
    <row r="258" spans="1:1">
      <c r="A258" s="8"/>
    </row>
    <row r="259" spans="1:1">
      <c r="A259" s="8"/>
    </row>
    <row r="260" spans="1:1">
      <c r="A260" s="8"/>
    </row>
    <row r="261" spans="1:1">
      <c r="A261" s="8"/>
    </row>
    <row r="262" spans="1:1">
      <c r="A262" s="8"/>
    </row>
    <row r="263" spans="1:1">
      <c r="A263" s="8"/>
    </row>
    <row r="264" spans="1:1">
      <c r="A264" s="8"/>
    </row>
    <row r="265" spans="1:1">
      <c r="A265" s="8"/>
    </row>
    <row r="266" spans="1:1">
      <c r="A266" s="8"/>
    </row>
    <row r="267" spans="1:1">
      <c r="A267" s="8"/>
    </row>
    <row r="268" spans="1:1">
      <c r="A268" s="8"/>
    </row>
    <row r="269" spans="1:1">
      <c r="A269" s="8"/>
    </row>
    <row r="270" spans="1:1">
      <c r="A270" s="8"/>
    </row>
    <row r="271" spans="1:1">
      <c r="A271" s="8"/>
    </row>
    <row r="272" spans="1:1">
      <c r="A272" s="8"/>
    </row>
    <row r="273" spans="1:1">
      <c r="A273" s="8"/>
    </row>
    <row r="274" spans="1:1">
      <c r="A274" s="8"/>
    </row>
    <row r="275" spans="1:1">
      <c r="A275" s="8"/>
    </row>
    <row r="276" spans="1:1">
      <c r="A276" s="8"/>
    </row>
    <row r="277" spans="1:1">
      <c r="A277" s="8"/>
    </row>
    <row r="278" spans="1:1">
      <c r="A278" s="8"/>
    </row>
    <row r="279" spans="1:1">
      <c r="A279" s="8"/>
    </row>
    <row r="280" spans="1:1">
      <c r="A280" s="8"/>
    </row>
    <row r="281" spans="1:1">
      <c r="A281" s="8"/>
    </row>
    <row r="282" spans="1:1">
      <c r="A282" s="8"/>
    </row>
    <row r="283" spans="1:1">
      <c r="A283" s="8"/>
    </row>
    <row r="284" spans="1:1">
      <c r="A284" s="8"/>
    </row>
    <row r="285" spans="1:1">
      <c r="A285" s="8"/>
    </row>
    <row r="286" spans="1:1">
      <c r="A286" s="8"/>
    </row>
    <row r="287" spans="1:1">
      <c r="A287" s="8"/>
    </row>
    <row r="288" spans="1:1">
      <c r="A288" s="8"/>
    </row>
    <row r="289" spans="1:1">
      <c r="A289" s="8"/>
    </row>
    <row r="290" spans="1:1">
      <c r="A290" s="8"/>
    </row>
    <row r="291" spans="1:1">
      <c r="A291" s="8"/>
    </row>
    <row r="292" spans="1:1">
      <c r="A292" s="8"/>
    </row>
    <row r="293" spans="1:1">
      <c r="A293" s="8"/>
    </row>
    <row r="294" spans="1:1">
      <c r="A294" s="8"/>
    </row>
    <row r="295" spans="1:1">
      <c r="A295" s="8"/>
    </row>
    <row r="296" spans="1:1">
      <c r="A296" s="8"/>
    </row>
    <row r="297" spans="1:1">
      <c r="A297" s="8"/>
    </row>
    <row r="298" spans="1:1">
      <c r="A298" s="8"/>
    </row>
    <row r="299" spans="1:1">
      <c r="A299" s="8"/>
    </row>
    <row r="300" spans="1:1">
      <c r="A300" s="8"/>
    </row>
    <row r="301" spans="1:1">
      <c r="A301" s="8"/>
    </row>
    <row r="302" spans="1:1">
      <c r="A302" s="8"/>
    </row>
    <row r="303" spans="1:1">
      <c r="A303" s="8"/>
    </row>
    <row r="304" spans="1:1">
      <c r="A304" s="8"/>
    </row>
    <row r="305" spans="1:1">
      <c r="A305" s="8"/>
    </row>
    <row r="306" spans="1:1">
      <c r="A306" s="8"/>
    </row>
    <row r="307" spans="1:1">
      <c r="A307" s="8"/>
    </row>
    <row r="308" spans="1:1">
      <c r="A308" s="8"/>
    </row>
    <row r="309" spans="1:1">
      <c r="A309" s="8"/>
    </row>
    <row r="310" spans="1:1">
      <c r="A310" s="8"/>
    </row>
    <row r="311" spans="1:1">
      <c r="A311" s="8"/>
    </row>
    <row r="312" spans="1:1">
      <c r="A312" s="8"/>
    </row>
    <row r="313" spans="1:1">
      <c r="A313" s="8"/>
    </row>
    <row r="314" spans="1:1">
      <c r="A314" s="8"/>
    </row>
    <row r="315" spans="1:1">
      <c r="A315" s="8"/>
    </row>
    <row r="316" spans="1:1">
      <c r="A316" s="8"/>
    </row>
    <row r="317" spans="1:1">
      <c r="A317" s="8"/>
    </row>
    <row r="318" spans="1:1">
      <c r="A318" s="8"/>
    </row>
    <row r="319" spans="1:1">
      <c r="A319" s="8"/>
    </row>
    <row r="320" spans="1:1">
      <c r="A320" s="8"/>
    </row>
    <row r="321" spans="1:1">
      <c r="A321" s="8"/>
    </row>
    <row r="322" spans="1:1">
      <c r="A322" s="8"/>
    </row>
    <row r="323" spans="1:1">
      <c r="A323" s="8"/>
    </row>
    <row r="324" spans="1:1">
      <c r="A324" s="8"/>
    </row>
    <row r="325" spans="1:1">
      <c r="A325" s="8"/>
    </row>
    <row r="326" spans="1:1">
      <c r="A326" s="8"/>
    </row>
    <row r="327" spans="1:1">
      <c r="A327" s="8"/>
    </row>
    <row r="328" spans="1:1">
      <c r="A328" s="8"/>
    </row>
    <row r="329" spans="1:1">
      <c r="A329" s="8"/>
    </row>
    <row r="330" spans="1:1">
      <c r="A330" s="8"/>
    </row>
    <row r="331" spans="1:1">
      <c r="A331" s="8"/>
    </row>
    <row r="332" spans="1:1">
      <c r="A332" s="8"/>
    </row>
    <row r="333" spans="1:1">
      <c r="A333" s="8"/>
    </row>
    <row r="334" spans="1:1">
      <c r="A334" s="8"/>
    </row>
    <row r="335" spans="1:1">
      <c r="A335" s="8"/>
    </row>
    <row r="336" spans="1:1">
      <c r="A336" s="8"/>
    </row>
    <row r="337" spans="1:1">
      <c r="A337" s="8"/>
    </row>
    <row r="338" spans="1:1">
      <c r="A338" s="8"/>
    </row>
    <row r="339" spans="1:1">
      <c r="A339" s="8"/>
    </row>
    <row r="340" spans="1:1">
      <c r="A340" s="8"/>
    </row>
    <row r="341" spans="1:1">
      <c r="A341" s="8"/>
    </row>
    <row r="342" spans="1:1">
      <c r="A342" s="8"/>
    </row>
    <row r="343" spans="1:1">
      <c r="A343" s="8"/>
    </row>
    <row r="344" spans="1:1">
      <c r="A344" s="8"/>
    </row>
    <row r="345" spans="1:1">
      <c r="A345" s="8"/>
    </row>
    <row r="346" spans="1:1">
      <c r="A346" s="8"/>
    </row>
    <row r="347" spans="1:1">
      <c r="A347" s="8"/>
    </row>
    <row r="348" spans="1:1">
      <c r="A348" s="8"/>
    </row>
    <row r="349" spans="1:1">
      <c r="A349" s="8"/>
    </row>
    <row r="350" spans="1:1">
      <c r="A350" s="8"/>
    </row>
    <row r="351" spans="1:1">
      <c r="A351" s="8"/>
    </row>
    <row r="352" spans="1:1">
      <c r="A352" s="8"/>
    </row>
    <row r="353" spans="1:1">
      <c r="A353" s="8"/>
    </row>
    <row r="354" spans="1:1">
      <c r="A354" s="8"/>
    </row>
    <row r="355" spans="1:1">
      <c r="A355" s="8"/>
    </row>
    <row r="356" spans="1:1">
      <c r="A356" s="8"/>
    </row>
    <row r="357" spans="1:1">
      <c r="A357" s="8"/>
    </row>
    <row r="358" spans="1:1">
      <c r="A358" s="8"/>
    </row>
    <row r="359" spans="1:1">
      <c r="A359" s="8"/>
    </row>
    <row r="360" spans="1:1">
      <c r="A360" s="8"/>
    </row>
    <row r="361" spans="1:1">
      <c r="A361" s="8"/>
    </row>
    <row r="362" spans="1:1">
      <c r="A362" s="8"/>
    </row>
    <row r="363" spans="1:1">
      <c r="A363" s="8"/>
    </row>
    <row r="364" spans="1:1">
      <c r="A364" s="8"/>
    </row>
    <row r="365" spans="1:1">
      <c r="A365" s="8"/>
    </row>
    <row r="366" spans="1:1">
      <c r="A366" s="8"/>
    </row>
    <row r="367" spans="1:1">
      <c r="A367" s="8"/>
    </row>
    <row r="368" spans="1:1">
      <c r="A368" s="8"/>
    </row>
    <row r="369" spans="1:1">
      <c r="A369" s="8"/>
    </row>
    <row r="370" spans="1:1">
      <c r="A370" s="8"/>
    </row>
    <row r="371" spans="1:1">
      <c r="A371" s="8"/>
    </row>
    <row r="372" spans="1:1">
      <c r="A372" s="8"/>
    </row>
    <row r="373" spans="1:1">
      <c r="A373" s="8"/>
    </row>
    <row r="374" spans="1:1">
      <c r="A374" s="8"/>
    </row>
    <row r="375" spans="1:1">
      <c r="A375" s="8"/>
    </row>
    <row r="376" spans="1:1">
      <c r="A376" s="8"/>
    </row>
    <row r="377" spans="1:1">
      <c r="A377" s="8"/>
    </row>
    <row r="378" spans="1:1">
      <c r="A378" s="8"/>
    </row>
    <row r="379" spans="1:1">
      <c r="A379" s="8"/>
    </row>
    <row r="380" spans="1:1">
      <c r="A380" s="8"/>
    </row>
    <row r="381" spans="1:1">
      <c r="A381" s="8"/>
    </row>
    <row r="382" spans="1:1">
      <c r="A382" s="8"/>
    </row>
    <row r="383" spans="1:1">
      <c r="A383" s="8"/>
    </row>
    <row r="384" spans="1:1">
      <c r="A384" s="8"/>
    </row>
    <row r="385" spans="1:1">
      <c r="A385" s="8"/>
    </row>
    <row r="386" spans="1:1">
      <c r="A386" s="8"/>
    </row>
    <row r="387" spans="1:1">
      <c r="A387" s="8"/>
    </row>
    <row r="388" spans="1:1">
      <c r="A388" s="8"/>
    </row>
    <row r="389" spans="1:1">
      <c r="A389" s="8"/>
    </row>
    <row r="390" spans="1:1">
      <c r="A390" s="8"/>
    </row>
    <row r="391" spans="1:1">
      <c r="A391" s="8"/>
    </row>
    <row r="392" spans="1:1">
      <c r="A392" s="8"/>
    </row>
    <row r="393" spans="1:1">
      <c r="A393" s="8"/>
    </row>
    <row r="394" spans="1:1">
      <c r="A394" s="8"/>
    </row>
    <row r="395" spans="1:1">
      <c r="A395" s="8"/>
    </row>
    <row r="396" spans="1:1">
      <c r="A396" s="8"/>
    </row>
    <row r="397" spans="1:1">
      <c r="A397" s="8"/>
    </row>
    <row r="398" spans="1:1">
      <c r="A398" s="8"/>
    </row>
    <row r="399" spans="1:1">
      <c r="A399" s="8"/>
    </row>
    <row r="400" spans="1:1">
      <c r="A400" s="8"/>
    </row>
    <row r="401" spans="1:1">
      <c r="A401" s="8"/>
    </row>
    <row r="402" spans="1:1">
      <c r="A402" s="8"/>
    </row>
    <row r="403" spans="1:1">
      <c r="A403" s="8"/>
    </row>
    <row r="404" spans="1:1">
      <c r="A404" s="8"/>
    </row>
    <row r="405" spans="1:1">
      <c r="A405" s="8"/>
    </row>
    <row r="406" spans="1:1">
      <c r="A406" s="8"/>
    </row>
    <row r="407" spans="1:1">
      <c r="A407" s="8"/>
    </row>
    <row r="408" spans="1:1">
      <c r="A408" s="8"/>
    </row>
    <row r="409" spans="1:1">
      <c r="A409" s="8"/>
    </row>
    <row r="410" spans="1:1">
      <c r="A410" s="8"/>
    </row>
    <row r="411" spans="1:1">
      <c r="A411" s="8"/>
    </row>
    <row r="412" spans="1:1">
      <c r="A412" s="8"/>
    </row>
    <row r="413" spans="1:1">
      <c r="A413" s="8"/>
    </row>
    <row r="414" spans="1:1">
      <c r="A414" s="8"/>
    </row>
    <row r="415" spans="1:1">
      <c r="A415" s="8"/>
    </row>
    <row r="416" spans="1:1">
      <c r="A416" s="8"/>
    </row>
    <row r="417" spans="1:1">
      <c r="A417" s="8"/>
    </row>
    <row r="418" spans="1:1">
      <c r="A418" s="8"/>
    </row>
    <row r="419" spans="1:1">
      <c r="A419" s="8"/>
    </row>
    <row r="420" spans="1:1">
      <c r="A420" s="8"/>
    </row>
    <row r="421" spans="1:1">
      <c r="A421" s="8"/>
    </row>
    <row r="422" spans="1:1">
      <c r="A422" s="8"/>
    </row>
    <row r="423" spans="1:1">
      <c r="A423" s="8"/>
    </row>
    <row r="424" spans="1:1">
      <c r="A424" s="8"/>
    </row>
    <row r="425" spans="1:1">
      <c r="A425" s="8"/>
    </row>
    <row r="426" spans="1:1">
      <c r="A426" s="8"/>
    </row>
    <row r="427" spans="1:1">
      <c r="A427" s="8"/>
    </row>
    <row r="428" spans="1:1">
      <c r="A428" s="8"/>
    </row>
    <row r="429" spans="1:1">
      <c r="A429" s="8"/>
    </row>
    <row r="430" spans="1:1">
      <c r="A430" s="8"/>
    </row>
    <row r="431" spans="1:1">
      <c r="A431" s="8"/>
    </row>
    <row r="432" spans="1:1">
      <c r="A432" s="8"/>
    </row>
    <row r="433" spans="1:1">
      <c r="A433" s="8"/>
    </row>
    <row r="434" spans="1:1">
      <c r="A434" s="8"/>
    </row>
    <row r="435" spans="1:1">
      <c r="A435" s="8"/>
    </row>
    <row r="436" spans="1:1">
      <c r="A436" s="8"/>
    </row>
    <row r="437" spans="1:1">
      <c r="A437" s="8"/>
    </row>
    <row r="438" spans="1:1">
      <c r="A438" s="8"/>
    </row>
    <row r="439" spans="1:1">
      <c r="A439" s="8"/>
    </row>
    <row r="440" spans="1:1">
      <c r="A440" s="8"/>
    </row>
    <row r="441" spans="1:1">
      <c r="A441" s="8"/>
    </row>
    <row r="442" spans="1:1">
      <c r="A442" s="8"/>
    </row>
    <row r="443" spans="1:1">
      <c r="A443" s="8"/>
    </row>
    <row r="444" spans="1:1">
      <c r="A444" s="8"/>
    </row>
    <row r="445" spans="1:1">
      <c r="A445" s="8"/>
    </row>
    <row r="446" spans="1:1">
      <c r="A446" s="8"/>
    </row>
    <row r="447" spans="1:1">
      <c r="A447" s="8"/>
    </row>
    <row r="448" spans="1:1">
      <c r="A448" s="8"/>
    </row>
    <row r="449" spans="1:1">
      <c r="A449" s="8"/>
    </row>
    <row r="450" spans="1:1">
      <c r="A450" s="8"/>
    </row>
    <row r="451" spans="1:1">
      <c r="A451" s="8"/>
    </row>
    <row r="452" spans="1:1">
      <c r="A452" s="8"/>
    </row>
    <row r="453" spans="1:1">
      <c r="A453" s="8"/>
    </row>
    <row r="454" spans="1:1">
      <c r="A454" s="8"/>
    </row>
    <row r="455" spans="1:1">
      <c r="A455" s="8"/>
    </row>
    <row r="456" spans="1:1">
      <c r="A456" s="8"/>
    </row>
    <row r="457" spans="1:1">
      <c r="A457" s="8"/>
    </row>
    <row r="458" spans="1:1">
      <c r="A458" s="8"/>
    </row>
    <row r="459" spans="1:1">
      <c r="A459" s="8"/>
    </row>
    <row r="460" spans="1:1">
      <c r="A460" s="8"/>
    </row>
    <row r="461" spans="1:1">
      <c r="A461" s="8"/>
    </row>
    <row r="462" spans="1:1">
      <c r="A462" s="8"/>
    </row>
    <row r="463" spans="1:1">
      <c r="A463" s="8"/>
    </row>
    <row r="464" spans="1:1">
      <c r="A464" s="8"/>
    </row>
    <row r="465" spans="1:1">
      <c r="A465" s="8"/>
    </row>
    <row r="466" spans="1:1">
      <c r="A466" s="8"/>
    </row>
    <row r="467" spans="1:1">
      <c r="A467" s="8"/>
    </row>
    <row r="468" spans="1:1">
      <c r="A468" s="8"/>
    </row>
    <row r="469" spans="1:1">
      <c r="A469" s="8"/>
    </row>
    <row r="470" spans="1:1">
      <c r="A470" s="8"/>
    </row>
    <row r="471" spans="1:1">
      <c r="A471" s="8"/>
    </row>
    <row r="472" spans="1:1">
      <c r="A472" s="8"/>
    </row>
    <row r="473" spans="1:1">
      <c r="A473" s="8"/>
    </row>
    <row r="474" spans="1:1">
      <c r="A474" s="8"/>
    </row>
    <row r="475" spans="1:1">
      <c r="A475" s="8"/>
    </row>
    <row r="476" spans="1:1">
      <c r="A476" s="8"/>
    </row>
    <row r="477" spans="1:1">
      <c r="A477" s="8"/>
    </row>
    <row r="478" spans="1:1">
      <c r="A478" s="8"/>
    </row>
    <row r="479" spans="1:1">
      <c r="A479" s="8"/>
    </row>
    <row r="480" spans="1:1">
      <c r="A480" s="8"/>
    </row>
    <row r="481" spans="1:1">
      <c r="A481" s="8"/>
    </row>
    <row r="482" spans="1:1">
      <c r="A482" s="8"/>
    </row>
    <row r="483" spans="1:1">
      <c r="A483" s="8"/>
    </row>
    <row r="484" spans="1:1">
      <c r="A484" s="8"/>
    </row>
    <row r="485" spans="1:1">
      <c r="A485" s="8"/>
    </row>
    <row r="486" spans="1:1">
      <c r="A486" s="8"/>
    </row>
    <row r="487" spans="1:1">
      <c r="A487" s="8"/>
    </row>
    <row r="488" spans="1:1">
      <c r="A488" s="8"/>
    </row>
    <row r="489" spans="1:1">
      <c r="A489" s="8"/>
    </row>
    <row r="490" spans="1:1">
      <c r="A490" s="8"/>
    </row>
    <row r="491" spans="1:1">
      <c r="A491" s="8"/>
    </row>
    <row r="492" spans="1:1">
      <c r="A492" s="8"/>
    </row>
    <row r="493" spans="1:1">
      <c r="A493" s="8"/>
    </row>
    <row r="494" spans="1:1">
      <c r="A494" s="8"/>
    </row>
    <row r="495" spans="1:1">
      <c r="A495" s="8"/>
    </row>
    <row r="496" spans="1:1">
      <c r="A496" s="8"/>
    </row>
    <row r="497" spans="1:1">
      <c r="A497" s="8"/>
    </row>
    <row r="498" spans="1:1">
      <c r="A498" s="8"/>
    </row>
    <row r="499" spans="1:1">
      <c r="A499" s="8"/>
    </row>
    <row r="500" spans="1:1">
      <c r="A500" s="8"/>
    </row>
    <row r="501" spans="1:1">
      <c r="A501" s="8"/>
    </row>
    <row r="502" spans="1:1">
      <c r="A502" s="8"/>
    </row>
    <row r="503" spans="1:1">
      <c r="A503" s="8"/>
    </row>
    <row r="504" spans="1:1">
      <c r="A504" s="8"/>
    </row>
    <row r="505" spans="1:1">
      <c r="A505" s="8"/>
    </row>
    <row r="506" spans="1:1">
      <c r="A506" s="8"/>
    </row>
    <row r="507" spans="1:1">
      <c r="A507" s="8"/>
    </row>
    <row r="508" spans="1:1">
      <c r="A508" s="8"/>
    </row>
    <row r="509" spans="1:1">
      <c r="A509" s="8"/>
    </row>
    <row r="510" spans="1:1">
      <c r="A510" s="8"/>
    </row>
    <row r="511" spans="1:1">
      <c r="A511" s="8"/>
    </row>
    <row r="512" spans="1:1">
      <c r="A512" s="8"/>
    </row>
    <row r="513" spans="1:1">
      <c r="A513" s="8"/>
    </row>
    <row r="514" spans="1:1">
      <c r="A514" s="8"/>
    </row>
    <row r="515" spans="1:1">
      <c r="A515" s="8"/>
    </row>
    <row r="516" spans="1:1">
      <c r="A516" s="8"/>
    </row>
    <row r="517" spans="1:1">
      <c r="A517" s="8"/>
    </row>
    <row r="518" spans="1:1">
      <c r="A518" s="8"/>
    </row>
    <row r="519" spans="1:1">
      <c r="A519" s="8"/>
    </row>
    <row r="520" spans="1:1">
      <c r="A520" s="8"/>
    </row>
    <row r="521" spans="1:1">
      <c r="A521" s="8"/>
    </row>
    <row r="522" spans="1:1">
      <c r="A522" s="8"/>
    </row>
    <row r="523" spans="1:1">
      <c r="A523" s="8"/>
    </row>
    <row r="524" spans="1:1">
      <c r="A524" s="8"/>
    </row>
    <row r="525" spans="1:1">
      <c r="A525" s="8"/>
    </row>
    <row r="526" spans="1:1">
      <c r="A526" s="8"/>
    </row>
    <row r="527" spans="1:1">
      <c r="A527" s="8"/>
    </row>
    <row r="528" spans="1:1">
      <c r="A528" s="8"/>
    </row>
    <row r="529" spans="1:1">
      <c r="A529" s="8"/>
    </row>
    <row r="530" spans="1:1">
      <c r="A530" s="8"/>
    </row>
    <row r="531" spans="1:1">
      <c r="A531" s="8"/>
    </row>
    <row r="532" spans="1:1">
      <c r="A532" s="8"/>
    </row>
    <row r="533" spans="1:1">
      <c r="A533" s="8"/>
    </row>
    <row r="534" spans="1:1">
      <c r="A534" s="8"/>
    </row>
    <row r="535" spans="1:1">
      <c r="A535" s="8"/>
    </row>
    <row r="536" spans="1:1">
      <c r="A536" s="8"/>
    </row>
    <row r="537" spans="1:1">
      <c r="A537" s="8"/>
    </row>
    <row r="538" spans="1:1">
      <c r="A538" s="8"/>
    </row>
    <row r="539" spans="1:1">
      <c r="A539" s="8"/>
    </row>
    <row r="540" spans="1:1">
      <c r="A540" s="8"/>
    </row>
    <row r="541" spans="1:1">
      <c r="A541" s="8"/>
    </row>
    <row r="542" spans="1:1">
      <c r="A542" s="8"/>
    </row>
    <row r="543" spans="1:1">
      <c r="A543" s="8"/>
    </row>
    <row r="544" spans="1:1">
      <c r="A544" s="8"/>
    </row>
    <row r="545" spans="1:1">
      <c r="A545" s="8"/>
    </row>
    <row r="546" spans="1:1">
      <c r="A546" s="8"/>
    </row>
    <row r="547" spans="1:1">
      <c r="A547" s="8"/>
    </row>
    <row r="548" spans="1:1">
      <c r="A548" s="8"/>
    </row>
    <row r="549" spans="1:1">
      <c r="A549" s="8"/>
    </row>
    <row r="550" spans="1:1">
      <c r="A550" s="8"/>
    </row>
    <row r="551" spans="1:1">
      <c r="A551" s="8"/>
    </row>
    <row r="552" spans="1:1">
      <c r="A552" s="8"/>
    </row>
    <row r="553" spans="1:1">
      <c r="A553" s="8"/>
    </row>
    <row r="554" spans="1:1">
      <c r="A554" s="8"/>
    </row>
    <row r="555" spans="1:1">
      <c r="A555" s="8"/>
    </row>
    <row r="556" spans="1:1">
      <c r="A556" s="8"/>
    </row>
    <row r="557" spans="1:1">
      <c r="A557" s="8"/>
    </row>
    <row r="558" spans="1:1">
      <c r="A558" s="8"/>
    </row>
    <row r="559" spans="1:1">
      <c r="A559" s="8"/>
    </row>
    <row r="560" spans="1:1">
      <c r="A560" s="8"/>
    </row>
    <row r="561" spans="1:1">
      <c r="A561" s="8"/>
    </row>
    <row r="562" spans="1:1">
      <c r="A562" s="8"/>
    </row>
    <row r="563" spans="1:1">
      <c r="A563" s="8"/>
    </row>
    <row r="564" spans="1:1">
      <c r="A564" s="8"/>
    </row>
    <row r="565" spans="1:1">
      <c r="A565" s="8"/>
    </row>
    <row r="566" spans="1:1">
      <c r="A566" s="8"/>
    </row>
    <row r="567" spans="1:1">
      <c r="A567" s="8"/>
    </row>
    <row r="568" spans="1:1">
      <c r="A568" s="8"/>
    </row>
    <row r="569" spans="1:1">
      <c r="A569" s="8"/>
    </row>
    <row r="570" spans="1:1">
      <c r="A570" s="8"/>
    </row>
    <row r="571" spans="1:1">
      <c r="A571" s="8"/>
    </row>
    <row r="572" spans="1:1">
      <c r="A572" s="8"/>
    </row>
    <row r="573" spans="1:1">
      <c r="A573" s="8"/>
    </row>
    <row r="574" spans="1:1">
      <c r="A574" s="8"/>
    </row>
    <row r="575" spans="1:1">
      <c r="A575" s="8"/>
    </row>
    <row r="576" spans="1:1">
      <c r="A576" s="8"/>
    </row>
    <row r="577" spans="1:1">
      <c r="A577" s="8"/>
    </row>
    <row r="578" spans="1:1">
      <c r="A578" s="8"/>
    </row>
    <row r="579" spans="1:1">
      <c r="A579" s="8"/>
    </row>
    <row r="580" spans="1:1">
      <c r="A580" s="8"/>
    </row>
    <row r="581" spans="1:1">
      <c r="A581" s="8"/>
    </row>
    <row r="582" spans="1:1">
      <c r="A582" s="8"/>
    </row>
    <row r="583" spans="1:1">
      <c r="A583" s="8"/>
    </row>
    <row r="584" spans="1:1">
      <c r="A584" s="8"/>
    </row>
    <row r="585" spans="1:1">
      <c r="A585" s="8"/>
    </row>
    <row r="586" spans="1:1">
      <c r="A586" s="8"/>
    </row>
    <row r="587" spans="1:1">
      <c r="A587" s="8"/>
    </row>
    <row r="588" spans="1:1">
      <c r="A588" s="8"/>
    </row>
    <row r="589" spans="1:1">
      <c r="A589" s="8"/>
    </row>
    <row r="590" spans="1:1">
      <c r="A590" s="8"/>
    </row>
    <row r="591" spans="1:1">
      <c r="A591" s="8"/>
    </row>
    <row r="592" spans="1:1">
      <c r="A592" s="8"/>
    </row>
    <row r="593" spans="1:1">
      <c r="A593" s="8"/>
    </row>
    <row r="594" spans="1:1">
      <c r="A594" s="8"/>
    </row>
    <row r="595" spans="1:1">
      <c r="A595" s="8"/>
    </row>
    <row r="596" spans="1:1">
      <c r="A596" s="8"/>
    </row>
    <row r="597" spans="1:1">
      <c r="A597" s="8"/>
    </row>
    <row r="598" spans="1:1">
      <c r="A598" s="8"/>
    </row>
    <row r="599" spans="1:1">
      <c r="A599" s="8"/>
    </row>
    <row r="600" spans="1:1">
      <c r="A600" s="8"/>
    </row>
    <row r="601" spans="1:1">
      <c r="A601" s="8"/>
    </row>
    <row r="602" spans="1:1">
      <c r="A602" s="8"/>
    </row>
    <row r="603" spans="1:1">
      <c r="A603" s="8"/>
    </row>
    <row r="604" spans="1:1">
      <c r="A604" s="8"/>
    </row>
    <row r="605" spans="1:1">
      <c r="A605" s="8"/>
    </row>
    <row r="606" spans="1:1">
      <c r="A606" s="8"/>
    </row>
    <row r="607" spans="1:1">
      <c r="A607" s="8"/>
    </row>
    <row r="608" spans="1:1">
      <c r="A608" s="8"/>
    </row>
    <row r="609" spans="1:1">
      <c r="A609" s="8"/>
    </row>
    <row r="610" spans="1:1">
      <c r="A610" s="8"/>
    </row>
    <row r="611" spans="1:1">
      <c r="A611" s="8"/>
    </row>
    <row r="612" spans="1:1">
      <c r="A612" s="8"/>
    </row>
    <row r="613" spans="1:1">
      <c r="A613" s="8"/>
    </row>
    <row r="614" spans="1:1">
      <c r="A614" s="8"/>
    </row>
    <row r="615" spans="1:1">
      <c r="A615" s="8"/>
    </row>
    <row r="616" spans="1:1">
      <c r="A616" s="8"/>
    </row>
    <row r="617" spans="1:1">
      <c r="A617" s="8"/>
    </row>
    <row r="618" spans="1:1">
      <c r="A618" s="8"/>
    </row>
    <row r="619" spans="1:1">
      <c r="A619" s="8"/>
    </row>
    <row r="620" spans="1:1">
      <c r="A620" s="8"/>
    </row>
    <row r="621" spans="1:1">
      <c r="A621" s="8"/>
    </row>
    <row r="622" spans="1:1">
      <c r="A622" s="8"/>
    </row>
    <row r="623" spans="1:1">
      <c r="A623" s="8"/>
    </row>
    <row r="624" spans="1:1">
      <c r="A624" s="8"/>
    </row>
    <row r="625" spans="1:1">
      <c r="A625" s="8"/>
    </row>
    <row r="626" spans="1:1">
      <c r="A626" s="8"/>
    </row>
    <row r="627" spans="1:1">
      <c r="A627" s="8"/>
    </row>
    <row r="628" spans="1:1">
      <c r="A628" s="8"/>
    </row>
    <row r="629" spans="1:1">
      <c r="A629" s="8"/>
    </row>
    <row r="630" spans="1:1">
      <c r="A630" s="8"/>
    </row>
    <row r="631" spans="1:1">
      <c r="A631" s="8"/>
    </row>
    <row r="632" spans="1:1">
      <c r="A632" s="8"/>
    </row>
    <row r="633" spans="1:1">
      <c r="A633" s="8"/>
    </row>
    <row r="634" spans="1:1">
      <c r="A634" s="8"/>
    </row>
    <row r="635" spans="1:1">
      <c r="A635" s="8"/>
    </row>
    <row r="636" spans="1:1">
      <c r="A636" s="8"/>
    </row>
    <row r="637" spans="1:1">
      <c r="A637" s="8"/>
    </row>
    <row r="638" spans="1:1">
      <c r="A638" s="8"/>
    </row>
    <row r="639" spans="1:1">
      <c r="A639" s="8"/>
    </row>
    <row r="640" spans="1:1">
      <c r="A640" s="8"/>
    </row>
    <row r="641" spans="1:1">
      <c r="A641" s="8"/>
    </row>
    <row r="642" spans="1:1">
      <c r="A642" s="8"/>
    </row>
    <row r="643" spans="1:1">
      <c r="A643" s="8"/>
    </row>
    <row r="644" spans="1:1">
      <c r="A644" s="8"/>
    </row>
    <row r="645" spans="1:1">
      <c r="A645" s="8"/>
    </row>
    <row r="646" spans="1:1">
      <c r="A646" s="8"/>
    </row>
    <row r="647" spans="1:1">
      <c r="A647" s="8"/>
    </row>
    <row r="648" spans="1:1">
      <c r="A648" s="8"/>
    </row>
    <row r="649" spans="1:1">
      <c r="A649" s="8"/>
    </row>
    <row r="650" spans="1:1">
      <c r="A650" s="8"/>
    </row>
    <row r="651" spans="1:1">
      <c r="A651" s="8"/>
    </row>
    <row r="652" spans="1:1">
      <c r="A652" s="8"/>
    </row>
    <row r="653" spans="1:1">
      <c r="A653" s="8"/>
    </row>
    <row r="654" spans="1:1">
      <c r="A654" s="8"/>
    </row>
    <row r="655" spans="1:1">
      <c r="A655" s="8"/>
    </row>
    <row r="656" spans="1:1">
      <c r="A656" s="8"/>
    </row>
    <row r="657" spans="1:1">
      <c r="A657" s="8"/>
    </row>
    <row r="658" spans="1:1">
      <c r="A658" s="8"/>
    </row>
    <row r="659" spans="1:1">
      <c r="A659" s="8"/>
    </row>
    <row r="660" spans="1:1">
      <c r="A660" s="8"/>
    </row>
    <row r="661" spans="1:1">
      <c r="A661" s="8"/>
    </row>
    <row r="662" spans="1:1">
      <c r="A662" s="8"/>
    </row>
    <row r="663" spans="1:1">
      <c r="A663" s="8"/>
    </row>
    <row r="664" spans="1:1">
      <c r="A664" s="8"/>
    </row>
    <row r="665" spans="1:1">
      <c r="A665" s="8"/>
    </row>
    <row r="666" spans="1:1">
      <c r="A666" s="8"/>
    </row>
    <row r="667" spans="1:1">
      <c r="A667" s="8"/>
    </row>
    <row r="668" spans="1:1">
      <c r="A668" s="8"/>
    </row>
    <row r="669" spans="1:1">
      <c r="A669" s="8"/>
    </row>
    <row r="670" spans="1:1">
      <c r="A670" s="8"/>
    </row>
    <row r="671" spans="1:1">
      <c r="A671" s="8"/>
    </row>
    <row r="672" spans="1:1">
      <c r="A672" s="8"/>
    </row>
    <row r="673" spans="1:1">
      <c r="A673" s="8"/>
    </row>
    <row r="674" spans="1:1">
      <c r="A674" s="8"/>
    </row>
    <row r="675" spans="1:1">
      <c r="A675" s="8"/>
    </row>
    <row r="676" spans="1:1">
      <c r="A676" s="8"/>
    </row>
    <row r="677" spans="1:1">
      <c r="A677" s="8"/>
    </row>
    <row r="678" spans="1:1">
      <c r="A678" s="8"/>
    </row>
    <row r="679" spans="1:1">
      <c r="A679" s="8"/>
    </row>
    <row r="680" spans="1:1">
      <c r="A680" s="8"/>
    </row>
    <row r="681" spans="1:1">
      <c r="A681" s="8"/>
    </row>
    <row r="682" spans="1:1">
      <c r="A682" s="8"/>
    </row>
    <row r="683" spans="1:1">
      <c r="A683" s="8"/>
    </row>
    <row r="684" spans="1:1">
      <c r="A684" s="8"/>
    </row>
    <row r="685" spans="1:1">
      <c r="A685" s="8"/>
    </row>
    <row r="686" spans="1:1">
      <c r="A686" s="8"/>
    </row>
    <row r="687" spans="1:1">
      <c r="A687" s="8"/>
    </row>
    <row r="688" spans="1:1">
      <c r="A688" s="8"/>
    </row>
    <row r="689" spans="1:1">
      <c r="A689" s="8"/>
    </row>
    <row r="690" spans="1:1">
      <c r="A690" s="8"/>
    </row>
    <row r="691" spans="1:1">
      <c r="A691" s="8"/>
    </row>
    <row r="692" spans="1:1">
      <c r="A692" s="8"/>
    </row>
    <row r="693" spans="1:1">
      <c r="A693" s="8"/>
    </row>
    <row r="694" spans="1:1">
      <c r="A694" s="8"/>
    </row>
    <row r="695" spans="1:1">
      <c r="A695" s="8"/>
    </row>
    <row r="696" spans="1:1">
      <c r="A696" s="8"/>
    </row>
    <row r="697" spans="1:1">
      <c r="A697" s="8"/>
    </row>
    <row r="698" spans="1:1">
      <c r="A698" s="8"/>
    </row>
    <row r="699" spans="1:1">
      <c r="A699" s="8"/>
    </row>
    <row r="700" spans="1:1">
      <c r="A700" s="8"/>
    </row>
    <row r="701" spans="1:1">
      <c r="A701" s="8"/>
    </row>
    <row r="702" spans="1:1">
      <c r="A702" s="8"/>
    </row>
    <row r="703" spans="1:1">
      <c r="A703" s="8"/>
    </row>
    <row r="704" spans="1:1">
      <c r="A704" s="8"/>
    </row>
    <row r="705" spans="1:1">
      <c r="A705" s="8"/>
    </row>
    <row r="706" spans="1:1">
      <c r="A706" s="8"/>
    </row>
    <row r="707" spans="1:1">
      <c r="A707" s="8"/>
    </row>
    <row r="708" spans="1:1">
      <c r="A708" s="8"/>
    </row>
    <row r="709" spans="1:1">
      <c r="A709" s="8"/>
    </row>
    <row r="710" spans="1:1">
      <c r="A710" s="8"/>
    </row>
    <row r="711" spans="1:1">
      <c r="A711" s="8"/>
    </row>
    <row r="712" spans="1:1">
      <c r="A712" s="8"/>
    </row>
    <row r="713" spans="1:1">
      <c r="A713" s="8"/>
    </row>
    <row r="714" spans="1:1">
      <c r="A714" s="8"/>
    </row>
    <row r="715" spans="1:1">
      <c r="A715" s="8"/>
    </row>
    <row r="716" spans="1:1">
      <c r="A716" s="8"/>
    </row>
    <row r="717" spans="1:1">
      <c r="A717" s="8"/>
    </row>
    <row r="718" spans="1:1">
      <c r="A718" s="8"/>
    </row>
    <row r="719" spans="1:1">
      <c r="A719" s="8"/>
    </row>
    <row r="720" spans="1:1">
      <c r="A720" s="8"/>
    </row>
    <row r="721" spans="1:1">
      <c r="A721" s="8"/>
    </row>
    <row r="722" spans="1:1">
      <c r="A722" s="8"/>
    </row>
    <row r="723" spans="1:1">
      <c r="A723" s="8"/>
    </row>
    <row r="724" spans="1:1">
      <c r="A724" s="8"/>
    </row>
    <row r="725" spans="1:1">
      <c r="A725" s="8"/>
    </row>
    <row r="726" spans="1:1">
      <c r="A726" s="8"/>
    </row>
    <row r="727" spans="1:1">
      <c r="A727" s="8"/>
    </row>
    <row r="728" spans="1:1">
      <c r="A728" s="8"/>
    </row>
    <row r="729" spans="1:1">
      <c r="A729" s="8"/>
    </row>
    <row r="730" spans="1:1">
      <c r="A730" s="8"/>
    </row>
    <row r="731" spans="1:1">
      <c r="A731" s="8"/>
    </row>
    <row r="732" spans="1:1">
      <c r="A732" s="8"/>
    </row>
    <row r="733" spans="1:1">
      <c r="A733" s="8"/>
    </row>
    <row r="734" spans="1:1">
      <c r="A734" s="8"/>
    </row>
    <row r="735" spans="1:1">
      <c r="A735" s="8"/>
    </row>
    <row r="736" spans="1:1">
      <c r="A736" s="8"/>
    </row>
    <row r="737" spans="1:1">
      <c r="A737" s="8"/>
    </row>
    <row r="738" spans="1:1">
      <c r="A738" s="8"/>
    </row>
    <row r="739" spans="1:1">
      <c r="A739" s="8"/>
    </row>
    <row r="740" spans="1:1">
      <c r="A740" s="8"/>
    </row>
    <row r="741" spans="1:1">
      <c r="A741" s="8"/>
    </row>
    <row r="742" spans="1:1">
      <c r="A742" s="8"/>
    </row>
    <row r="743" spans="1:1">
      <c r="A743" s="8"/>
    </row>
    <row r="744" spans="1:1">
      <c r="A744" s="8"/>
    </row>
    <row r="745" spans="1:1">
      <c r="A745" s="8"/>
    </row>
    <row r="746" spans="1:1">
      <c r="A746" s="8"/>
    </row>
    <row r="747" spans="1:1">
      <c r="A747" s="8"/>
    </row>
    <row r="748" spans="1:1">
      <c r="A748" s="8"/>
    </row>
    <row r="749" spans="1:1">
      <c r="A749" s="8"/>
    </row>
    <row r="750" spans="1:1">
      <c r="A750" s="8"/>
    </row>
    <row r="751" spans="1:1">
      <c r="A751" s="8"/>
    </row>
    <row r="752" spans="1:1">
      <c r="A752" s="8"/>
    </row>
    <row r="753" spans="1:1">
      <c r="A753" s="8"/>
    </row>
    <row r="754" spans="1:1">
      <c r="A754" s="8"/>
    </row>
    <row r="755" spans="1:1">
      <c r="A755" s="8"/>
    </row>
    <row r="756" spans="1:1">
      <c r="A756" s="8"/>
    </row>
    <row r="757" spans="1:1">
      <c r="A757" s="8"/>
    </row>
    <row r="758" spans="1:1">
      <c r="A758" s="8"/>
    </row>
    <row r="759" spans="1:1">
      <c r="A759" s="8"/>
    </row>
    <row r="760" spans="1:1">
      <c r="A760" s="8"/>
    </row>
    <row r="761" spans="1:1">
      <c r="A761" s="8"/>
    </row>
    <row r="762" spans="1:1">
      <c r="A762" s="8"/>
    </row>
    <row r="763" spans="1:1">
      <c r="A763" s="8"/>
    </row>
    <row r="764" spans="1:1">
      <c r="A764" s="8"/>
    </row>
    <row r="765" spans="1:1">
      <c r="A765" s="8"/>
    </row>
    <row r="766" spans="1:1">
      <c r="A766" s="8"/>
    </row>
    <row r="767" spans="1:1">
      <c r="A767" s="8"/>
    </row>
    <row r="768" spans="1:1">
      <c r="A768" s="8"/>
    </row>
    <row r="769" spans="1:1">
      <c r="A769" s="8"/>
    </row>
    <row r="770" spans="1:1">
      <c r="A770" s="8"/>
    </row>
    <row r="771" spans="1:1">
      <c r="A771" s="8"/>
    </row>
    <row r="772" spans="1:1">
      <c r="A772" s="8"/>
    </row>
    <row r="773" spans="1:1">
      <c r="A773" s="8"/>
    </row>
    <row r="774" spans="1:1">
      <c r="A774" s="8"/>
    </row>
    <row r="775" spans="1:1">
      <c r="A775" s="8"/>
    </row>
    <row r="776" spans="1:1">
      <c r="A776" s="8"/>
    </row>
    <row r="777" spans="1:1">
      <c r="A777" s="8"/>
    </row>
    <row r="778" spans="1:1">
      <c r="A778" s="8"/>
    </row>
    <row r="779" spans="1:1">
      <c r="A779" s="8"/>
    </row>
    <row r="780" spans="1:1">
      <c r="A780" s="8"/>
    </row>
    <row r="781" spans="1:1">
      <c r="A781" s="8"/>
    </row>
    <row r="782" spans="1:1">
      <c r="A782" s="8"/>
    </row>
    <row r="783" spans="1:1">
      <c r="A783" s="8"/>
    </row>
    <row r="784" spans="1:1">
      <c r="A784" s="8"/>
    </row>
    <row r="785" spans="1:1">
      <c r="A785" s="8"/>
    </row>
    <row r="786" spans="1:1">
      <c r="A786" s="8"/>
    </row>
    <row r="787" spans="1:1">
      <c r="A787" s="8"/>
    </row>
    <row r="788" spans="1:1">
      <c r="A788" s="8"/>
    </row>
    <row r="789" spans="1:1">
      <c r="A789" s="8"/>
    </row>
    <row r="790" spans="1:1">
      <c r="A790" s="8"/>
    </row>
    <row r="791" spans="1:1">
      <c r="A791" s="8"/>
    </row>
    <row r="792" spans="1:1">
      <c r="A792" s="8"/>
    </row>
    <row r="793" spans="1:1">
      <c r="A793" s="8"/>
    </row>
    <row r="794" spans="1:1">
      <c r="A794" s="8"/>
    </row>
    <row r="795" spans="1:1">
      <c r="A795" s="8"/>
    </row>
    <row r="796" spans="1:1">
      <c r="A796" s="8"/>
    </row>
    <row r="797" spans="1:1">
      <c r="A797" s="8"/>
    </row>
    <row r="798" spans="1:1">
      <c r="A798" s="8"/>
    </row>
    <row r="799" spans="1:1">
      <c r="A799" s="8"/>
    </row>
    <row r="800" spans="1:1">
      <c r="A800" s="8"/>
    </row>
    <row r="801" spans="1:1">
      <c r="A801" s="8"/>
    </row>
    <row r="802" spans="1:1">
      <c r="A802" s="8"/>
    </row>
    <row r="803" spans="1:1">
      <c r="A803" s="8"/>
    </row>
    <row r="804" spans="1:1">
      <c r="A804" s="8"/>
    </row>
    <row r="805" spans="1:1">
      <c r="A805" s="8"/>
    </row>
    <row r="806" spans="1:1">
      <c r="A806" s="8"/>
    </row>
    <row r="807" spans="1:1">
      <c r="A807" s="8"/>
    </row>
    <row r="808" spans="1:1">
      <c r="A808" s="8"/>
    </row>
    <row r="809" spans="1:1">
      <c r="A809" s="8"/>
    </row>
    <row r="810" spans="1:1">
      <c r="A810" s="8"/>
    </row>
    <row r="811" spans="1:1">
      <c r="A811" s="8"/>
    </row>
    <row r="812" spans="1:1">
      <c r="A812" s="8"/>
    </row>
    <row r="813" spans="1:1">
      <c r="A813" s="8"/>
    </row>
    <row r="814" spans="1:1">
      <c r="A814" s="8"/>
    </row>
    <row r="815" spans="1:1">
      <c r="A815" s="8"/>
    </row>
    <row r="816" spans="1:1">
      <c r="A816" s="8"/>
    </row>
    <row r="817" spans="1:1">
      <c r="A817" s="8"/>
    </row>
    <row r="818" spans="1:1">
      <c r="A818" s="8"/>
    </row>
    <row r="819" spans="1:1">
      <c r="A819" s="8"/>
    </row>
    <row r="820" spans="1:1">
      <c r="A820" s="8"/>
    </row>
    <row r="821" spans="1:1">
      <c r="A821" s="8"/>
    </row>
    <row r="822" spans="1:1">
      <c r="A822" s="8"/>
    </row>
    <row r="823" spans="1:1">
      <c r="A823" s="8"/>
    </row>
    <row r="824" spans="1:1">
      <c r="A824" s="8"/>
    </row>
    <row r="825" spans="1:1">
      <c r="A825" s="8"/>
    </row>
    <row r="826" spans="1:1">
      <c r="A826" s="8"/>
    </row>
    <row r="827" spans="1:1">
      <c r="A827" s="8"/>
    </row>
    <row r="828" spans="1:1">
      <c r="A828" s="8"/>
    </row>
    <row r="829" spans="1:1">
      <c r="A829" s="8"/>
    </row>
    <row r="830" spans="1:1">
      <c r="A830" s="8"/>
    </row>
    <row r="831" spans="1:1">
      <c r="A831" s="8"/>
    </row>
    <row r="832" spans="1:1">
      <c r="A832" s="8"/>
    </row>
    <row r="833" spans="1:1">
      <c r="A833" s="8"/>
    </row>
    <row r="834" spans="1:1">
      <c r="A834" s="8"/>
    </row>
    <row r="835" spans="1:1">
      <c r="A835" s="8"/>
    </row>
    <row r="836" spans="1:1">
      <c r="A836" s="8"/>
    </row>
    <row r="837" spans="1:1">
      <c r="A837" s="8"/>
    </row>
    <row r="838" spans="1:1">
      <c r="A838" s="8"/>
    </row>
    <row r="839" spans="1:1">
      <c r="A839" s="8"/>
    </row>
    <row r="840" spans="1:1">
      <c r="A840" s="8"/>
    </row>
    <row r="841" spans="1:1">
      <c r="A841" s="8"/>
    </row>
    <row r="842" spans="1:1">
      <c r="A842" s="8"/>
    </row>
    <row r="843" spans="1:1">
      <c r="A843" s="8"/>
    </row>
    <row r="844" spans="1:1">
      <c r="A844" s="8"/>
    </row>
    <row r="845" spans="1:1">
      <c r="A845" s="8"/>
    </row>
    <row r="846" spans="1:1">
      <c r="A846" s="8"/>
    </row>
    <row r="847" spans="1:1">
      <c r="A847" s="8"/>
    </row>
    <row r="848" spans="1:1">
      <c r="A848" s="8"/>
    </row>
    <row r="849" spans="1:1">
      <c r="A849" s="8"/>
    </row>
    <row r="850" spans="1:1">
      <c r="A850" s="8"/>
    </row>
    <row r="851" spans="1:1">
      <c r="A851" s="8"/>
    </row>
    <row r="852" spans="1:1">
      <c r="A852" s="8"/>
    </row>
    <row r="853" spans="1:1">
      <c r="A853" s="8"/>
    </row>
    <row r="854" spans="1:1">
      <c r="A854" s="8"/>
    </row>
    <row r="855" spans="1:1">
      <c r="A855" s="8"/>
    </row>
    <row r="856" spans="1:1">
      <c r="A856" s="8"/>
    </row>
    <row r="857" spans="1:1">
      <c r="A857" s="8"/>
    </row>
    <row r="858" spans="1:1">
      <c r="A858" s="8"/>
    </row>
    <row r="859" spans="1:1">
      <c r="A859" s="8"/>
    </row>
    <row r="860" spans="1:1">
      <c r="A860" s="8"/>
    </row>
    <row r="861" spans="1:1">
      <c r="A861" s="8"/>
    </row>
    <row r="862" spans="1:1">
      <c r="A862" s="8"/>
    </row>
    <row r="863" spans="1:1">
      <c r="A863" s="8"/>
    </row>
    <row r="864" spans="1:1">
      <c r="A864" s="8"/>
    </row>
    <row r="865" spans="1:1">
      <c r="A865" s="8"/>
    </row>
    <row r="866" spans="1:1">
      <c r="A866" s="8"/>
    </row>
    <row r="867" spans="1:1">
      <c r="A867" s="8"/>
    </row>
    <row r="868" spans="1:1">
      <c r="A868" s="8"/>
    </row>
    <row r="869" spans="1:1">
      <c r="A869" s="8"/>
    </row>
    <row r="870" spans="1:1">
      <c r="A870" s="8"/>
    </row>
    <row r="871" spans="1:1">
      <c r="A871" s="8"/>
    </row>
    <row r="872" spans="1:1">
      <c r="A872" s="8"/>
    </row>
    <row r="873" spans="1:1">
      <c r="A873" s="8"/>
    </row>
    <row r="874" spans="1:1">
      <c r="A874" s="8"/>
    </row>
    <row r="875" spans="1:1">
      <c r="A875" s="8"/>
    </row>
    <row r="876" spans="1:1">
      <c r="A876" s="8"/>
    </row>
    <row r="877" spans="1:1">
      <c r="A877" s="8"/>
    </row>
    <row r="878" spans="1:1">
      <c r="A878" s="8"/>
    </row>
    <row r="879" spans="1:1">
      <c r="A879" s="8"/>
    </row>
    <row r="880" spans="1:1">
      <c r="A880" s="8"/>
    </row>
    <row r="881" spans="1:1">
      <c r="A881" s="8"/>
    </row>
    <row r="882" spans="1:1">
      <c r="A882" s="8"/>
    </row>
    <row r="883" spans="1:1">
      <c r="A883" s="8"/>
    </row>
    <row r="884" spans="1:1">
      <c r="A884" s="8"/>
    </row>
    <row r="885" spans="1:1">
      <c r="A885" s="8"/>
    </row>
    <row r="886" spans="1:1">
      <c r="A886" s="8"/>
    </row>
    <row r="887" spans="1:1">
      <c r="A887" s="8"/>
    </row>
    <row r="888" spans="1:1">
      <c r="A888" s="8"/>
    </row>
    <row r="889" spans="1:1">
      <c r="A889" s="8"/>
    </row>
    <row r="890" spans="1:1">
      <c r="A890" s="8"/>
    </row>
    <row r="891" spans="1:1">
      <c r="A891" s="8"/>
    </row>
    <row r="892" spans="1:1">
      <c r="A892" s="8"/>
    </row>
    <row r="893" spans="1:1">
      <c r="A893" s="8"/>
    </row>
    <row r="894" spans="1:1">
      <c r="A894" s="8"/>
    </row>
    <row r="895" spans="1:1">
      <c r="A895" s="8"/>
    </row>
    <row r="896" spans="1:1">
      <c r="A896" s="8"/>
    </row>
    <row r="897" spans="1:1">
      <c r="A897" s="8"/>
    </row>
    <row r="898" spans="1:1">
      <c r="A898" s="8"/>
    </row>
    <row r="899" spans="1:1">
      <c r="A899" s="8"/>
    </row>
    <row r="900" spans="1:1">
      <c r="A900" s="8"/>
    </row>
    <row r="901" spans="1:1">
      <c r="A901" s="8"/>
    </row>
    <row r="902" spans="1:1">
      <c r="A902" s="8"/>
    </row>
    <row r="903" spans="1:1">
      <c r="A903" s="8"/>
    </row>
    <row r="904" spans="1:1">
      <c r="A904" s="8"/>
    </row>
    <row r="905" spans="1:1">
      <c r="A905" s="8"/>
    </row>
    <row r="906" spans="1:1">
      <c r="A906" s="8"/>
    </row>
    <row r="907" spans="1:1">
      <c r="A907" s="8"/>
    </row>
    <row r="908" spans="1:1">
      <c r="A908" s="8"/>
    </row>
    <row r="909" spans="1:1">
      <c r="A909" s="8"/>
    </row>
    <row r="910" spans="1:1">
      <c r="A910" s="8"/>
    </row>
    <row r="911" spans="1:1">
      <c r="A911" s="8"/>
    </row>
    <row r="912" spans="1:1">
      <c r="A912" s="8"/>
    </row>
    <row r="913" spans="1:1">
      <c r="A913" s="8"/>
    </row>
    <row r="914" spans="1:1">
      <c r="A914" s="8"/>
    </row>
    <row r="915" spans="1:1">
      <c r="A915" s="8"/>
    </row>
    <row r="916" spans="1:1">
      <c r="A916" s="8"/>
    </row>
    <row r="917" spans="1:1">
      <c r="A917" s="8"/>
    </row>
    <row r="918" spans="1:1">
      <c r="A918" s="8"/>
    </row>
    <row r="919" spans="1:1">
      <c r="A919" s="8"/>
    </row>
    <row r="920" spans="1:1">
      <c r="A920" s="8"/>
    </row>
    <row r="921" spans="1:1">
      <c r="A921" s="8"/>
    </row>
    <row r="922" spans="1:1">
      <c r="A922" s="8"/>
    </row>
    <row r="923" spans="1:1">
      <c r="A923" s="8"/>
    </row>
    <row r="924" spans="1:1">
      <c r="A924" s="8"/>
    </row>
    <row r="925" spans="1:1">
      <c r="A925" s="8"/>
    </row>
    <row r="926" spans="1:1">
      <c r="A926" s="8"/>
    </row>
    <row r="927" spans="1:1">
      <c r="A927" s="8"/>
    </row>
    <row r="928" spans="1:1">
      <c r="A928" s="8"/>
    </row>
    <row r="929" spans="1:1">
      <c r="A929" s="8"/>
    </row>
  </sheetData>
  <mergeCells count="6">
    <mergeCell ref="A69:J69"/>
    <mergeCell ref="A70:J70"/>
    <mergeCell ref="B5:J5"/>
    <mergeCell ref="A66:J66"/>
    <mergeCell ref="A67:J67"/>
    <mergeCell ref="A68:J68"/>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4341" r:id="rId3" name="Button 5">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14342" r:id="rId4"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4343" r:id="rId5"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4344" r:id="rId6"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enableFormatConditionsCalculation="0"/>
  <dimension ref="A1:N60"/>
  <sheetViews>
    <sheetView workbookViewId="0"/>
  </sheetViews>
  <sheetFormatPr baseColWidth="10" defaultColWidth="8.83203125" defaultRowHeight="12" x14ac:dyDescent="0"/>
  <cols>
    <col min="1" max="1" width="13.33203125" customWidth="1"/>
    <col min="4" max="4" width="10.5" customWidth="1"/>
    <col min="5" max="5" width="12.332031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ht="12.75" customHeight="1">
      <c r="A3" s="156" t="s">
        <v>1045</v>
      </c>
      <c r="B3" s="20" t="s">
        <v>814</v>
      </c>
      <c r="C3" s="21"/>
      <c r="D3" s="21"/>
      <c r="E3" s="21"/>
      <c r="F3" s="21"/>
      <c r="G3" s="21"/>
      <c r="H3" s="21"/>
      <c r="I3" s="21"/>
      <c r="J3" s="21"/>
    </row>
    <row r="4" spans="1:14" ht="29.25" customHeight="1">
      <c r="A4" s="118" t="s">
        <v>779</v>
      </c>
      <c r="B4" s="446" t="s">
        <v>862</v>
      </c>
      <c r="C4" s="446"/>
      <c r="D4" s="446"/>
      <c r="E4" s="446"/>
      <c r="F4" s="446"/>
      <c r="G4" s="446"/>
      <c r="H4" s="446"/>
      <c r="I4" s="446"/>
      <c r="J4" s="446"/>
    </row>
    <row r="5" spans="1:14" ht="15" customHeight="1">
      <c r="A5" s="21"/>
      <c r="B5" s="21"/>
      <c r="C5" s="152" t="s">
        <v>816</v>
      </c>
      <c r="D5" s="21"/>
      <c r="E5" s="21"/>
      <c r="F5" s="21"/>
      <c r="G5" s="21"/>
      <c r="H5" s="21"/>
      <c r="I5" s="21"/>
      <c r="J5" s="21"/>
    </row>
    <row r="6" spans="1:14" ht="36">
      <c r="A6" s="22" t="s">
        <v>1090</v>
      </c>
      <c r="B6" s="22" t="s">
        <v>1254</v>
      </c>
      <c r="C6" s="22" t="s">
        <v>1255</v>
      </c>
      <c r="D6" s="31" t="s">
        <v>865</v>
      </c>
      <c r="E6" s="31" t="s">
        <v>1203</v>
      </c>
      <c r="F6" s="22"/>
      <c r="G6" s="22"/>
      <c r="H6" s="22"/>
      <c r="I6" s="22"/>
      <c r="J6" s="22"/>
    </row>
    <row r="7" spans="1:14">
      <c r="A7" s="26">
        <v>36136</v>
      </c>
      <c r="B7" s="28">
        <v>98</v>
      </c>
      <c r="C7" s="28">
        <v>43</v>
      </c>
      <c r="D7" s="28">
        <v>55</v>
      </c>
      <c r="E7" s="242">
        <v>55</v>
      </c>
      <c r="F7" s="28"/>
      <c r="G7" s="28"/>
      <c r="H7" s="28"/>
      <c r="I7" s="28"/>
      <c r="J7" s="54"/>
    </row>
    <row r="8" spans="1:14">
      <c r="A8" s="26">
        <v>36137</v>
      </c>
      <c r="B8" s="28">
        <v>100</v>
      </c>
      <c r="C8" s="28">
        <v>42</v>
      </c>
      <c r="D8" s="28">
        <v>58</v>
      </c>
      <c r="E8" s="242">
        <v>113</v>
      </c>
      <c r="F8" s="28"/>
      <c r="G8" s="28"/>
      <c r="H8" s="28"/>
      <c r="I8" s="28"/>
      <c r="J8" s="54"/>
    </row>
    <row r="9" spans="1:14">
      <c r="A9" s="27">
        <v>36138</v>
      </c>
      <c r="B9" s="29">
        <v>87</v>
      </c>
      <c r="C9" s="29">
        <v>49</v>
      </c>
      <c r="D9" s="29">
        <v>38</v>
      </c>
      <c r="E9" s="38">
        <v>151</v>
      </c>
      <c r="F9" s="29"/>
      <c r="G9" s="29"/>
      <c r="H9" s="29"/>
      <c r="I9" s="29"/>
      <c r="J9" s="57"/>
    </row>
    <row r="10" spans="1:14">
      <c r="A10" s="27">
        <v>36139</v>
      </c>
      <c r="B10" s="29">
        <v>72</v>
      </c>
      <c r="C10" s="29">
        <v>76</v>
      </c>
      <c r="D10" s="29">
        <v>-4</v>
      </c>
      <c r="E10" s="38">
        <v>147</v>
      </c>
      <c r="F10" s="29"/>
      <c r="G10" s="29"/>
      <c r="H10" s="29"/>
      <c r="I10" s="29"/>
      <c r="J10" s="57"/>
    </row>
    <row r="11" spans="1:14">
      <c r="A11" s="26">
        <v>36140</v>
      </c>
      <c r="B11" s="28">
        <v>39</v>
      </c>
      <c r="C11" s="28">
        <v>83</v>
      </c>
      <c r="D11" s="28">
        <v>-44</v>
      </c>
      <c r="E11" s="242">
        <v>103</v>
      </c>
      <c r="F11" s="28"/>
      <c r="G11" s="28"/>
      <c r="H11" s="28"/>
      <c r="I11" s="28"/>
      <c r="J11" s="54"/>
    </row>
    <row r="12" spans="1:14">
      <c r="A12" s="26">
        <v>36143</v>
      </c>
      <c r="B12" s="28">
        <v>29</v>
      </c>
      <c r="C12" s="28">
        <v>109</v>
      </c>
      <c r="D12" s="28">
        <v>-80</v>
      </c>
      <c r="E12" s="242">
        <v>23</v>
      </c>
      <c r="F12" s="28"/>
      <c r="G12" s="28"/>
      <c r="H12" s="28"/>
      <c r="I12" s="28"/>
      <c r="J12" s="54"/>
    </row>
    <row r="13" spans="1:14">
      <c r="A13" s="27">
        <v>36144</v>
      </c>
      <c r="B13" s="29">
        <v>43</v>
      </c>
      <c r="C13" s="29">
        <v>105</v>
      </c>
      <c r="D13" s="29">
        <v>-62</v>
      </c>
      <c r="E13" s="38">
        <v>-39</v>
      </c>
      <c r="F13" s="29"/>
      <c r="G13" s="29"/>
      <c r="H13" s="29"/>
      <c r="I13" s="29"/>
      <c r="J13" s="57"/>
    </row>
    <row r="14" spans="1:14">
      <c r="A14" s="27">
        <v>36145</v>
      </c>
      <c r="B14" s="29">
        <v>43</v>
      </c>
      <c r="C14" s="29">
        <v>73</v>
      </c>
      <c r="D14" s="29">
        <v>-30</v>
      </c>
      <c r="E14" s="38">
        <v>-69</v>
      </c>
      <c r="F14" s="29"/>
      <c r="G14" s="29"/>
      <c r="H14" s="29"/>
      <c r="I14" s="29"/>
      <c r="J14" s="57"/>
    </row>
    <row r="15" spans="1:14">
      <c r="A15" s="26">
        <v>36146</v>
      </c>
      <c r="B15" s="28">
        <v>61</v>
      </c>
      <c r="C15" s="28">
        <v>68</v>
      </c>
      <c r="D15" s="28">
        <v>-7</v>
      </c>
      <c r="E15" s="242">
        <v>-76</v>
      </c>
      <c r="F15" s="28"/>
      <c r="G15" s="28"/>
      <c r="H15" s="28"/>
      <c r="I15" s="28"/>
      <c r="J15" s="54"/>
    </row>
    <row r="16" spans="1:14">
      <c r="A16" s="26">
        <v>36147</v>
      </c>
      <c r="B16" s="28">
        <v>84</v>
      </c>
      <c r="C16" s="28">
        <v>62</v>
      </c>
      <c r="D16" s="28">
        <v>22</v>
      </c>
      <c r="E16" s="242">
        <v>-54</v>
      </c>
      <c r="F16" s="28"/>
      <c r="G16" s="28"/>
      <c r="H16" s="28"/>
      <c r="I16" s="28"/>
      <c r="J16" s="54"/>
    </row>
    <row r="17" spans="1:10">
      <c r="A17" s="27">
        <v>36150</v>
      </c>
      <c r="B17" s="29">
        <v>134</v>
      </c>
      <c r="C17" s="29">
        <v>64</v>
      </c>
      <c r="D17" s="29">
        <v>70</v>
      </c>
      <c r="E17" s="38">
        <v>16</v>
      </c>
      <c r="F17" s="29"/>
      <c r="G17" s="29"/>
      <c r="H17" s="29"/>
      <c r="I17" s="29"/>
      <c r="J17" s="57"/>
    </row>
    <row r="18" spans="1:10">
      <c r="A18" s="27">
        <v>36151</v>
      </c>
      <c r="B18" s="29">
        <v>81</v>
      </c>
      <c r="C18" s="29">
        <v>90</v>
      </c>
      <c r="D18" s="29">
        <v>-9</v>
      </c>
      <c r="E18" s="38">
        <v>7</v>
      </c>
      <c r="F18" s="29"/>
      <c r="G18" s="29"/>
      <c r="H18" s="29"/>
      <c r="I18" s="29"/>
      <c r="J18" s="57"/>
    </row>
    <row r="19" spans="1:10">
      <c r="A19" s="26">
        <v>36152</v>
      </c>
      <c r="B19" s="28">
        <v>136</v>
      </c>
      <c r="C19" s="28">
        <v>77</v>
      </c>
      <c r="D19" s="28">
        <v>59</v>
      </c>
      <c r="E19" s="242">
        <v>66</v>
      </c>
      <c r="F19" s="28"/>
      <c r="G19" s="28"/>
      <c r="H19" s="28"/>
      <c r="I19" s="28"/>
      <c r="J19" s="54"/>
    </row>
    <row r="20" spans="1:10">
      <c r="A20" s="26">
        <v>36153</v>
      </c>
      <c r="B20" s="28">
        <v>99</v>
      </c>
      <c r="C20" s="28">
        <v>27</v>
      </c>
      <c r="D20" s="28">
        <v>72</v>
      </c>
      <c r="E20" s="242">
        <v>138</v>
      </c>
      <c r="F20" s="28"/>
      <c r="G20" s="28"/>
      <c r="H20" s="28"/>
      <c r="I20" s="28"/>
      <c r="J20" s="54"/>
    </row>
    <row r="21" spans="1:10">
      <c r="A21" s="27">
        <v>36157</v>
      </c>
      <c r="B21" s="29">
        <v>108</v>
      </c>
      <c r="C21" s="29">
        <v>60</v>
      </c>
      <c r="D21" s="29">
        <v>48</v>
      </c>
      <c r="E21" s="38">
        <v>186</v>
      </c>
      <c r="F21" s="29"/>
      <c r="G21" s="29"/>
      <c r="H21" s="29"/>
      <c r="I21" s="29"/>
      <c r="J21" s="57"/>
    </row>
    <row r="22" spans="1:10">
      <c r="A22" s="27">
        <v>36158</v>
      </c>
      <c r="B22" s="29">
        <v>129</v>
      </c>
      <c r="C22" s="29">
        <v>71</v>
      </c>
      <c r="D22" s="29">
        <v>58</v>
      </c>
      <c r="E22" s="38">
        <v>244</v>
      </c>
      <c r="F22" s="29"/>
      <c r="G22" s="29"/>
      <c r="H22" s="29"/>
      <c r="I22" s="29"/>
      <c r="J22" s="57"/>
    </row>
    <row r="23" spans="1:10">
      <c r="A23" s="26">
        <v>36159</v>
      </c>
      <c r="B23" s="28">
        <v>124</v>
      </c>
      <c r="C23" s="28">
        <v>56</v>
      </c>
      <c r="D23" s="28">
        <v>68</v>
      </c>
      <c r="E23" s="242">
        <v>312</v>
      </c>
      <c r="F23" s="28"/>
      <c r="G23" s="28"/>
      <c r="H23" s="28"/>
      <c r="I23" s="28"/>
      <c r="J23" s="54"/>
    </row>
    <row r="24" spans="1:10">
      <c r="A24" s="26">
        <v>36160</v>
      </c>
      <c r="B24" s="28">
        <v>142</v>
      </c>
      <c r="C24" s="28">
        <v>30</v>
      </c>
      <c r="D24" s="28">
        <v>112</v>
      </c>
      <c r="E24" s="242">
        <v>424</v>
      </c>
      <c r="F24" s="28"/>
      <c r="G24" s="28"/>
      <c r="H24" s="28"/>
      <c r="I24" s="28"/>
      <c r="J24" s="54"/>
    </row>
    <row r="25" spans="1:10">
      <c r="A25" s="27">
        <v>36164</v>
      </c>
      <c r="B25" s="29">
        <v>133</v>
      </c>
      <c r="C25" s="29">
        <v>16</v>
      </c>
      <c r="D25" s="29">
        <v>117</v>
      </c>
      <c r="E25" s="38">
        <v>541</v>
      </c>
      <c r="F25" s="29"/>
      <c r="G25" s="29"/>
      <c r="H25" s="29"/>
      <c r="I25" s="29"/>
      <c r="J25" s="57"/>
    </row>
    <row r="26" spans="1:10">
      <c r="A26" s="27">
        <v>36165</v>
      </c>
      <c r="B26" s="29">
        <v>90</v>
      </c>
      <c r="C26" s="29">
        <v>12</v>
      </c>
      <c r="D26" s="29">
        <v>78</v>
      </c>
      <c r="E26" s="38">
        <v>619</v>
      </c>
      <c r="F26" s="29"/>
      <c r="G26" s="29"/>
      <c r="H26" s="29"/>
      <c r="I26" s="29"/>
      <c r="J26" s="57"/>
    </row>
    <row r="27" spans="1:10">
      <c r="A27" s="26">
        <v>36166</v>
      </c>
      <c r="B27" s="28">
        <v>153</v>
      </c>
      <c r="C27" s="28">
        <v>15</v>
      </c>
      <c r="D27" s="28">
        <v>138</v>
      </c>
      <c r="E27" s="242">
        <v>757</v>
      </c>
      <c r="F27" s="28"/>
      <c r="G27" s="28"/>
      <c r="H27" s="28"/>
      <c r="I27" s="28"/>
      <c r="J27" s="54"/>
    </row>
    <row r="28" spans="1:10">
      <c r="A28" s="26">
        <v>36167</v>
      </c>
      <c r="B28" s="28">
        <v>63</v>
      </c>
      <c r="C28" s="28">
        <v>22</v>
      </c>
      <c r="D28" s="28">
        <v>41</v>
      </c>
      <c r="E28" s="242">
        <v>798</v>
      </c>
      <c r="F28" s="28"/>
      <c r="G28" s="28"/>
      <c r="H28" s="28"/>
      <c r="I28" s="28"/>
      <c r="J28" s="54"/>
    </row>
    <row r="29" spans="1:10">
      <c r="A29" s="27">
        <v>36168</v>
      </c>
      <c r="B29" s="29">
        <v>93</v>
      </c>
      <c r="C29" s="29">
        <v>17</v>
      </c>
      <c r="D29" s="29">
        <v>76</v>
      </c>
      <c r="E29" s="38">
        <v>874</v>
      </c>
      <c r="F29" s="29"/>
      <c r="G29" s="29"/>
      <c r="H29" s="29"/>
      <c r="I29" s="29"/>
      <c r="J29" s="57"/>
    </row>
    <row r="30" spans="1:10">
      <c r="A30" s="27">
        <v>36171</v>
      </c>
      <c r="B30" s="29">
        <v>57</v>
      </c>
      <c r="C30" s="29">
        <v>32</v>
      </c>
      <c r="D30" s="29">
        <v>25</v>
      </c>
      <c r="E30" s="38">
        <v>899</v>
      </c>
      <c r="F30" s="29"/>
      <c r="G30" s="29"/>
      <c r="H30" s="29"/>
      <c r="I30" s="29"/>
      <c r="J30" s="57"/>
    </row>
    <row r="31" spans="1:10">
      <c r="A31" s="26">
        <v>36172</v>
      </c>
      <c r="B31" s="28">
        <v>38</v>
      </c>
      <c r="C31" s="28">
        <v>34</v>
      </c>
      <c r="D31" s="28">
        <v>4</v>
      </c>
      <c r="E31" s="242">
        <v>903</v>
      </c>
      <c r="F31" s="28"/>
      <c r="G31" s="28"/>
      <c r="H31" s="28"/>
      <c r="I31" s="28"/>
      <c r="J31" s="54"/>
    </row>
    <row r="32" spans="1:10">
      <c r="A32" s="26">
        <v>36173</v>
      </c>
      <c r="B32" s="28">
        <v>22</v>
      </c>
      <c r="C32" s="28">
        <v>71</v>
      </c>
      <c r="D32" s="28">
        <v>-49</v>
      </c>
      <c r="E32" s="242">
        <v>854</v>
      </c>
      <c r="F32" s="28"/>
      <c r="G32" s="28"/>
      <c r="H32" s="28"/>
      <c r="I32" s="28"/>
      <c r="J32" s="54"/>
    </row>
    <row r="33" spans="1:10">
      <c r="A33" s="27">
        <v>36174</v>
      </c>
      <c r="B33" s="29">
        <v>22</v>
      </c>
      <c r="C33" s="29">
        <v>50</v>
      </c>
      <c r="D33" s="29">
        <v>-28</v>
      </c>
      <c r="E33" s="38">
        <v>826</v>
      </c>
      <c r="F33" s="29"/>
      <c r="G33" s="29"/>
      <c r="H33" s="29"/>
      <c r="I33" s="29"/>
      <c r="J33" s="57"/>
    </row>
    <row r="34" spans="1:10">
      <c r="A34" s="27">
        <v>36175</v>
      </c>
      <c r="B34" s="29">
        <v>39</v>
      </c>
      <c r="C34" s="29">
        <v>16</v>
      </c>
      <c r="D34" s="29">
        <v>23</v>
      </c>
      <c r="E34" s="38">
        <v>849</v>
      </c>
      <c r="F34" s="29"/>
      <c r="G34" s="29"/>
      <c r="H34" s="29"/>
      <c r="I34" s="29"/>
      <c r="J34" s="57"/>
    </row>
    <row r="35" spans="1:10">
      <c r="A35" s="26">
        <v>36179</v>
      </c>
      <c r="B35" s="28">
        <v>93</v>
      </c>
      <c r="C35" s="28">
        <v>31</v>
      </c>
      <c r="D35" s="28">
        <v>62</v>
      </c>
      <c r="E35" s="242">
        <v>911</v>
      </c>
      <c r="F35" s="28"/>
      <c r="G35" s="28"/>
      <c r="H35" s="28"/>
      <c r="I35" s="28"/>
      <c r="J35" s="54"/>
    </row>
    <row r="36" spans="1:10">
      <c r="A36" s="26">
        <v>36180</v>
      </c>
      <c r="B36" s="28">
        <v>106</v>
      </c>
      <c r="C36" s="28">
        <v>50</v>
      </c>
      <c r="D36" s="28">
        <v>56</v>
      </c>
      <c r="E36" s="242">
        <v>967</v>
      </c>
      <c r="F36" s="28"/>
      <c r="G36" s="28"/>
      <c r="H36" s="28"/>
      <c r="I36" s="28"/>
      <c r="J36" s="54"/>
    </row>
    <row r="37" spans="1:10">
      <c r="A37" s="27">
        <v>36181</v>
      </c>
      <c r="B37" s="29">
        <v>56</v>
      </c>
      <c r="C37" s="29">
        <v>50</v>
      </c>
      <c r="D37" s="29">
        <v>6</v>
      </c>
      <c r="E37" s="38">
        <v>973</v>
      </c>
      <c r="F37" s="29"/>
      <c r="G37" s="29"/>
      <c r="H37" s="29"/>
      <c r="I37" s="29"/>
      <c r="J37" s="57"/>
    </row>
    <row r="38" spans="1:10">
      <c r="A38" s="27">
        <v>36182</v>
      </c>
      <c r="B38" s="29">
        <v>24</v>
      </c>
      <c r="C38" s="29">
        <v>53</v>
      </c>
      <c r="D38" s="29">
        <v>-29</v>
      </c>
      <c r="E38" s="38">
        <v>944</v>
      </c>
      <c r="F38" s="29"/>
      <c r="G38" s="29"/>
      <c r="H38" s="29"/>
      <c r="I38" s="29"/>
      <c r="J38" s="57"/>
    </row>
    <row r="39" spans="1:10">
      <c r="A39" s="26">
        <v>36185</v>
      </c>
      <c r="B39" s="28">
        <v>38</v>
      </c>
      <c r="C39" s="28">
        <v>47</v>
      </c>
      <c r="D39" s="28">
        <v>-9</v>
      </c>
      <c r="E39" s="242">
        <v>935</v>
      </c>
      <c r="F39" s="28"/>
      <c r="G39" s="28"/>
      <c r="H39" s="28"/>
      <c r="I39" s="28"/>
      <c r="J39" s="54"/>
    </row>
    <row r="40" spans="1:10">
      <c r="A40" s="26">
        <v>36186</v>
      </c>
      <c r="B40" s="28">
        <v>41</v>
      </c>
      <c r="C40" s="28">
        <v>57</v>
      </c>
      <c r="D40" s="28">
        <v>-16</v>
      </c>
      <c r="E40" s="242">
        <v>919</v>
      </c>
      <c r="F40" s="28"/>
      <c r="G40" s="28"/>
      <c r="H40" s="28"/>
      <c r="I40" s="28"/>
      <c r="J40" s="54"/>
    </row>
    <row r="41" spans="1:10">
      <c r="A41" s="27">
        <v>36187</v>
      </c>
      <c r="B41" s="29">
        <v>49</v>
      </c>
      <c r="C41" s="29">
        <v>73</v>
      </c>
      <c r="D41" s="29">
        <v>-24</v>
      </c>
      <c r="E41" s="38">
        <v>895</v>
      </c>
      <c r="F41" s="29"/>
      <c r="G41" s="29"/>
      <c r="H41" s="29"/>
      <c r="I41" s="29"/>
      <c r="J41" s="57"/>
    </row>
    <row r="42" spans="1:10">
      <c r="A42" s="27">
        <v>36188</v>
      </c>
      <c r="B42" s="29">
        <v>65</v>
      </c>
      <c r="C42" s="29">
        <v>85</v>
      </c>
      <c r="D42" s="29">
        <v>-20</v>
      </c>
      <c r="E42" s="38">
        <v>875</v>
      </c>
      <c r="F42" s="29"/>
      <c r="G42" s="29"/>
      <c r="H42" s="29"/>
      <c r="I42" s="29"/>
      <c r="J42" s="57"/>
    </row>
    <row r="43" spans="1:10">
      <c r="A43" s="26">
        <v>36189</v>
      </c>
      <c r="B43" s="28">
        <v>99</v>
      </c>
      <c r="C43" s="28">
        <v>91</v>
      </c>
      <c r="D43" s="28">
        <v>8</v>
      </c>
      <c r="E43" s="242">
        <v>883</v>
      </c>
      <c r="F43" s="28"/>
      <c r="G43" s="28"/>
      <c r="H43" s="28"/>
      <c r="I43" s="28"/>
      <c r="J43" s="54"/>
    </row>
    <row r="44" spans="1:10">
      <c r="A44" s="26">
        <v>36192</v>
      </c>
      <c r="B44" s="28">
        <v>84</v>
      </c>
      <c r="C44" s="28">
        <v>56</v>
      </c>
      <c r="D44" s="28">
        <v>28</v>
      </c>
      <c r="E44" s="242">
        <v>911</v>
      </c>
      <c r="F44" s="28"/>
      <c r="G44" s="28"/>
      <c r="H44" s="28"/>
      <c r="I44" s="28"/>
      <c r="J44" s="54"/>
    </row>
    <row r="45" spans="1:10">
      <c r="A45" s="27">
        <v>36193</v>
      </c>
      <c r="B45" s="29">
        <v>34</v>
      </c>
      <c r="C45" s="29">
        <v>85</v>
      </c>
      <c r="D45" s="29">
        <v>-51</v>
      </c>
      <c r="E45" s="38">
        <v>860</v>
      </c>
      <c r="F45" s="29"/>
      <c r="G45" s="29"/>
      <c r="H45" s="29"/>
      <c r="I45" s="29"/>
      <c r="J45" s="57"/>
    </row>
    <row r="46" spans="1:10">
      <c r="A46" s="27">
        <v>36194</v>
      </c>
      <c r="B46" s="29">
        <v>51</v>
      </c>
      <c r="C46" s="29">
        <v>74</v>
      </c>
      <c r="D46" s="29">
        <v>-23</v>
      </c>
      <c r="E46" s="38">
        <v>837</v>
      </c>
      <c r="F46" s="29"/>
      <c r="G46" s="29"/>
      <c r="H46" s="29"/>
      <c r="I46" s="29"/>
      <c r="J46" s="57"/>
    </row>
    <row r="47" spans="1:10">
      <c r="A47" s="26">
        <v>36195</v>
      </c>
      <c r="B47" s="28">
        <v>49</v>
      </c>
      <c r="C47" s="28">
        <v>77</v>
      </c>
      <c r="D47" s="28">
        <v>-28</v>
      </c>
      <c r="E47" s="242">
        <v>809</v>
      </c>
      <c r="F47" s="28"/>
      <c r="G47" s="28"/>
      <c r="H47" s="28"/>
      <c r="I47" s="28"/>
      <c r="J47" s="54"/>
    </row>
    <row r="48" spans="1:10">
      <c r="A48" s="26">
        <v>36196</v>
      </c>
      <c r="B48" s="28">
        <v>24</v>
      </c>
      <c r="C48" s="28">
        <v>59</v>
      </c>
      <c r="D48" s="28">
        <v>-35</v>
      </c>
      <c r="E48" s="242">
        <v>774</v>
      </c>
      <c r="F48" s="28"/>
      <c r="G48" s="28"/>
      <c r="H48" s="28"/>
      <c r="I48" s="28"/>
      <c r="J48" s="54"/>
    </row>
    <row r="49" spans="1:10">
      <c r="A49" s="27">
        <v>36199</v>
      </c>
      <c r="B49" s="29">
        <v>21</v>
      </c>
      <c r="C49" s="29">
        <v>73</v>
      </c>
      <c r="D49" s="29">
        <v>-52</v>
      </c>
      <c r="E49" s="38">
        <v>722</v>
      </c>
      <c r="F49" s="29"/>
      <c r="G49" s="29"/>
      <c r="H49" s="29"/>
      <c r="I49" s="29"/>
      <c r="J49" s="57"/>
    </row>
    <row r="50" spans="1:10">
      <c r="A50" s="27">
        <v>36200</v>
      </c>
      <c r="B50" s="29">
        <v>16</v>
      </c>
      <c r="C50" s="29">
        <v>81</v>
      </c>
      <c r="D50" s="29">
        <v>-65</v>
      </c>
      <c r="E50" s="38">
        <v>657</v>
      </c>
      <c r="F50" s="29"/>
      <c r="G50" s="29"/>
      <c r="H50" s="29"/>
      <c r="I50" s="29"/>
      <c r="J50" s="57"/>
    </row>
    <row r="51" spans="1:10">
      <c r="A51" s="26">
        <v>36201</v>
      </c>
      <c r="B51" s="28">
        <v>19</v>
      </c>
      <c r="C51" s="28">
        <v>97</v>
      </c>
      <c r="D51" s="28">
        <v>-78</v>
      </c>
      <c r="E51" s="242">
        <v>579</v>
      </c>
      <c r="F51" s="28"/>
      <c r="G51" s="28"/>
      <c r="H51" s="28"/>
      <c r="I51" s="28"/>
      <c r="J51" s="54"/>
    </row>
    <row r="52" spans="1:10">
      <c r="A52" s="26">
        <v>36202</v>
      </c>
      <c r="B52" s="28">
        <v>20</v>
      </c>
      <c r="C52" s="28">
        <v>104</v>
      </c>
      <c r="D52" s="28">
        <v>-84</v>
      </c>
      <c r="E52" s="242">
        <v>495</v>
      </c>
      <c r="F52" s="28"/>
      <c r="G52" s="28"/>
      <c r="H52" s="28"/>
      <c r="I52" s="28"/>
      <c r="J52" s="54"/>
    </row>
    <row r="53" spans="1:10">
      <c r="A53" s="27">
        <v>36203</v>
      </c>
      <c r="B53" s="29">
        <v>14</v>
      </c>
      <c r="C53" s="29">
        <v>161</v>
      </c>
      <c r="D53" s="29">
        <v>-147</v>
      </c>
      <c r="E53" s="38">
        <v>348</v>
      </c>
      <c r="F53" s="29"/>
      <c r="G53" s="29"/>
      <c r="H53" s="29"/>
      <c r="I53" s="29"/>
      <c r="J53" s="57"/>
    </row>
    <row r="54" spans="1:10">
      <c r="A54" s="27">
        <v>36207</v>
      </c>
      <c r="B54" s="29">
        <v>30</v>
      </c>
      <c r="C54" s="29">
        <v>119</v>
      </c>
      <c r="D54" s="29">
        <v>-89</v>
      </c>
      <c r="E54" s="38">
        <v>259</v>
      </c>
      <c r="F54" s="29"/>
      <c r="G54" s="29"/>
      <c r="H54" s="29"/>
      <c r="I54" s="29"/>
      <c r="J54" s="57"/>
    </row>
    <row r="55" spans="1:10">
      <c r="A55" s="26">
        <v>36208</v>
      </c>
      <c r="B55" s="28">
        <v>22</v>
      </c>
      <c r="C55" s="28">
        <v>156</v>
      </c>
      <c r="D55" s="28">
        <v>-134</v>
      </c>
      <c r="E55" s="242">
        <v>125</v>
      </c>
      <c r="F55" s="28"/>
      <c r="G55" s="28"/>
      <c r="H55" s="28"/>
      <c r="I55" s="28"/>
      <c r="J55" s="54"/>
    </row>
    <row r="59" spans="1:10" ht="15">
      <c r="A59" s="241" t="s">
        <v>863</v>
      </c>
    </row>
    <row r="60" spans="1:10" ht="15">
      <c r="A60" s="241" t="s">
        <v>864</v>
      </c>
    </row>
  </sheetData>
  <mergeCells count="1">
    <mergeCell ref="B4:J4"/>
  </mergeCells>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84994"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84995"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84996"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N248"/>
  <sheetViews>
    <sheetView workbookViewId="0"/>
  </sheetViews>
  <sheetFormatPr baseColWidth="10" defaultColWidth="8.83203125" defaultRowHeight="12" x14ac:dyDescent="0"/>
  <cols>
    <col min="1" max="1" width="11" customWidth="1"/>
    <col min="4" max="4" width="12.5" customWidth="1"/>
  </cols>
  <sheetData>
    <row r="1" spans="1:14">
      <c r="A1" s="21"/>
      <c r="B1" s="21"/>
      <c r="C1" s="21" t="s">
        <v>846</v>
      </c>
      <c r="D1" s="21"/>
      <c r="E1" s="21"/>
      <c r="F1" s="21"/>
      <c r="G1" s="21"/>
      <c r="H1" s="21"/>
      <c r="I1" s="21"/>
    </row>
    <row r="2" spans="1:14" ht="21" customHeight="1">
      <c r="A2" s="21"/>
      <c r="B2" s="21"/>
      <c r="C2" s="21"/>
      <c r="D2" s="374"/>
      <c r="E2" s="374"/>
      <c r="F2" s="374"/>
      <c r="G2" s="374"/>
      <c r="H2" s="374"/>
      <c r="I2" s="374"/>
      <c r="J2" s="372"/>
      <c r="K2" s="372"/>
      <c r="L2" s="372"/>
      <c r="M2" s="372"/>
      <c r="N2" s="372"/>
    </row>
    <row r="3" spans="1:14">
      <c r="A3" s="19" t="s">
        <v>1045</v>
      </c>
      <c r="B3" s="20" t="s">
        <v>1257</v>
      </c>
      <c r="C3" s="21"/>
      <c r="D3" s="21"/>
      <c r="E3" s="21"/>
      <c r="F3" s="21"/>
      <c r="G3" s="21"/>
      <c r="H3" s="21"/>
      <c r="I3" s="21"/>
    </row>
    <row r="4" spans="1:14" ht="34.5" customHeight="1">
      <c r="A4" s="118" t="s">
        <v>779</v>
      </c>
      <c r="B4" s="446" t="s">
        <v>866</v>
      </c>
      <c r="C4" s="446"/>
      <c r="D4" s="446"/>
      <c r="E4" s="446"/>
      <c r="F4" s="446"/>
      <c r="G4" s="446"/>
      <c r="H4" s="446"/>
      <c r="I4" s="446"/>
    </row>
    <row r="5" spans="1:14" ht="15">
      <c r="A5" s="19"/>
      <c r="B5" s="127"/>
      <c r="C5" s="115" t="s">
        <v>1257</v>
      </c>
      <c r="D5" s="21"/>
      <c r="E5" s="21"/>
      <c r="F5" s="21"/>
      <c r="G5" s="21"/>
      <c r="H5" s="21"/>
      <c r="I5" s="21"/>
    </row>
    <row r="6" spans="1:14" ht="39.75" customHeight="1">
      <c r="A6" s="22" t="s">
        <v>1090</v>
      </c>
      <c r="B6" s="22" t="s">
        <v>1254</v>
      </c>
      <c r="C6" s="22" t="s">
        <v>1255</v>
      </c>
      <c r="D6" s="31" t="s">
        <v>865</v>
      </c>
      <c r="E6" s="22"/>
      <c r="F6" s="22"/>
      <c r="G6" s="22"/>
      <c r="H6" s="22"/>
      <c r="I6" s="22"/>
    </row>
    <row r="7" spans="1:14">
      <c r="A7" s="26">
        <v>36136</v>
      </c>
      <c r="B7" s="28">
        <v>98</v>
      </c>
      <c r="C7" s="28">
        <v>43</v>
      </c>
      <c r="D7" s="28">
        <f t="shared" ref="D7:D54" si="0">B7-C7</f>
        <v>55</v>
      </c>
      <c r="E7" s="28"/>
      <c r="F7" s="28"/>
      <c r="G7" s="28"/>
      <c r="H7" s="28"/>
      <c r="I7" s="54"/>
    </row>
    <row r="8" spans="1:14">
      <c r="A8" s="26">
        <v>36137</v>
      </c>
      <c r="B8" s="28">
        <v>100</v>
      </c>
      <c r="C8" s="28">
        <v>42</v>
      </c>
      <c r="D8" s="28">
        <f t="shared" si="0"/>
        <v>58</v>
      </c>
      <c r="E8" s="28"/>
      <c r="F8" s="28"/>
      <c r="G8" s="28"/>
      <c r="H8" s="28"/>
      <c r="I8" s="54"/>
    </row>
    <row r="9" spans="1:14">
      <c r="A9" s="27">
        <v>36138</v>
      </c>
      <c r="B9" s="29">
        <v>87</v>
      </c>
      <c r="C9" s="29">
        <v>49</v>
      </c>
      <c r="D9" s="29">
        <f t="shared" si="0"/>
        <v>38</v>
      </c>
      <c r="E9" s="29"/>
      <c r="F9" s="29"/>
      <c r="G9" s="29"/>
      <c r="H9" s="29"/>
      <c r="I9" s="57"/>
    </row>
    <row r="10" spans="1:14">
      <c r="A10" s="27">
        <v>36139</v>
      </c>
      <c r="B10" s="29">
        <v>72</v>
      </c>
      <c r="C10" s="29">
        <v>76</v>
      </c>
      <c r="D10" s="29">
        <f t="shared" si="0"/>
        <v>-4</v>
      </c>
      <c r="E10" s="29"/>
      <c r="F10" s="29"/>
      <c r="G10" s="29"/>
      <c r="H10" s="29"/>
      <c r="I10" s="57"/>
    </row>
    <row r="11" spans="1:14">
      <c r="A11" s="26">
        <v>36140</v>
      </c>
      <c r="B11" s="28">
        <v>39</v>
      </c>
      <c r="C11" s="28">
        <v>83</v>
      </c>
      <c r="D11" s="28">
        <f t="shared" si="0"/>
        <v>-44</v>
      </c>
      <c r="E11" s="28"/>
      <c r="F11" s="28"/>
      <c r="G11" s="28"/>
      <c r="H11" s="28"/>
      <c r="I11" s="54"/>
    </row>
    <row r="12" spans="1:14">
      <c r="A12" s="26">
        <v>36143</v>
      </c>
      <c r="B12" s="28">
        <v>29</v>
      </c>
      <c r="C12" s="28">
        <v>109</v>
      </c>
      <c r="D12" s="28">
        <f t="shared" si="0"/>
        <v>-80</v>
      </c>
      <c r="E12" s="28"/>
      <c r="F12" s="28"/>
      <c r="G12" s="28"/>
      <c r="H12" s="28"/>
      <c r="I12" s="54"/>
    </row>
    <row r="13" spans="1:14">
      <c r="A13" s="27">
        <v>36144</v>
      </c>
      <c r="B13" s="29">
        <v>43</v>
      </c>
      <c r="C13" s="29">
        <v>105</v>
      </c>
      <c r="D13" s="29">
        <f t="shared" si="0"/>
        <v>-62</v>
      </c>
      <c r="E13" s="29"/>
      <c r="F13" s="29"/>
      <c r="G13" s="29"/>
      <c r="H13" s="29"/>
      <c r="I13" s="57"/>
    </row>
    <row r="14" spans="1:14">
      <c r="A14" s="27">
        <v>36145</v>
      </c>
      <c r="B14" s="29">
        <v>43</v>
      </c>
      <c r="C14" s="29">
        <v>73</v>
      </c>
      <c r="D14" s="29">
        <f t="shared" si="0"/>
        <v>-30</v>
      </c>
      <c r="E14" s="29"/>
      <c r="F14" s="29"/>
      <c r="G14" s="29"/>
      <c r="H14" s="29"/>
      <c r="I14" s="57"/>
    </row>
    <row r="15" spans="1:14">
      <c r="A15" s="26">
        <v>36146</v>
      </c>
      <c r="B15" s="28">
        <v>61</v>
      </c>
      <c r="C15" s="28">
        <v>68</v>
      </c>
      <c r="D15" s="28">
        <f t="shared" si="0"/>
        <v>-7</v>
      </c>
      <c r="E15" s="28"/>
      <c r="F15" s="28"/>
      <c r="G15" s="28"/>
      <c r="H15" s="28"/>
      <c r="I15" s="54"/>
    </row>
    <row r="16" spans="1:14">
      <c r="A16" s="26">
        <v>36147</v>
      </c>
      <c r="B16" s="28">
        <v>84</v>
      </c>
      <c r="C16" s="28">
        <v>62</v>
      </c>
      <c r="D16" s="28">
        <f t="shared" si="0"/>
        <v>22</v>
      </c>
      <c r="E16" s="28"/>
      <c r="F16" s="28"/>
      <c r="G16" s="28"/>
      <c r="H16" s="28"/>
      <c r="I16" s="54"/>
    </row>
    <row r="17" spans="1:9">
      <c r="A17" s="27">
        <v>36150</v>
      </c>
      <c r="B17" s="29">
        <v>134</v>
      </c>
      <c r="C17" s="29">
        <v>64</v>
      </c>
      <c r="D17" s="29">
        <f t="shared" si="0"/>
        <v>70</v>
      </c>
      <c r="E17" s="29"/>
      <c r="F17" s="29"/>
      <c r="G17" s="29"/>
      <c r="H17" s="29"/>
      <c r="I17" s="57"/>
    </row>
    <row r="18" spans="1:9">
      <c r="A18" s="27">
        <v>36151</v>
      </c>
      <c r="B18" s="29">
        <v>81</v>
      </c>
      <c r="C18" s="29">
        <v>90</v>
      </c>
      <c r="D18" s="29">
        <f t="shared" si="0"/>
        <v>-9</v>
      </c>
      <c r="E18" s="29"/>
      <c r="F18" s="29"/>
      <c r="G18" s="29"/>
      <c r="H18" s="29"/>
      <c r="I18" s="57"/>
    </row>
    <row r="19" spans="1:9">
      <c r="A19" s="26">
        <v>36152</v>
      </c>
      <c r="B19" s="28">
        <v>136</v>
      </c>
      <c r="C19" s="28">
        <v>77</v>
      </c>
      <c r="D19" s="28">
        <f t="shared" si="0"/>
        <v>59</v>
      </c>
      <c r="E19" s="28"/>
      <c r="F19" s="28"/>
      <c r="G19" s="28"/>
      <c r="H19" s="28"/>
      <c r="I19" s="54"/>
    </row>
    <row r="20" spans="1:9">
      <c r="A20" s="26">
        <v>36153</v>
      </c>
      <c r="B20" s="28">
        <v>99</v>
      </c>
      <c r="C20" s="28">
        <v>27</v>
      </c>
      <c r="D20" s="28">
        <f t="shared" si="0"/>
        <v>72</v>
      </c>
      <c r="E20" s="28"/>
      <c r="F20" s="28"/>
      <c r="G20" s="28"/>
      <c r="H20" s="28"/>
      <c r="I20" s="54"/>
    </row>
    <row r="21" spans="1:9">
      <c r="A21" s="27">
        <v>36157</v>
      </c>
      <c r="B21" s="29">
        <v>108</v>
      </c>
      <c r="C21" s="29">
        <v>60</v>
      </c>
      <c r="D21" s="29">
        <f t="shared" si="0"/>
        <v>48</v>
      </c>
      <c r="E21" s="29"/>
      <c r="F21" s="29"/>
      <c r="G21" s="29"/>
      <c r="H21" s="29"/>
      <c r="I21" s="57"/>
    </row>
    <row r="22" spans="1:9">
      <c r="A22" s="27">
        <v>36158</v>
      </c>
      <c r="B22" s="29">
        <v>129</v>
      </c>
      <c r="C22" s="29">
        <v>71</v>
      </c>
      <c r="D22" s="29">
        <f t="shared" si="0"/>
        <v>58</v>
      </c>
      <c r="E22" s="29"/>
      <c r="F22" s="29"/>
      <c r="G22" s="29"/>
      <c r="H22" s="29"/>
      <c r="I22" s="57"/>
    </row>
    <row r="23" spans="1:9">
      <c r="A23" s="26">
        <v>36159</v>
      </c>
      <c r="B23" s="28">
        <v>124</v>
      </c>
      <c r="C23" s="28">
        <v>56</v>
      </c>
      <c r="D23" s="28">
        <f t="shared" si="0"/>
        <v>68</v>
      </c>
      <c r="E23" s="28"/>
      <c r="F23" s="28"/>
      <c r="G23" s="28"/>
      <c r="H23" s="28"/>
      <c r="I23" s="54"/>
    </row>
    <row r="24" spans="1:9">
      <c r="A24" s="26">
        <v>36160</v>
      </c>
      <c r="B24" s="28">
        <v>142</v>
      </c>
      <c r="C24" s="28">
        <v>30</v>
      </c>
      <c r="D24" s="28">
        <f t="shared" si="0"/>
        <v>112</v>
      </c>
      <c r="E24" s="28"/>
      <c r="F24" s="28"/>
      <c r="G24" s="28"/>
      <c r="H24" s="28"/>
      <c r="I24" s="54"/>
    </row>
    <row r="25" spans="1:9">
      <c r="A25" s="27">
        <v>36164</v>
      </c>
      <c r="B25" s="29">
        <v>133</v>
      </c>
      <c r="C25" s="29">
        <v>16</v>
      </c>
      <c r="D25" s="29">
        <f t="shared" si="0"/>
        <v>117</v>
      </c>
      <c r="E25" s="29"/>
      <c r="F25" s="29"/>
      <c r="G25" s="29"/>
      <c r="H25" s="29"/>
      <c r="I25" s="57"/>
    </row>
    <row r="26" spans="1:9">
      <c r="A26" s="27">
        <v>36165</v>
      </c>
      <c r="B26" s="29">
        <v>90</v>
      </c>
      <c r="C26" s="29">
        <v>12</v>
      </c>
      <c r="D26" s="29">
        <f t="shared" si="0"/>
        <v>78</v>
      </c>
      <c r="E26" s="29"/>
      <c r="F26" s="29"/>
      <c r="G26" s="29"/>
      <c r="H26" s="29"/>
      <c r="I26" s="57"/>
    </row>
    <row r="27" spans="1:9">
      <c r="A27" s="26">
        <v>36166</v>
      </c>
      <c r="B27" s="28">
        <v>153</v>
      </c>
      <c r="C27" s="28">
        <v>15</v>
      </c>
      <c r="D27" s="28">
        <f t="shared" si="0"/>
        <v>138</v>
      </c>
      <c r="E27" s="28"/>
      <c r="F27" s="28"/>
      <c r="G27" s="28"/>
      <c r="H27" s="28"/>
      <c r="I27" s="54"/>
    </row>
    <row r="28" spans="1:9">
      <c r="A28" s="26">
        <v>36167</v>
      </c>
      <c r="B28" s="28">
        <v>63</v>
      </c>
      <c r="C28" s="28">
        <v>22</v>
      </c>
      <c r="D28" s="28">
        <f t="shared" si="0"/>
        <v>41</v>
      </c>
      <c r="E28" s="28"/>
      <c r="F28" s="28"/>
      <c r="G28" s="28"/>
      <c r="H28" s="28"/>
      <c r="I28" s="54"/>
    </row>
    <row r="29" spans="1:9">
      <c r="A29" s="27">
        <v>36168</v>
      </c>
      <c r="B29" s="29">
        <v>93</v>
      </c>
      <c r="C29" s="29">
        <v>17</v>
      </c>
      <c r="D29" s="29">
        <f t="shared" si="0"/>
        <v>76</v>
      </c>
      <c r="E29" s="29"/>
      <c r="F29" s="29"/>
      <c r="G29" s="29"/>
      <c r="H29" s="29"/>
      <c r="I29" s="57"/>
    </row>
    <row r="30" spans="1:9">
      <c r="A30" s="27">
        <v>36171</v>
      </c>
      <c r="B30" s="29">
        <v>57</v>
      </c>
      <c r="C30" s="29">
        <v>32</v>
      </c>
      <c r="D30" s="29">
        <f t="shared" si="0"/>
        <v>25</v>
      </c>
      <c r="E30" s="29"/>
      <c r="F30" s="29"/>
      <c r="G30" s="29"/>
      <c r="H30" s="29"/>
      <c r="I30" s="57"/>
    </row>
    <row r="31" spans="1:9">
      <c r="A31" s="26">
        <v>36172</v>
      </c>
      <c r="B31" s="28">
        <v>38</v>
      </c>
      <c r="C31" s="28">
        <v>34</v>
      </c>
      <c r="D31" s="28">
        <f t="shared" si="0"/>
        <v>4</v>
      </c>
      <c r="E31" s="28"/>
      <c r="F31" s="28"/>
      <c r="G31" s="28"/>
      <c r="H31" s="28"/>
      <c r="I31" s="54"/>
    </row>
    <row r="32" spans="1:9">
      <c r="A32" s="26">
        <v>36173</v>
      </c>
      <c r="B32" s="28">
        <v>22</v>
      </c>
      <c r="C32" s="28">
        <v>71</v>
      </c>
      <c r="D32" s="28">
        <f t="shared" si="0"/>
        <v>-49</v>
      </c>
      <c r="E32" s="28"/>
      <c r="F32" s="28"/>
      <c r="G32" s="28"/>
      <c r="H32" s="28"/>
      <c r="I32" s="54"/>
    </row>
    <row r="33" spans="1:9">
      <c r="A33" s="27">
        <v>36174</v>
      </c>
      <c r="B33" s="29">
        <v>22</v>
      </c>
      <c r="C33" s="29">
        <v>50</v>
      </c>
      <c r="D33" s="29">
        <f t="shared" si="0"/>
        <v>-28</v>
      </c>
      <c r="E33" s="29"/>
      <c r="F33" s="29"/>
      <c r="G33" s="29"/>
      <c r="H33" s="29"/>
      <c r="I33" s="57"/>
    </row>
    <row r="34" spans="1:9">
      <c r="A34" s="27">
        <v>36175</v>
      </c>
      <c r="B34" s="29">
        <v>39</v>
      </c>
      <c r="C34" s="29">
        <v>16</v>
      </c>
      <c r="D34" s="29">
        <f t="shared" si="0"/>
        <v>23</v>
      </c>
      <c r="E34" s="29"/>
      <c r="F34" s="29"/>
      <c r="G34" s="29"/>
      <c r="H34" s="29"/>
      <c r="I34" s="57"/>
    </row>
    <row r="35" spans="1:9">
      <c r="A35" s="26">
        <v>36179</v>
      </c>
      <c r="B35" s="28">
        <v>93</v>
      </c>
      <c r="C35" s="28">
        <v>31</v>
      </c>
      <c r="D35" s="28">
        <f t="shared" si="0"/>
        <v>62</v>
      </c>
      <c r="E35" s="28"/>
      <c r="F35" s="28"/>
      <c r="G35" s="28"/>
      <c r="H35" s="28"/>
      <c r="I35" s="54"/>
    </row>
    <row r="36" spans="1:9">
      <c r="A36" s="26">
        <v>36180</v>
      </c>
      <c r="B36" s="28">
        <v>106</v>
      </c>
      <c r="C36" s="28">
        <v>50</v>
      </c>
      <c r="D36" s="28">
        <f t="shared" si="0"/>
        <v>56</v>
      </c>
      <c r="E36" s="28"/>
      <c r="F36" s="28"/>
      <c r="G36" s="28"/>
      <c r="H36" s="28"/>
      <c r="I36" s="54"/>
    </row>
    <row r="37" spans="1:9">
      <c r="A37" s="27">
        <v>36181</v>
      </c>
      <c r="B37" s="29">
        <v>56</v>
      </c>
      <c r="C37" s="29">
        <v>50</v>
      </c>
      <c r="D37" s="29">
        <f t="shared" si="0"/>
        <v>6</v>
      </c>
      <c r="E37" s="29"/>
      <c r="F37" s="29"/>
      <c r="G37" s="29"/>
      <c r="H37" s="29"/>
      <c r="I37" s="57"/>
    </row>
    <row r="38" spans="1:9">
      <c r="A38" s="27">
        <v>36182</v>
      </c>
      <c r="B38" s="29">
        <v>24</v>
      </c>
      <c r="C38" s="29">
        <v>53</v>
      </c>
      <c r="D38" s="29">
        <f t="shared" si="0"/>
        <v>-29</v>
      </c>
      <c r="E38" s="29"/>
      <c r="F38" s="29"/>
      <c r="G38" s="29"/>
      <c r="H38" s="29"/>
      <c r="I38" s="57"/>
    </row>
    <row r="39" spans="1:9">
      <c r="A39" s="26">
        <v>36185</v>
      </c>
      <c r="B39" s="28">
        <v>38</v>
      </c>
      <c r="C39" s="28">
        <v>47</v>
      </c>
      <c r="D39" s="28">
        <f t="shared" si="0"/>
        <v>-9</v>
      </c>
      <c r="E39" s="28"/>
      <c r="F39" s="28"/>
      <c r="G39" s="28"/>
      <c r="H39" s="28"/>
      <c r="I39" s="54"/>
    </row>
    <row r="40" spans="1:9">
      <c r="A40" s="26">
        <v>36186</v>
      </c>
      <c r="B40" s="28">
        <v>41</v>
      </c>
      <c r="C40" s="28">
        <v>57</v>
      </c>
      <c r="D40" s="28">
        <f t="shared" si="0"/>
        <v>-16</v>
      </c>
      <c r="E40" s="28"/>
      <c r="F40" s="28"/>
      <c r="G40" s="28"/>
      <c r="H40" s="28"/>
      <c r="I40" s="54"/>
    </row>
    <row r="41" spans="1:9">
      <c r="A41" s="27">
        <v>36187</v>
      </c>
      <c r="B41" s="29">
        <v>49</v>
      </c>
      <c r="C41" s="29">
        <v>73</v>
      </c>
      <c r="D41" s="29">
        <f t="shared" si="0"/>
        <v>-24</v>
      </c>
      <c r="E41" s="29"/>
      <c r="F41" s="29"/>
      <c r="G41" s="29"/>
      <c r="H41" s="29"/>
      <c r="I41" s="57"/>
    </row>
    <row r="42" spans="1:9">
      <c r="A42" s="27">
        <v>36188</v>
      </c>
      <c r="B42" s="29">
        <v>65</v>
      </c>
      <c r="C42" s="29">
        <v>85</v>
      </c>
      <c r="D42" s="29">
        <f t="shared" si="0"/>
        <v>-20</v>
      </c>
      <c r="E42" s="29"/>
      <c r="F42" s="29"/>
      <c r="G42" s="29"/>
      <c r="H42" s="29"/>
      <c r="I42" s="57"/>
    </row>
    <row r="43" spans="1:9">
      <c r="A43" s="26">
        <v>36189</v>
      </c>
      <c r="B43" s="28">
        <v>99</v>
      </c>
      <c r="C43" s="28">
        <v>91</v>
      </c>
      <c r="D43" s="28">
        <f t="shared" si="0"/>
        <v>8</v>
      </c>
      <c r="E43" s="28"/>
      <c r="F43" s="28"/>
      <c r="G43" s="28"/>
      <c r="H43" s="28"/>
      <c r="I43" s="54"/>
    </row>
    <row r="44" spans="1:9">
      <c r="A44" s="26">
        <v>36192</v>
      </c>
      <c r="B44" s="28">
        <v>84</v>
      </c>
      <c r="C44" s="28">
        <v>56</v>
      </c>
      <c r="D44" s="28">
        <f t="shared" si="0"/>
        <v>28</v>
      </c>
      <c r="E44" s="28"/>
      <c r="F44" s="28"/>
      <c r="G44" s="28"/>
      <c r="H44" s="28"/>
      <c r="I44" s="54"/>
    </row>
    <row r="45" spans="1:9">
      <c r="A45" s="27">
        <v>36193</v>
      </c>
      <c r="B45" s="29">
        <v>34</v>
      </c>
      <c r="C45" s="29">
        <v>85</v>
      </c>
      <c r="D45" s="29">
        <f t="shared" si="0"/>
        <v>-51</v>
      </c>
      <c r="E45" s="29"/>
      <c r="F45" s="29"/>
      <c r="G45" s="29"/>
      <c r="H45" s="29"/>
      <c r="I45" s="57"/>
    </row>
    <row r="46" spans="1:9">
      <c r="A46" s="27">
        <v>36194</v>
      </c>
      <c r="B46" s="29">
        <v>51</v>
      </c>
      <c r="C46" s="29">
        <v>74</v>
      </c>
      <c r="D46" s="29">
        <f t="shared" si="0"/>
        <v>-23</v>
      </c>
      <c r="E46" s="29"/>
      <c r="F46" s="29"/>
      <c r="G46" s="29"/>
      <c r="H46" s="29"/>
      <c r="I46" s="57"/>
    </row>
    <row r="47" spans="1:9">
      <c r="A47" s="26">
        <v>36195</v>
      </c>
      <c r="B47" s="28">
        <v>49</v>
      </c>
      <c r="C47" s="28">
        <v>77</v>
      </c>
      <c r="D47" s="28">
        <f t="shared" si="0"/>
        <v>-28</v>
      </c>
      <c r="E47" s="28"/>
      <c r="F47" s="28"/>
      <c r="G47" s="28"/>
      <c r="H47" s="28"/>
      <c r="I47" s="54"/>
    </row>
    <row r="48" spans="1:9">
      <c r="A48" s="26">
        <v>36196</v>
      </c>
      <c r="B48" s="28">
        <v>24</v>
      </c>
      <c r="C48" s="28">
        <v>59</v>
      </c>
      <c r="D48" s="28">
        <f t="shared" si="0"/>
        <v>-35</v>
      </c>
      <c r="E48" s="28"/>
      <c r="F48" s="28"/>
      <c r="G48" s="28"/>
      <c r="H48" s="28"/>
      <c r="I48" s="54"/>
    </row>
    <row r="49" spans="1:9">
      <c r="A49" s="27">
        <v>36199</v>
      </c>
      <c r="B49" s="29">
        <v>21</v>
      </c>
      <c r="C49" s="29">
        <v>73</v>
      </c>
      <c r="D49" s="29">
        <f t="shared" si="0"/>
        <v>-52</v>
      </c>
      <c r="E49" s="29"/>
      <c r="F49" s="29"/>
      <c r="G49" s="29"/>
      <c r="H49" s="29"/>
      <c r="I49" s="57"/>
    </row>
    <row r="50" spans="1:9">
      <c r="A50" s="27">
        <v>36200</v>
      </c>
      <c r="B50" s="29">
        <v>16</v>
      </c>
      <c r="C50" s="29">
        <v>81</v>
      </c>
      <c r="D50" s="29">
        <f t="shared" si="0"/>
        <v>-65</v>
      </c>
      <c r="E50" s="29"/>
      <c r="F50" s="29"/>
      <c r="G50" s="29"/>
      <c r="H50" s="29"/>
      <c r="I50" s="57"/>
    </row>
    <row r="51" spans="1:9">
      <c r="A51" s="26">
        <v>36201</v>
      </c>
      <c r="B51" s="28">
        <v>19</v>
      </c>
      <c r="C51" s="28">
        <v>97</v>
      </c>
      <c r="D51" s="28">
        <f t="shared" si="0"/>
        <v>-78</v>
      </c>
      <c r="E51" s="28"/>
      <c r="F51" s="28"/>
      <c r="G51" s="28"/>
      <c r="H51" s="28"/>
      <c r="I51" s="54"/>
    </row>
    <row r="52" spans="1:9">
      <c r="A52" s="26">
        <v>36202</v>
      </c>
      <c r="B52" s="28">
        <v>20</v>
      </c>
      <c r="C52" s="28">
        <v>104</v>
      </c>
      <c r="D52" s="28">
        <f t="shared" si="0"/>
        <v>-84</v>
      </c>
      <c r="E52" s="28"/>
      <c r="F52" s="28"/>
      <c r="G52" s="28"/>
      <c r="H52" s="28"/>
      <c r="I52" s="54"/>
    </row>
    <row r="53" spans="1:9">
      <c r="A53" s="27">
        <v>36203</v>
      </c>
      <c r="B53" s="29">
        <v>14</v>
      </c>
      <c r="C53" s="29">
        <v>161</v>
      </c>
      <c r="D53" s="29">
        <f t="shared" si="0"/>
        <v>-147</v>
      </c>
      <c r="E53" s="29"/>
      <c r="F53" s="29"/>
      <c r="G53" s="29"/>
      <c r="H53" s="29"/>
      <c r="I53" s="57"/>
    </row>
    <row r="54" spans="1:9">
      <c r="A54" s="27">
        <v>36207</v>
      </c>
      <c r="B54" s="29">
        <v>30</v>
      </c>
      <c r="C54" s="29">
        <v>119</v>
      </c>
      <c r="D54" s="29">
        <f t="shared" si="0"/>
        <v>-89</v>
      </c>
      <c r="E54" s="29"/>
      <c r="F54" s="29"/>
      <c r="G54" s="29"/>
      <c r="H54" s="29"/>
      <c r="I54" s="57"/>
    </row>
    <row r="55" spans="1:9">
      <c r="A55" s="26">
        <v>36208</v>
      </c>
      <c r="B55" s="28">
        <v>22</v>
      </c>
      <c r="C55" s="28">
        <v>156</v>
      </c>
      <c r="D55" s="28">
        <f>B55-C55</f>
        <v>-134</v>
      </c>
      <c r="E55" s="28"/>
      <c r="F55" s="28"/>
      <c r="G55" s="28"/>
      <c r="H55" s="28"/>
      <c r="I55" s="54"/>
    </row>
    <row r="56" spans="1:9">
      <c r="A56" s="8"/>
    </row>
    <row r="57" spans="1:9" ht="15">
      <c r="A57" s="241" t="s">
        <v>863</v>
      </c>
    </row>
    <row r="58" spans="1:9">
      <c r="A58" s="8"/>
    </row>
    <row r="59" spans="1:9">
      <c r="A59" s="8"/>
    </row>
    <row r="60" spans="1:9">
      <c r="A60" s="8"/>
    </row>
    <row r="61" spans="1:9">
      <c r="A61" s="8"/>
    </row>
    <row r="62" spans="1:9">
      <c r="A62" s="8"/>
    </row>
    <row r="63" spans="1:9">
      <c r="A63" s="8"/>
    </row>
    <row r="64" spans="1:9">
      <c r="A64" s="8"/>
    </row>
    <row r="65" spans="1:1">
      <c r="A65" s="8"/>
    </row>
    <row r="66" spans="1:1">
      <c r="A66" s="8"/>
    </row>
    <row r="67" spans="1:1">
      <c r="A67" s="8"/>
    </row>
    <row r="68" spans="1:1">
      <c r="A68" s="8"/>
    </row>
    <row r="69" spans="1:1">
      <c r="A69" s="8"/>
    </row>
    <row r="70" spans="1:1">
      <c r="A70" s="8"/>
    </row>
    <row r="71" spans="1:1">
      <c r="A71" s="8"/>
    </row>
    <row r="72" spans="1:1">
      <c r="A72" s="8"/>
    </row>
    <row r="73" spans="1:1">
      <c r="A73" s="8"/>
    </row>
    <row r="74" spans="1:1">
      <c r="A74" s="8"/>
    </row>
    <row r="75" spans="1:1">
      <c r="A75" s="8"/>
    </row>
    <row r="76" spans="1:1">
      <c r="A76" s="8"/>
    </row>
    <row r="77" spans="1:1">
      <c r="A77" s="8"/>
    </row>
    <row r="78" spans="1:1">
      <c r="A78" s="8"/>
    </row>
    <row r="79" spans="1:1">
      <c r="A79" s="8"/>
    </row>
    <row r="80" spans="1:1">
      <c r="A80" s="8"/>
    </row>
    <row r="81" spans="1:1">
      <c r="A81" s="8"/>
    </row>
    <row r="82" spans="1:1">
      <c r="A82" s="8"/>
    </row>
    <row r="83" spans="1:1">
      <c r="A83" s="8"/>
    </row>
    <row r="84" spans="1:1">
      <c r="A84" s="8"/>
    </row>
    <row r="85" spans="1:1">
      <c r="A85" s="8"/>
    </row>
    <row r="86" spans="1:1">
      <c r="A86" s="8"/>
    </row>
    <row r="87" spans="1:1">
      <c r="A87" s="8"/>
    </row>
    <row r="88" spans="1:1">
      <c r="A88" s="8"/>
    </row>
    <row r="89" spans="1:1">
      <c r="A89" s="8"/>
    </row>
    <row r="90" spans="1:1">
      <c r="A90" s="8"/>
    </row>
    <row r="91" spans="1:1">
      <c r="A91" s="8"/>
    </row>
    <row r="92" spans="1:1">
      <c r="A92" s="8"/>
    </row>
    <row r="93" spans="1:1">
      <c r="A93" s="8"/>
    </row>
    <row r="94" spans="1:1">
      <c r="A94" s="8"/>
    </row>
    <row r="95" spans="1:1">
      <c r="A95" s="8"/>
    </row>
    <row r="96" spans="1:1">
      <c r="A96" s="8"/>
    </row>
    <row r="97" spans="1:1">
      <c r="A97" s="8"/>
    </row>
    <row r="98" spans="1:1">
      <c r="A98" s="8"/>
    </row>
    <row r="99" spans="1:1">
      <c r="A99" s="8"/>
    </row>
    <row r="100" spans="1:1">
      <c r="A100" s="8"/>
    </row>
    <row r="101" spans="1:1">
      <c r="A101" s="8"/>
    </row>
    <row r="102" spans="1:1">
      <c r="A102" s="8"/>
    </row>
    <row r="103" spans="1:1">
      <c r="A103" s="8"/>
    </row>
    <row r="104" spans="1:1">
      <c r="A104" s="8"/>
    </row>
    <row r="105" spans="1:1">
      <c r="A105" s="8"/>
    </row>
    <row r="106" spans="1:1">
      <c r="A106" s="8"/>
    </row>
    <row r="107" spans="1:1">
      <c r="A107" s="8"/>
    </row>
    <row r="108" spans="1:1">
      <c r="A108" s="8"/>
    </row>
    <row r="109" spans="1:1">
      <c r="A109" s="8"/>
    </row>
    <row r="110" spans="1:1">
      <c r="A110" s="8"/>
    </row>
    <row r="111" spans="1:1">
      <c r="A111" s="8"/>
    </row>
    <row r="112" spans="1:1">
      <c r="A112" s="8"/>
    </row>
    <row r="113" spans="1:1">
      <c r="A113" s="8"/>
    </row>
    <row r="114" spans="1:1">
      <c r="A114" s="8"/>
    </row>
    <row r="115" spans="1:1">
      <c r="A115" s="8"/>
    </row>
    <row r="116" spans="1:1">
      <c r="A116" s="8"/>
    </row>
    <row r="117" spans="1:1">
      <c r="A117" s="8"/>
    </row>
    <row r="118" spans="1:1">
      <c r="A118" s="8"/>
    </row>
    <row r="119" spans="1:1">
      <c r="A119" s="8"/>
    </row>
    <row r="120" spans="1:1">
      <c r="A120" s="8"/>
    </row>
    <row r="121" spans="1:1">
      <c r="A121" s="8"/>
    </row>
    <row r="122" spans="1:1">
      <c r="A122" s="8"/>
    </row>
    <row r="123" spans="1:1">
      <c r="A123" s="8"/>
    </row>
    <row r="124" spans="1:1">
      <c r="A124" s="8"/>
    </row>
    <row r="125" spans="1:1">
      <c r="A125" s="8"/>
    </row>
    <row r="126" spans="1:1">
      <c r="A126" s="8"/>
    </row>
    <row r="127" spans="1:1">
      <c r="A127" s="8"/>
    </row>
    <row r="128" spans="1:1">
      <c r="A128" s="8"/>
    </row>
    <row r="129" spans="1:1">
      <c r="A129" s="8"/>
    </row>
    <row r="130" spans="1:1">
      <c r="A130" s="8"/>
    </row>
    <row r="131" spans="1:1">
      <c r="A131" s="8"/>
    </row>
    <row r="132" spans="1:1">
      <c r="A132" s="8"/>
    </row>
    <row r="133" spans="1:1">
      <c r="A133" s="8"/>
    </row>
    <row r="134" spans="1:1">
      <c r="A134" s="8"/>
    </row>
    <row r="135" spans="1:1">
      <c r="A135" s="8"/>
    </row>
    <row r="136" spans="1:1">
      <c r="A136" s="8"/>
    </row>
    <row r="137" spans="1:1">
      <c r="A137" s="8"/>
    </row>
    <row r="138" spans="1:1">
      <c r="A138" s="8"/>
    </row>
    <row r="139" spans="1:1">
      <c r="A139" s="8"/>
    </row>
    <row r="140" spans="1:1">
      <c r="A140" s="8"/>
    </row>
    <row r="141" spans="1:1">
      <c r="A141" s="8"/>
    </row>
    <row r="142" spans="1:1">
      <c r="A142" s="8"/>
    </row>
    <row r="143" spans="1:1">
      <c r="A143" s="8"/>
    </row>
    <row r="144" spans="1:1">
      <c r="A144" s="8"/>
    </row>
    <row r="145" spans="1:1">
      <c r="A145" s="8"/>
    </row>
    <row r="146" spans="1:1">
      <c r="A146" s="8"/>
    </row>
    <row r="147" spans="1:1">
      <c r="A147" s="8"/>
    </row>
    <row r="148" spans="1:1">
      <c r="A148" s="8"/>
    </row>
    <row r="149" spans="1:1">
      <c r="A149" s="8"/>
    </row>
    <row r="150" spans="1:1">
      <c r="A150" s="8"/>
    </row>
    <row r="151" spans="1:1">
      <c r="A151" s="8"/>
    </row>
    <row r="152" spans="1:1">
      <c r="A152" s="8"/>
    </row>
    <row r="153" spans="1:1">
      <c r="A153" s="8"/>
    </row>
    <row r="154" spans="1:1">
      <c r="A154" s="8"/>
    </row>
    <row r="155" spans="1:1">
      <c r="A155" s="8"/>
    </row>
    <row r="156" spans="1:1">
      <c r="A156" s="8"/>
    </row>
    <row r="157" spans="1:1">
      <c r="A157" s="8"/>
    </row>
    <row r="158" spans="1:1">
      <c r="A158" s="8"/>
    </row>
    <row r="159" spans="1:1">
      <c r="A159" s="8"/>
    </row>
    <row r="160" spans="1:1">
      <c r="A160" s="8"/>
    </row>
    <row r="161" spans="1:1">
      <c r="A161" s="8"/>
    </row>
    <row r="162" spans="1:1">
      <c r="A162" s="8"/>
    </row>
    <row r="163" spans="1:1">
      <c r="A163" s="8"/>
    </row>
    <row r="164" spans="1:1">
      <c r="A164" s="8"/>
    </row>
    <row r="165" spans="1:1">
      <c r="A165" s="8"/>
    </row>
    <row r="166" spans="1:1">
      <c r="A166" s="8"/>
    </row>
    <row r="167" spans="1:1">
      <c r="A167" s="8"/>
    </row>
    <row r="168" spans="1:1">
      <c r="A168" s="8"/>
    </row>
    <row r="169" spans="1:1">
      <c r="A169" s="8"/>
    </row>
    <row r="170" spans="1:1">
      <c r="A170" s="8"/>
    </row>
    <row r="171" spans="1:1">
      <c r="A171" s="8"/>
    </row>
    <row r="172" spans="1:1">
      <c r="A172" s="8"/>
    </row>
    <row r="173" spans="1:1">
      <c r="A173" s="8"/>
    </row>
    <row r="174" spans="1:1">
      <c r="A174" s="8"/>
    </row>
    <row r="175" spans="1:1">
      <c r="A175" s="8"/>
    </row>
    <row r="176" spans="1:1">
      <c r="A176" s="8"/>
    </row>
    <row r="177" spans="1:1">
      <c r="A177" s="8"/>
    </row>
    <row r="178" spans="1:1">
      <c r="A178" s="8"/>
    </row>
    <row r="179" spans="1:1">
      <c r="A179" s="8"/>
    </row>
    <row r="180" spans="1:1">
      <c r="A180" s="8"/>
    </row>
    <row r="181" spans="1:1">
      <c r="A181" s="8"/>
    </row>
    <row r="182" spans="1:1">
      <c r="A182" s="8"/>
    </row>
    <row r="183" spans="1:1">
      <c r="A183" s="8"/>
    </row>
    <row r="184" spans="1:1">
      <c r="A184" s="8"/>
    </row>
    <row r="185" spans="1:1">
      <c r="A185" s="8"/>
    </row>
    <row r="186" spans="1:1">
      <c r="A186" s="8"/>
    </row>
    <row r="187" spans="1:1">
      <c r="A187" s="8"/>
    </row>
    <row r="188" spans="1:1">
      <c r="A188" s="8"/>
    </row>
    <row r="189" spans="1:1">
      <c r="A189" s="8"/>
    </row>
    <row r="190" spans="1:1">
      <c r="A190" s="8"/>
    </row>
    <row r="191" spans="1:1">
      <c r="A191" s="8"/>
    </row>
    <row r="192" spans="1:1">
      <c r="A192" s="8"/>
    </row>
    <row r="193" spans="1:1">
      <c r="A193" s="8"/>
    </row>
    <row r="194" spans="1:1">
      <c r="A194" s="8"/>
    </row>
    <row r="195" spans="1:1">
      <c r="A195" s="8"/>
    </row>
    <row r="196" spans="1:1">
      <c r="A196" s="8"/>
    </row>
    <row r="197" spans="1:1">
      <c r="A197" s="8"/>
    </row>
    <row r="198" spans="1:1">
      <c r="A198" s="8"/>
    </row>
    <row r="199" spans="1:1">
      <c r="A199" s="8"/>
    </row>
    <row r="200" spans="1:1">
      <c r="A200" s="8"/>
    </row>
    <row r="201" spans="1:1">
      <c r="A201" s="8"/>
    </row>
    <row r="202" spans="1:1">
      <c r="A202" s="8"/>
    </row>
    <row r="203" spans="1:1">
      <c r="A203" s="8"/>
    </row>
    <row r="204" spans="1:1">
      <c r="A204" s="8"/>
    </row>
    <row r="205" spans="1:1">
      <c r="A205" s="8"/>
    </row>
    <row r="206" spans="1:1">
      <c r="A206" s="8"/>
    </row>
    <row r="207" spans="1:1">
      <c r="A207" s="8"/>
    </row>
    <row r="208" spans="1:1">
      <c r="A208" s="8"/>
    </row>
    <row r="209" spans="1:1">
      <c r="A209" s="8"/>
    </row>
    <row r="210" spans="1:1">
      <c r="A210" s="8"/>
    </row>
    <row r="211" spans="1:1">
      <c r="A211" s="8"/>
    </row>
    <row r="212" spans="1:1">
      <c r="A212" s="8"/>
    </row>
    <row r="213" spans="1:1">
      <c r="A213" s="8"/>
    </row>
    <row r="214" spans="1:1">
      <c r="A214" s="8"/>
    </row>
    <row r="215" spans="1:1">
      <c r="A215" s="8"/>
    </row>
    <row r="216" spans="1:1">
      <c r="A216" s="8"/>
    </row>
    <row r="217" spans="1:1">
      <c r="A217" s="8"/>
    </row>
    <row r="218" spans="1:1">
      <c r="A218" s="8"/>
    </row>
    <row r="219" spans="1:1">
      <c r="A219" s="8"/>
    </row>
    <row r="220" spans="1:1">
      <c r="A220" s="8"/>
    </row>
    <row r="221" spans="1:1">
      <c r="A221" s="8"/>
    </row>
    <row r="222" spans="1:1">
      <c r="A222" s="8"/>
    </row>
    <row r="223" spans="1:1">
      <c r="A223" s="8"/>
    </row>
    <row r="224" spans="1:1">
      <c r="A224" s="8"/>
    </row>
    <row r="225" spans="1:1">
      <c r="A225" s="8"/>
    </row>
    <row r="226" spans="1:1">
      <c r="A226" s="8"/>
    </row>
    <row r="227" spans="1:1">
      <c r="A227" s="8"/>
    </row>
    <row r="228" spans="1:1">
      <c r="A228" s="8"/>
    </row>
    <row r="229" spans="1:1">
      <c r="A229" s="8"/>
    </row>
    <row r="230" spans="1:1">
      <c r="A230" s="8"/>
    </row>
    <row r="231" spans="1:1">
      <c r="A231" s="8"/>
    </row>
    <row r="232" spans="1:1">
      <c r="A232" s="8"/>
    </row>
    <row r="233" spans="1:1">
      <c r="A233" s="8"/>
    </row>
    <row r="234" spans="1:1">
      <c r="A234" s="8"/>
    </row>
    <row r="235" spans="1:1">
      <c r="A235" s="8"/>
    </row>
    <row r="236" spans="1:1">
      <c r="A236" s="8"/>
    </row>
    <row r="237" spans="1:1">
      <c r="A237" s="8"/>
    </row>
    <row r="238" spans="1:1">
      <c r="A238" s="8"/>
    </row>
    <row r="239" spans="1:1">
      <c r="A239" s="8"/>
    </row>
    <row r="240" spans="1:1">
      <c r="A240" s="8"/>
    </row>
    <row r="241" spans="1:1">
      <c r="A241" s="8"/>
    </row>
    <row r="242" spans="1:1">
      <c r="A242" s="8"/>
    </row>
    <row r="243" spans="1:1">
      <c r="A243" s="8"/>
    </row>
    <row r="244" spans="1:1">
      <c r="A244" s="8"/>
    </row>
    <row r="245" spans="1:1">
      <c r="A245" s="8"/>
    </row>
    <row r="246" spans="1:1">
      <c r="A246" s="8"/>
    </row>
    <row r="247" spans="1:1">
      <c r="A247" s="8"/>
    </row>
    <row r="248" spans="1:1">
      <c r="A248" s="8"/>
    </row>
  </sheetData>
  <mergeCells count="1">
    <mergeCell ref="B4:I4"/>
  </mergeCells>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86017"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86018"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86019" r:id="rId5" name="Button 3">
              <controlPr defaultSize="0" print="0" autoFill="0" autoPict="0" macro="[0]!Previous_Button_Click">
                <anchor moveWithCells="1" sizeWithCells="1">
                  <from>
                    <xdr:col>3</xdr:col>
                    <xdr:colOff>203200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86020"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N58"/>
  <sheetViews>
    <sheetView workbookViewId="0"/>
  </sheetViews>
  <sheetFormatPr baseColWidth="10" defaultColWidth="8.83203125" defaultRowHeight="12" x14ac:dyDescent="0"/>
  <cols>
    <col min="1" max="1" width="10.5" customWidth="1"/>
    <col min="4" max="4" width="11" customWidth="1"/>
  </cols>
  <sheetData>
    <row r="1" spans="1:14">
      <c r="A1" s="21"/>
      <c r="B1" s="21"/>
      <c r="C1" s="21" t="s">
        <v>846</v>
      </c>
      <c r="D1" s="21"/>
      <c r="E1" s="21"/>
      <c r="F1" s="21"/>
      <c r="G1" s="21"/>
      <c r="H1" s="21"/>
      <c r="I1" s="21"/>
    </row>
    <row r="2" spans="1:14" ht="21" customHeight="1">
      <c r="A2" s="21"/>
      <c r="B2" s="21"/>
      <c r="C2" s="21"/>
      <c r="D2" s="374"/>
      <c r="E2" s="374"/>
      <c r="F2" s="374"/>
      <c r="G2" s="374"/>
      <c r="H2" s="374"/>
      <c r="I2" s="374"/>
      <c r="J2" s="372"/>
      <c r="K2" s="372"/>
      <c r="L2" s="372"/>
      <c r="M2" s="372"/>
      <c r="N2" s="372"/>
    </row>
    <row r="3" spans="1:14">
      <c r="A3" s="19" t="s">
        <v>1045</v>
      </c>
      <c r="B3" s="20" t="s">
        <v>819</v>
      </c>
      <c r="C3" s="21"/>
      <c r="D3" s="21"/>
      <c r="E3" s="21"/>
      <c r="F3" s="21"/>
      <c r="G3" s="21"/>
      <c r="H3" s="21"/>
      <c r="I3" s="21"/>
    </row>
    <row r="4" spans="1:14" ht="15">
      <c r="A4" s="118" t="s">
        <v>779</v>
      </c>
      <c r="B4" s="127" t="s">
        <v>532</v>
      </c>
      <c r="C4" s="21"/>
      <c r="D4" s="21"/>
      <c r="E4" s="21"/>
      <c r="F4" s="21"/>
      <c r="G4" s="21"/>
      <c r="H4" s="21"/>
      <c r="I4" s="21"/>
    </row>
    <row r="5" spans="1:14" ht="33.75" customHeight="1">
      <c r="A5" s="21"/>
      <c r="B5" s="21"/>
      <c r="C5" s="21"/>
      <c r="D5" s="21"/>
      <c r="E5" s="21"/>
      <c r="F5" s="21"/>
      <c r="G5" s="21"/>
      <c r="H5" s="21"/>
      <c r="I5" s="21"/>
    </row>
    <row r="6" spans="1:14" ht="40.5" customHeight="1">
      <c r="A6" s="22" t="s">
        <v>1090</v>
      </c>
      <c r="B6" s="22" t="s">
        <v>1254</v>
      </c>
      <c r="C6" s="22" t="s">
        <v>1255</v>
      </c>
      <c r="D6" s="31" t="s">
        <v>868</v>
      </c>
      <c r="E6" s="22"/>
      <c r="F6" s="22"/>
      <c r="G6" s="22"/>
      <c r="H6" s="22"/>
      <c r="I6" s="22"/>
    </row>
    <row r="7" spans="1:14">
      <c r="A7" s="26">
        <v>36136</v>
      </c>
      <c r="B7" s="28">
        <v>98</v>
      </c>
      <c r="C7" s="28">
        <v>43</v>
      </c>
      <c r="D7" s="91">
        <f t="shared" ref="D7:D54" si="0">B7/C7</f>
        <v>2.2790697674418605</v>
      </c>
      <c r="E7" s="28"/>
      <c r="F7" s="28"/>
      <c r="G7" s="28"/>
      <c r="H7" s="28"/>
      <c r="I7" s="54"/>
    </row>
    <row r="8" spans="1:14">
      <c r="A8" s="26">
        <v>36137</v>
      </c>
      <c r="B8" s="28">
        <v>100</v>
      </c>
      <c r="C8" s="28">
        <v>42</v>
      </c>
      <c r="D8" s="91">
        <f t="shared" si="0"/>
        <v>2.3809523809523809</v>
      </c>
      <c r="E8" s="28"/>
      <c r="F8" s="28"/>
      <c r="G8" s="28"/>
      <c r="H8" s="28"/>
      <c r="I8" s="54"/>
    </row>
    <row r="9" spans="1:14">
      <c r="A9" s="27">
        <v>36138</v>
      </c>
      <c r="B9" s="29">
        <v>87</v>
      </c>
      <c r="C9" s="29">
        <v>49</v>
      </c>
      <c r="D9" s="90">
        <f t="shared" si="0"/>
        <v>1.7755102040816326</v>
      </c>
      <c r="E9" s="29"/>
      <c r="F9" s="29"/>
      <c r="G9" s="29"/>
      <c r="H9" s="29"/>
      <c r="I9" s="57"/>
    </row>
    <row r="10" spans="1:14">
      <c r="A10" s="27">
        <v>36139</v>
      </c>
      <c r="B10" s="29">
        <v>72</v>
      </c>
      <c r="C10" s="29">
        <v>76</v>
      </c>
      <c r="D10" s="90">
        <f t="shared" si="0"/>
        <v>0.94736842105263153</v>
      </c>
      <c r="E10" s="29"/>
      <c r="F10" s="29"/>
      <c r="G10" s="29"/>
      <c r="H10" s="29"/>
      <c r="I10" s="57"/>
    </row>
    <row r="11" spans="1:14">
      <c r="A11" s="26">
        <v>36140</v>
      </c>
      <c r="B11" s="28">
        <v>39</v>
      </c>
      <c r="C11" s="28">
        <v>83</v>
      </c>
      <c r="D11" s="91">
        <f t="shared" si="0"/>
        <v>0.46987951807228917</v>
      </c>
      <c r="E11" s="28"/>
      <c r="F11" s="28"/>
      <c r="G11" s="28"/>
      <c r="H11" s="28"/>
      <c r="I11" s="54"/>
    </row>
    <row r="12" spans="1:14">
      <c r="A12" s="26">
        <v>36143</v>
      </c>
      <c r="B12" s="28">
        <v>29</v>
      </c>
      <c r="C12" s="28">
        <v>109</v>
      </c>
      <c r="D12" s="91">
        <f t="shared" si="0"/>
        <v>0.26605504587155965</v>
      </c>
      <c r="E12" s="28"/>
      <c r="F12" s="28"/>
      <c r="G12" s="28"/>
      <c r="H12" s="28"/>
      <c r="I12" s="54"/>
    </row>
    <row r="13" spans="1:14">
      <c r="A13" s="27">
        <v>36144</v>
      </c>
      <c r="B13" s="29">
        <v>43</v>
      </c>
      <c r="C13" s="29">
        <v>105</v>
      </c>
      <c r="D13" s="90">
        <f t="shared" si="0"/>
        <v>0.40952380952380951</v>
      </c>
      <c r="E13" s="29"/>
      <c r="F13" s="29"/>
      <c r="G13" s="29"/>
      <c r="H13" s="29"/>
      <c r="I13" s="57"/>
    </row>
    <row r="14" spans="1:14">
      <c r="A14" s="27">
        <v>36145</v>
      </c>
      <c r="B14" s="29">
        <v>43</v>
      </c>
      <c r="C14" s="29">
        <v>73</v>
      </c>
      <c r="D14" s="90">
        <f t="shared" si="0"/>
        <v>0.58904109589041098</v>
      </c>
      <c r="E14" s="29"/>
      <c r="F14" s="29"/>
      <c r="G14" s="29"/>
      <c r="H14" s="29"/>
      <c r="I14" s="57"/>
    </row>
    <row r="15" spans="1:14">
      <c r="A15" s="26">
        <v>36146</v>
      </c>
      <c r="B15" s="28">
        <v>61</v>
      </c>
      <c r="C15" s="28">
        <v>68</v>
      </c>
      <c r="D15" s="91">
        <f t="shared" si="0"/>
        <v>0.8970588235294118</v>
      </c>
      <c r="E15" s="28"/>
      <c r="F15" s="28"/>
      <c r="G15" s="28"/>
      <c r="H15" s="28"/>
      <c r="I15" s="54"/>
    </row>
    <row r="16" spans="1:14">
      <c r="A16" s="26">
        <v>36147</v>
      </c>
      <c r="B16" s="28">
        <v>84</v>
      </c>
      <c r="C16" s="28">
        <v>62</v>
      </c>
      <c r="D16" s="91">
        <f t="shared" si="0"/>
        <v>1.3548387096774193</v>
      </c>
      <c r="E16" s="28"/>
      <c r="F16" s="28"/>
      <c r="G16" s="28"/>
      <c r="H16" s="28"/>
      <c r="I16" s="54"/>
    </row>
    <row r="17" spans="1:9">
      <c r="A17" s="27">
        <v>36150</v>
      </c>
      <c r="B17" s="29">
        <v>134</v>
      </c>
      <c r="C17" s="29">
        <v>64</v>
      </c>
      <c r="D17" s="90">
        <f t="shared" si="0"/>
        <v>2.09375</v>
      </c>
      <c r="E17" s="29"/>
      <c r="F17" s="29"/>
      <c r="G17" s="29"/>
      <c r="H17" s="29"/>
      <c r="I17" s="57"/>
    </row>
    <row r="18" spans="1:9">
      <c r="A18" s="27">
        <v>36151</v>
      </c>
      <c r="B18" s="29">
        <v>81</v>
      </c>
      <c r="C18" s="29">
        <v>90</v>
      </c>
      <c r="D18" s="90">
        <f t="shared" si="0"/>
        <v>0.9</v>
      </c>
      <c r="E18" s="29"/>
      <c r="F18" s="29"/>
      <c r="G18" s="29"/>
      <c r="H18" s="29"/>
      <c r="I18" s="57"/>
    </row>
    <row r="19" spans="1:9">
      <c r="A19" s="26">
        <v>36152</v>
      </c>
      <c r="B19" s="28">
        <v>136</v>
      </c>
      <c r="C19" s="28">
        <v>77</v>
      </c>
      <c r="D19" s="91">
        <f t="shared" si="0"/>
        <v>1.7662337662337662</v>
      </c>
      <c r="E19" s="28"/>
      <c r="F19" s="28"/>
      <c r="G19" s="28"/>
      <c r="H19" s="28"/>
      <c r="I19" s="54"/>
    </row>
    <row r="20" spans="1:9">
      <c r="A20" s="26">
        <v>36153</v>
      </c>
      <c r="B20" s="28">
        <v>99</v>
      </c>
      <c r="C20" s="28">
        <v>27</v>
      </c>
      <c r="D20" s="91">
        <f t="shared" si="0"/>
        <v>3.6666666666666665</v>
      </c>
      <c r="E20" s="28"/>
      <c r="F20" s="28"/>
      <c r="G20" s="28"/>
      <c r="H20" s="28"/>
      <c r="I20" s="54"/>
    </row>
    <row r="21" spans="1:9">
      <c r="A21" s="27">
        <v>36157</v>
      </c>
      <c r="B21" s="29">
        <v>108</v>
      </c>
      <c r="C21" s="29">
        <v>60</v>
      </c>
      <c r="D21" s="90">
        <f t="shared" si="0"/>
        <v>1.8</v>
      </c>
      <c r="E21" s="29"/>
      <c r="F21" s="29"/>
      <c r="G21" s="29"/>
      <c r="H21" s="29"/>
      <c r="I21" s="57"/>
    </row>
    <row r="22" spans="1:9">
      <c r="A22" s="27">
        <v>36158</v>
      </c>
      <c r="B22" s="29">
        <v>129</v>
      </c>
      <c r="C22" s="29">
        <v>71</v>
      </c>
      <c r="D22" s="90">
        <f t="shared" si="0"/>
        <v>1.8169014084507042</v>
      </c>
      <c r="E22" s="29"/>
      <c r="F22" s="29"/>
      <c r="G22" s="29"/>
      <c r="H22" s="29"/>
      <c r="I22" s="57"/>
    </row>
    <row r="23" spans="1:9">
      <c r="A23" s="26">
        <v>36159</v>
      </c>
      <c r="B23" s="28">
        <v>124</v>
      </c>
      <c r="C23" s="28">
        <v>56</v>
      </c>
      <c r="D23" s="91">
        <f t="shared" si="0"/>
        <v>2.2142857142857144</v>
      </c>
      <c r="E23" s="28"/>
      <c r="F23" s="28"/>
      <c r="G23" s="28"/>
      <c r="H23" s="28"/>
      <c r="I23" s="54"/>
    </row>
    <row r="24" spans="1:9">
      <c r="A24" s="26">
        <v>36160</v>
      </c>
      <c r="B24" s="28">
        <v>142</v>
      </c>
      <c r="C24" s="28">
        <v>30</v>
      </c>
      <c r="D24" s="91">
        <f t="shared" si="0"/>
        <v>4.7333333333333334</v>
      </c>
      <c r="E24" s="28"/>
      <c r="F24" s="28"/>
      <c r="G24" s="28"/>
      <c r="H24" s="28"/>
      <c r="I24" s="54"/>
    </row>
    <row r="25" spans="1:9">
      <c r="A25" s="27">
        <v>36164</v>
      </c>
      <c r="B25" s="29">
        <v>133</v>
      </c>
      <c r="C25" s="29">
        <v>16</v>
      </c>
      <c r="D25" s="90">
        <f t="shared" si="0"/>
        <v>8.3125</v>
      </c>
      <c r="E25" s="29"/>
      <c r="F25" s="29"/>
      <c r="G25" s="29"/>
      <c r="H25" s="29"/>
      <c r="I25" s="57"/>
    </row>
    <row r="26" spans="1:9">
      <c r="A26" s="27">
        <v>36165</v>
      </c>
      <c r="B26" s="29">
        <v>90</v>
      </c>
      <c r="C26" s="29">
        <v>12</v>
      </c>
      <c r="D26" s="90">
        <f t="shared" si="0"/>
        <v>7.5</v>
      </c>
      <c r="E26" s="29"/>
      <c r="F26" s="29"/>
      <c r="G26" s="29"/>
      <c r="H26" s="29"/>
      <c r="I26" s="57"/>
    </row>
    <row r="27" spans="1:9">
      <c r="A27" s="26">
        <v>36166</v>
      </c>
      <c r="B27" s="28">
        <v>153</v>
      </c>
      <c r="C27" s="28">
        <v>15</v>
      </c>
      <c r="D27" s="91">
        <f t="shared" si="0"/>
        <v>10.199999999999999</v>
      </c>
      <c r="E27" s="28"/>
      <c r="F27" s="28"/>
      <c r="G27" s="28"/>
      <c r="H27" s="28"/>
      <c r="I27" s="54"/>
    </row>
    <row r="28" spans="1:9">
      <c r="A28" s="26">
        <v>36167</v>
      </c>
      <c r="B28" s="28">
        <v>63</v>
      </c>
      <c r="C28" s="28">
        <v>22</v>
      </c>
      <c r="D28" s="91">
        <f t="shared" si="0"/>
        <v>2.8636363636363638</v>
      </c>
      <c r="E28" s="28"/>
      <c r="F28" s="28"/>
      <c r="G28" s="28"/>
      <c r="H28" s="28"/>
      <c r="I28" s="54"/>
    </row>
    <row r="29" spans="1:9">
      <c r="A29" s="27">
        <v>36168</v>
      </c>
      <c r="B29" s="29">
        <v>93</v>
      </c>
      <c r="C29" s="29">
        <v>17</v>
      </c>
      <c r="D29" s="90">
        <f t="shared" si="0"/>
        <v>5.4705882352941178</v>
      </c>
      <c r="E29" s="29"/>
      <c r="F29" s="29"/>
      <c r="G29" s="29"/>
      <c r="H29" s="29"/>
      <c r="I29" s="57"/>
    </row>
    <row r="30" spans="1:9">
      <c r="A30" s="27">
        <v>36171</v>
      </c>
      <c r="B30" s="29">
        <v>57</v>
      </c>
      <c r="C30" s="29">
        <v>32</v>
      </c>
      <c r="D30" s="90">
        <f t="shared" si="0"/>
        <v>1.78125</v>
      </c>
      <c r="E30" s="29"/>
      <c r="F30" s="29"/>
      <c r="G30" s="29"/>
      <c r="H30" s="29"/>
      <c r="I30" s="57"/>
    </row>
    <row r="31" spans="1:9">
      <c r="A31" s="26">
        <v>36172</v>
      </c>
      <c r="B31" s="28">
        <v>38</v>
      </c>
      <c r="C31" s="28">
        <v>34</v>
      </c>
      <c r="D31" s="91">
        <f t="shared" si="0"/>
        <v>1.1176470588235294</v>
      </c>
      <c r="E31" s="28"/>
      <c r="F31" s="28"/>
      <c r="G31" s="28"/>
      <c r="H31" s="28"/>
      <c r="I31" s="54"/>
    </row>
    <row r="32" spans="1:9">
      <c r="A32" s="26">
        <v>36173</v>
      </c>
      <c r="B32" s="28">
        <v>22</v>
      </c>
      <c r="C32" s="28">
        <v>71</v>
      </c>
      <c r="D32" s="91">
        <f t="shared" si="0"/>
        <v>0.30985915492957744</v>
      </c>
      <c r="E32" s="28"/>
      <c r="F32" s="28"/>
      <c r="G32" s="28"/>
      <c r="H32" s="28"/>
      <c r="I32" s="54"/>
    </row>
    <row r="33" spans="1:9">
      <c r="A33" s="27">
        <v>36174</v>
      </c>
      <c r="B33" s="29">
        <v>22</v>
      </c>
      <c r="C33" s="29">
        <v>50</v>
      </c>
      <c r="D33" s="90">
        <f t="shared" si="0"/>
        <v>0.44</v>
      </c>
      <c r="E33" s="29"/>
      <c r="F33" s="29"/>
      <c r="G33" s="29"/>
      <c r="H33" s="29"/>
      <c r="I33" s="57"/>
    </row>
    <row r="34" spans="1:9">
      <c r="A34" s="27">
        <v>36175</v>
      </c>
      <c r="B34" s="29">
        <v>39</v>
      </c>
      <c r="C34" s="29">
        <v>16</v>
      </c>
      <c r="D34" s="90">
        <f t="shared" si="0"/>
        <v>2.4375</v>
      </c>
      <c r="E34" s="29"/>
      <c r="F34" s="29"/>
      <c r="G34" s="29"/>
      <c r="H34" s="29"/>
      <c r="I34" s="57"/>
    </row>
    <row r="35" spans="1:9">
      <c r="A35" s="26">
        <v>36179</v>
      </c>
      <c r="B35" s="28">
        <v>93</v>
      </c>
      <c r="C35" s="28">
        <v>31</v>
      </c>
      <c r="D35" s="91">
        <f t="shared" si="0"/>
        <v>3</v>
      </c>
      <c r="E35" s="28"/>
      <c r="F35" s="28"/>
      <c r="G35" s="28"/>
      <c r="H35" s="28"/>
      <c r="I35" s="54"/>
    </row>
    <row r="36" spans="1:9">
      <c r="A36" s="26">
        <v>36180</v>
      </c>
      <c r="B36" s="28">
        <v>106</v>
      </c>
      <c r="C36" s="28">
        <v>50</v>
      </c>
      <c r="D36" s="91">
        <f t="shared" si="0"/>
        <v>2.12</v>
      </c>
      <c r="E36" s="28"/>
      <c r="F36" s="28"/>
      <c r="G36" s="28"/>
      <c r="H36" s="28"/>
      <c r="I36" s="54"/>
    </row>
    <row r="37" spans="1:9">
      <c r="A37" s="27">
        <v>36181</v>
      </c>
      <c r="B37" s="29">
        <v>56</v>
      </c>
      <c r="C37" s="29">
        <v>50</v>
      </c>
      <c r="D37" s="90">
        <f t="shared" si="0"/>
        <v>1.1200000000000001</v>
      </c>
      <c r="E37" s="29"/>
      <c r="F37" s="29"/>
      <c r="G37" s="29"/>
      <c r="H37" s="29"/>
      <c r="I37" s="57"/>
    </row>
    <row r="38" spans="1:9">
      <c r="A38" s="27">
        <v>36182</v>
      </c>
      <c r="B38" s="29">
        <v>24</v>
      </c>
      <c r="C38" s="29">
        <v>53</v>
      </c>
      <c r="D38" s="90">
        <f t="shared" si="0"/>
        <v>0.45283018867924529</v>
      </c>
      <c r="E38" s="29"/>
      <c r="F38" s="29"/>
      <c r="G38" s="29"/>
      <c r="H38" s="29"/>
      <c r="I38" s="57"/>
    </row>
    <row r="39" spans="1:9">
      <c r="A39" s="26">
        <v>36185</v>
      </c>
      <c r="B39" s="28">
        <v>38</v>
      </c>
      <c r="C39" s="28">
        <v>47</v>
      </c>
      <c r="D39" s="91">
        <f t="shared" si="0"/>
        <v>0.80851063829787229</v>
      </c>
      <c r="E39" s="28"/>
      <c r="F39" s="28"/>
      <c r="G39" s="28"/>
      <c r="H39" s="28"/>
      <c r="I39" s="54"/>
    </row>
    <row r="40" spans="1:9">
      <c r="A40" s="26">
        <v>36186</v>
      </c>
      <c r="B40" s="28">
        <v>41</v>
      </c>
      <c r="C40" s="28">
        <v>57</v>
      </c>
      <c r="D40" s="91">
        <f t="shared" si="0"/>
        <v>0.7192982456140351</v>
      </c>
      <c r="E40" s="28"/>
      <c r="F40" s="28"/>
      <c r="G40" s="28"/>
      <c r="H40" s="28"/>
      <c r="I40" s="54"/>
    </row>
    <row r="41" spans="1:9">
      <c r="A41" s="27">
        <v>36187</v>
      </c>
      <c r="B41" s="29">
        <v>49</v>
      </c>
      <c r="C41" s="29">
        <v>73</v>
      </c>
      <c r="D41" s="90">
        <f t="shared" si="0"/>
        <v>0.67123287671232879</v>
      </c>
      <c r="E41" s="29"/>
      <c r="F41" s="29"/>
      <c r="G41" s="29"/>
      <c r="H41" s="29"/>
      <c r="I41" s="57"/>
    </row>
    <row r="42" spans="1:9">
      <c r="A42" s="27">
        <v>36188</v>
      </c>
      <c r="B42" s="29">
        <v>65</v>
      </c>
      <c r="C42" s="29">
        <v>85</v>
      </c>
      <c r="D42" s="90">
        <f t="shared" si="0"/>
        <v>0.76470588235294112</v>
      </c>
      <c r="E42" s="29"/>
      <c r="F42" s="29"/>
      <c r="G42" s="29"/>
      <c r="H42" s="29"/>
      <c r="I42" s="57"/>
    </row>
    <row r="43" spans="1:9">
      <c r="A43" s="26">
        <v>36189</v>
      </c>
      <c r="B43" s="28">
        <v>99</v>
      </c>
      <c r="C43" s="28">
        <v>91</v>
      </c>
      <c r="D43" s="91">
        <f t="shared" si="0"/>
        <v>1.0879120879120878</v>
      </c>
      <c r="E43" s="28"/>
      <c r="F43" s="28"/>
      <c r="G43" s="28"/>
      <c r="H43" s="28"/>
      <c r="I43" s="54"/>
    </row>
    <row r="44" spans="1:9">
      <c r="A44" s="26">
        <v>36192</v>
      </c>
      <c r="B44" s="28">
        <v>84</v>
      </c>
      <c r="C44" s="28">
        <v>56</v>
      </c>
      <c r="D44" s="91">
        <f t="shared" si="0"/>
        <v>1.5</v>
      </c>
      <c r="E44" s="28"/>
      <c r="F44" s="28"/>
      <c r="G44" s="28"/>
      <c r="H44" s="28"/>
      <c r="I44" s="54"/>
    </row>
    <row r="45" spans="1:9">
      <c r="A45" s="27">
        <v>36193</v>
      </c>
      <c r="B45" s="29">
        <v>34</v>
      </c>
      <c r="C45" s="29">
        <v>85</v>
      </c>
      <c r="D45" s="90">
        <f t="shared" si="0"/>
        <v>0.4</v>
      </c>
      <c r="E45" s="29"/>
      <c r="F45" s="29"/>
      <c r="G45" s="29"/>
      <c r="H45" s="29"/>
      <c r="I45" s="57"/>
    </row>
    <row r="46" spans="1:9">
      <c r="A46" s="27">
        <v>36194</v>
      </c>
      <c r="B46" s="29">
        <v>51</v>
      </c>
      <c r="C46" s="29">
        <v>74</v>
      </c>
      <c r="D46" s="90">
        <f t="shared" si="0"/>
        <v>0.68918918918918914</v>
      </c>
      <c r="E46" s="29"/>
      <c r="F46" s="29"/>
      <c r="G46" s="29"/>
      <c r="H46" s="29"/>
      <c r="I46" s="57"/>
    </row>
    <row r="47" spans="1:9">
      <c r="A47" s="26">
        <v>36195</v>
      </c>
      <c r="B47" s="28">
        <v>49</v>
      </c>
      <c r="C47" s="28">
        <v>77</v>
      </c>
      <c r="D47" s="91">
        <f t="shared" si="0"/>
        <v>0.63636363636363635</v>
      </c>
      <c r="E47" s="28"/>
      <c r="F47" s="28"/>
      <c r="G47" s="28"/>
      <c r="H47" s="28"/>
      <c r="I47" s="54"/>
    </row>
    <row r="48" spans="1:9">
      <c r="A48" s="26">
        <v>36196</v>
      </c>
      <c r="B48" s="28">
        <v>24</v>
      </c>
      <c r="C48" s="28">
        <v>59</v>
      </c>
      <c r="D48" s="91">
        <f t="shared" si="0"/>
        <v>0.40677966101694918</v>
      </c>
      <c r="E48" s="28"/>
      <c r="F48" s="28"/>
      <c r="G48" s="28"/>
      <c r="H48" s="28"/>
      <c r="I48" s="54"/>
    </row>
    <row r="49" spans="1:9">
      <c r="A49" s="27">
        <v>36199</v>
      </c>
      <c r="B49" s="29">
        <v>21</v>
      </c>
      <c r="C49" s="29">
        <v>73</v>
      </c>
      <c r="D49" s="90">
        <f t="shared" si="0"/>
        <v>0.28767123287671231</v>
      </c>
      <c r="E49" s="29"/>
      <c r="F49" s="29"/>
      <c r="G49" s="29"/>
      <c r="H49" s="29"/>
      <c r="I49" s="57"/>
    </row>
    <row r="50" spans="1:9">
      <c r="A50" s="27">
        <v>36200</v>
      </c>
      <c r="B50" s="29">
        <v>16</v>
      </c>
      <c r="C50" s="29">
        <v>81</v>
      </c>
      <c r="D50" s="90">
        <f t="shared" si="0"/>
        <v>0.19753086419753085</v>
      </c>
      <c r="E50" s="29"/>
      <c r="F50" s="29"/>
      <c r="G50" s="29"/>
      <c r="H50" s="29"/>
      <c r="I50" s="57"/>
    </row>
    <row r="51" spans="1:9">
      <c r="A51" s="26">
        <v>36201</v>
      </c>
      <c r="B51" s="28">
        <v>19</v>
      </c>
      <c r="C51" s="28">
        <v>97</v>
      </c>
      <c r="D51" s="91">
        <f t="shared" si="0"/>
        <v>0.19587628865979381</v>
      </c>
      <c r="E51" s="28"/>
      <c r="F51" s="28"/>
      <c r="G51" s="28"/>
      <c r="H51" s="28"/>
      <c r="I51" s="54"/>
    </row>
    <row r="52" spans="1:9">
      <c r="A52" s="26">
        <v>36202</v>
      </c>
      <c r="B52" s="28">
        <v>20</v>
      </c>
      <c r="C52" s="28">
        <v>104</v>
      </c>
      <c r="D52" s="91">
        <f t="shared" si="0"/>
        <v>0.19230769230769232</v>
      </c>
      <c r="E52" s="28"/>
      <c r="F52" s="28"/>
      <c r="G52" s="28"/>
      <c r="H52" s="28"/>
      <c r="I52" s="54"/>
    </row>
    <row r="53" spans="1:9">
      <c r="A53" s="27">
        <v>36203</v>
      </c>
      <c r="B53" s="29">
        <v>14</v>
      </c>
      <c r="C53" s="29">
        <v>161</v>
      </c>
      <c r="D53" s="90">
        <f t="shared" si="0"/>
        <v>8.6956521739130432E-2</v>
      </c>
      <c r="E53" s="29"/>
      <c r="F53" s="29"/>
      <c r="G53" s="29"/>
      <c r="H53" s="29"/>
      <c r="I53" s="57"/>
    </row>
    <row r="54" spans="1:9">
      <c r="A54" s="27">
        <v>36207</v>
      </c>
      <c r="B54" s="29">
        <v>30</v>
      </c>
      <c r="C54" s="29">
        <v>119</v>
      </c>
      <c r="D54" s="90">
        <f t="shared" si="0"/>
        <v>0.25210084033613445</v>
      </c>
      <c r="E54" s="29"/>
      <c r="F54" s="29"/>
      <c r="G54" s="29"/>
      <c r="H54" s="29"/>
      <c r="I54" s="57"/>
    </row>
    <row r="55" spans="1:9">
      <c r="A55" s="26">
        <v>36208</v>
      </c>
      <c r="B55" s="28">
        <v>22</v>
      </c>
      <c r="C55" s="28">
        <v>156</v>
      </c>
      <c r="D55" s="91">
        <f>B55/C55</f>
        <v>0.14102564102564102</v>
      </c>
      <c r="E55" s="28"/>
      <c r="F55" s="28"/>
      <c r="G55" s="28"/>
      <c r="H55" s="28"/>
      <c r="I55" s="54"/>
    </row>
    <row r="58" spans="1:9" ht="15">
      <c r="A58" s="241" t="s">
        <v>867</v>
      </c>
    </row>
  </sheetData>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41988" r:id="rId3" name="Button 4">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41989"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41990"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41991"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enableFormatConditionsCalculation="0"/>
  <dimension ref="A1:N58"/>
  <sheetViews>
    <sheetView workbookViewId="0"/>
  </sheetViews>
  <sheetFormatPr baseColWidth="10" defaultColWidth="8.83203125" defaultRowHeight="12" x14ac:dyDescent="0"/>
  <cols>
    <col min="1" max="1" width="10" customWidth="1"/>
    <col min="2" max="2" width="9.33203125" bestFit="1" customWidth="1"/>
    <col min="3" max="3" width="10.6640625" customWidth="1"/>
    <col min="4" max="4" width="13"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1259</v>
      </c>
      <c r="C3" s="21"/>
      <c r="D3" s="21"/>
      <c r="E3" s="21"/>
      <c r="F3" s="21"/>
      <c r="G3" s="21"/>
      <c r="H3" s="21"/>
      <c r="I3" s="21"/>
      <c r="J3" s="21"/>
    </row>
    <row r="4" spans="1:14" ht="15" customHeight="1">
      <c r="A4" s="118" t="s">
        <v>779</v>
      </c>
      <c r="B4" s="446" t="s">
        <v>869</v>
      </c>
      <c r="C4" s="446"/>
      <c r="D4" s="446"/>
      <c r="E4" s="446"/>
      <c r="F4" s="446"/>
      <c r="G4" s="446"/>
      <c r="H4" s="446"/>
      <c r="I4" s="446"/>
      <c r="J4" s="446"/>
    </row>
    <row r="5" spans="1:14" ht="37.5" customHeight="1">
      <c r="A5" s="21"/>
      <c r="B5" s="21"/>
      <c r="C5" s="21"/>
      <c r="D5" s="21"/>
      <c r="E5" s="21"/>
      <c r="F5" s="21"/>
      <c r="G5" s="21"/>
      <c r="H5" s="21"/>
      <c r="I5" s="21"/>
      <c r="J5" s="21"/>
    </row>
    <row r="6" spans="1:14" ht="34.5" customHeight="1">
      <c r="A6" s="22" t="s">
        <v>1090</v>
      </c>
      <c r="B6" s="22" t="s">
        <v>1258</v>
      </c>
      <c r="C6" s="31" t="s">
        <v>533</v>
      </c>
      <c r="D6" s="31" t="s">
        <v>183</v>
      </c>
      <c r="E6" s="22"/>
      <c r="F6" s="22"/>
      <c r="G6" s="22"/>
      <c r="H6" s="22"/>
      <c r="I6" s="22"/>
      <c r="J6" s="22"/>
    </row>
    <row r="7" spans="1:14">
      <c r="A7" s="26">
        <v>36313</v>
      </c>
      <c r="B7" s="77">
        <v>4665</v>
      </c>
      <c r="C7" s="77">
        <v>3742</v>
      </c>
      <c r="D7" s="91">
        <f>(B7/C7)*100</f>
        <v>124.66595403527525</v>
      </c>
      <c r="E7" s="92"/>
      <c r="F7" s="28"/>
      <c r="G7" s="28"/>
      <c r="H7" s="28"/>
      <c r="I7" s="28"/>
      <c r="J7" s="54"/>
    </row>
    <row r="8" spans="1:14">
      <c r="A8" s="26">
        <v>36314</v>
      </c>
      <c r="B8" s="77">
        <v>4377</v>
      </c>
      <c r="C8" s="77">
        <v>3187</v>
      </c>
      <c r="D8" s="91">
        <f t="shared" ref="D8:D23" si="0">(B8/C8)*100</f>
        <v>137.33919046124882</v>
      </c>
      <c r="E8" s="92"/>
      <c r="F8" s="28"/>
      <c r="G8" s="28"/>
      <c r="H8" s="28"/>
      <c r="I8" s="28"/>
      <c r="J8" s="54"/>
    </row>
    <row r="9" spans="1:14">
      <c r="A9" s="27">
        <v>36315</v>
      </c>
      <c r="B9" s="79">
        <v>4113</v>
      </c>
      <c r="C9" s="79">
        <v>3883</v>
      </c>
      <c r="D9" s="90">
        <f t="shared" si="0"/>
        <v>105.92325521503992</v>
      </c>
      <c r="E9" s="93"/>
      <c r="F9" s="29"/>
      <c r="G9" s="29"/>
      <c r="H9" s="29"/>
      <c r="I9" s="29"/>
      <c r="J9" s="57"/>
    </row>
    <row r="10" spans="1:14">
      <c r="A10" s="27">
        <v>36318</v>
      </c>
      <c r="B10" s="79">
        <v>3774</v>
      </c>
      <c r="C10" s="79">
        <v>3375</v>
      </c>
      <c r="D10" s="90">
        <f t="shared" si="0"/>
        <v>111.82222222222222</v>
      </c>
      <c r="E10" s="93"/>
      <c r="F10" s="29"/>
      <c r="G10" s="29"/>
      <c r="H10" s="29"/>
      <c r="I10" s="29"/>
      <c r="J10" s="57"/>
    </row>
    <row r="11" spans="1:14">
      <c r="A11" s="26">
        <v>36319</v>
      </c>
      <c r="B11" s="77">
        <v>5382</v>
      </c>
      <c r="C11" s="77">
        <v>3192</v>
      </c>
      <c r="D11" s="91">
        <f t="shared" si="0"/>
        <v>168.60902255639098</v>
      </c>
      <c r="E11" s="92"/>
      <c r="F11" s="28"/>
      <c r="G11" s="28"/>
      <c r="H11" s="28"/>
      <c r="I11" s="28"/>
      <c r="J11" s="54"/>
    </row>
    <row r="12" spans="1:14">
      <c r="A12" s="26">
        <v>36320</v>
      </c>
      <c r="B12" s="77">
        <v>3663</v>
      </c>
      <c r="C12" s="77">
        <v>3245</v>
      </c>
      <c r="D12" s="91">
        <f t="shared" si="0"/>
        <v>112.88135593220339</v>
      </c>
      <c r="E12" s="92"/>
      <c r="F12" s="28"/>
      <c r="G12" s="28"/>
      <c r="H12" s="28"/>
      <c r="I12" s="28"/>
      <c r="J12" s="54"/>
    </row>
    <row r="13" spans="1:14">
      <c r="A13" s="27">
        <v>36321</v>
      </c>
      <c r="B13" s="79">
        <v>5285</v>
      </c>
      <c r="C13" s="79">
        <v>3514</v>
      </c>
      <c r="D13" s="90">
        <f t="shared" si="0"/>
        <v>150.398406374502</v>
      </c>
      <c r="E13" s="93"/>
      <c r="F13" s="29"/>
      <c r="G13" s="29"/>
      <c r="H13" s="29"/>
      <c r="I13" s="29"/>
      <c r="J13" s="57"/>
    </row>
    <row r="14" spans="1:14">
      <c r="A14" s="27">
        <v>36322</v>
      </c>
      <c r="B14" s="79">
        <v>5420</v>
      </c>
      <c r="C14" s="79">
        <v>3319</v>
      </c>
      <c r="D14" s="90">
        <f t="shared" si="0"/>
        <v>163.30219945766797</v>
      </c>
      <c r="E14" s="93"/>
      <c r="F14" s="29"/>
      <c r="G14" s="29"/>
      <c r="H14" s="29"/>
      <c r="I14" s="29"/>
      <c r="J14" s="57"/>
    </row>
    <row r="15" spans="1:14">
      <c r="A15" s="26">
        <v>36325</v>
      </c>
      <c r="B15" s="77">
        <v>3426</v>
      </c>
      <c r="C15" s="77">
        <v>4002</v>
      </c>
      <c r="D15" s="91">
        <f t="shared" si="0"/>
        <v>85.607196401799101</v>
      </c>
      <c r="E15" s="92"/>
      <c r="F15" s="28"/>
      <c r="G15" s="28"/>
      <c r="H15" s="28"/>
      <c r="I15" s="28"/>
      <c r="J15" s="54"/>
    </row>
    <row r="16" spans="1:14">
      <c r="A16" s="26">
        <v>36326</v>
      </c>
      <c r="B16" s="77">
        <v>3570</v>
      </c>
      <c r="C16" s="77">
        <v>5050</v>
      </c>
      <c r="D16" s="91">
        <f t="shared" si="0"/>
        <v>70.693069306930695</v>
      </c>
      <c r="E16" s="92"/>
      <c r="F16" s="28"/>
      <c r="G16" s="28"/>
      <c r="H16" s="28"/>
      <c r="I16" s="28"/>
      <c r="J16" s="54"/>
    </row>
    <row r="17" spans="1:10">
      <c r="A17" s="27">
        <v>36327</v>
      </c>
      <c r="B17" s="79">
        <v>3594</v>
      </c>
      <c r="C17" s="79">
        <v>4569</v>
      </c>
      <c r="D17" s="90">
        <f t="shared" si="0"/>
        <v>78.660538411030856</v>
      </c>
      <c r="E17" s="93"/>
      <c r="F17" s="29"/>
      <c r="G17" s="29"/>
      <c r="H17" s="29"/>
      <c r="I17" s="29"/>
      <c r="J17" s="57"/>
    </row>
    <row r="18" spans="1:10">
      <c r="A18" s="27">
        <v>36328</v>
      </c>
      <c r="B18" s="79">
        <v>3601</v>
      </c>
      <c r="C18" s="79">
        <v>4283</v>
      </c>
      <c r="D18" s="90">
        <f t="shared" si="0"/>
        <v>84.076581835162273</v>
      </c>
      <c r="E18" s="93"/>
      <c r="F18" s="29"/>
      <c r="G18" s="29"/>
      <c r="H18" s="29"/>
      <c r="I18" s="29"/>
      <c r="J18" s="57"/>
    </row>
    <row r="19" spans="1:10">
      <c r="A19" s="26">
        <v>36329</v>
      </c>
      <c r="B19" s="77">
        <v>3507</v>
      </c>
      <c r="C19" s="77">
        <v>4237</v>
      </c>
      <c r="D19" s="91">
        <f t="shared" si="0"/>
        <v>82.770828416332307</v>
      </c>
      <c r="E19" s="92"/>
      <c r="F19" s="28"/>
      <c r="G19" s="28"/>
      <c r="H19" s="28"/>
      <c r="I19" s="28"/>
      <c r="J19" s="54"/>
    </row>
    <row r="20" spans="1:10">
      <c r="A20" s="26">
        <v>36332</v>
      </c>
      <c r="B20" s="77">
        <v>3950</v>
      </c>
      <c r="C20" s="77">
        <v>3222</v>
      </c>
      <c r="D20" s="91">
        <f t="shared" si="0"/>
        <v>122.59466170080695</v>
      </c>
      <c r="E20" s="92"/>
      <c r="F20" s="28"/>
      <c r="G20" s="28"/>
      <c r="H20" s="28"/>
      <c r="I20" s="28"/>
      <c r="J20" s="54"/>
    </row>
    <row r="21" spans="1:10">
      <c r="A21" s="27">
        <v>36333</v>
      </c>
      <c r="B21" s="79">
        <v>3662</v>
      </c>
      <c r="C21" s="79">
        <v>3352</v>
      </c>
      <c r="D21" s="90">
        <f t="shared" si="0"/>
        <v>109.24821002386635</v>
      </c>
      <c r="E21" s="93"/>
      <c r="F21" s="29"/>
      <c r="G21" s="29"/>
      <c r="H21" s="29"/>
      <c r="I21" s="29"/>
      <c r="J21" s="57"/>
    </row>
    <row r="22" spans="1:10">
      <c r="A22" s="27">
        <v>36334</v>
      </c>
      <c r="B22" s="79">
        <v>4013</v>
      </c>
      <c r="C22" s="79">
        <v>3562</v>
      </c>
      <c r="D22" s="90">
        <f t="shared" si="0"/>
        <v>112.6614261650758</v>
      </c>
      <c r="E22" s="93"/>
      <c r="F22" s="29"/>
      <c r="G22" s="29"/>
      <c r="H22" s="29"/>
      <c r="I22" s="29"/>
      <c r="J22" s="57"/>
    </row>
    <row r="23" spans="1:10">
      <c r="A23" s="26">
        <v>36335</v>
      </c>
      <c r="B23" s="77">
        <v>4490</v>
      </c>
      <c r="C23" s="77">
        <v>2996</v>
      </c>
      <c r="D23" s="91">
        <f t="shared" si="0"/>
        <v>149.86648865153538</v>
      </c>
      <c r="E23" s="92"/>
      <c r="F23" s="28"/>
      <c r="G23" s="28"/>
      <c r="H23" s="28"/>
      <c r="I23" s="28"/>
      <c r="J23" s="54"/>
    </row>
    <row r="24" spans="1:10">
      <c r="A24" s="26">
        <v>36336</v>
      </c>
      <c r="B24" s="77">
        <v>3175</v>
      </c>
      <c r="C24" s="77">
        <v>3502</v>
      </c>
      <c r="D24" s="91">
        <f t="shared" ref="D24:D39" si="1">(B24/C24)*100</f>
        <v>90.66247858366647</v>
      </c>
      <c r="E24" s="92"/>
      <c r="F24" s="28"/>
      <c r="G24" s="28"/>
      <c r="H24" s="28"/>
      <c r="I24" s="28"/>
      <c r="J24" s="54"/>
    </row>
    <row r="25" spans="1:10">
      <c r="A25" s="27">
        <v>36339</v>
      </c>
      <c r="B25" s="79">
        <v>2861</v>
      </c>
      <c r="C25" s="79">
        <v>4944</v>
      </c>
      <c r="D25" s="90">
        <f t="shared" si="1"/>
        <v>57.868122977346282</v>
      </c>
      <c r="E25" s="93"/>
      <c r="F25" s="29"/>
      <c r="G25" s="29"/>
      <c r="H25" s="29"/>
      <c r="I25" s="29"/>
      <c r="J25" s="57"/>
    </row>
    <row r="26" spans="1:10">
      <c r="A26" s="27">
        <v>36340</v>
      </c>
      <c r="B26" s="79">
        <v>4139</v>
      </c>
      <c r="C26" s="79">
        <v>3881</v>
      </c>
      <c r="D26" s="90">
        <f t="shared" si="1"/>
        <v>106.64777119299148</v>
      </c>
      <c r="E26" s="93"/>
      <c r="F26" s="29"/>
      <c r="G26" s="29"/>
      <c r="H26" s="29"/>
      <c r="I26" s="29"/>
      <c r="J26" s="57"/>
    </row>
    <row r="27" spans="1:10">
      <c r="A27" s="26">
        <v>36341</v>
      </c>
      <c r="B27" s="77">
        <v>6342</v>
      </c>
      <c r="C27" s="77">
        <v>5320</v>
      </c>
      <c r="D27" s="91">
        <f t="shared" si="1"/>
        <v>119.21052631578948</v>
      </c>
      <c r="E27" s="92"/>
      <c r="F27" s="28"/>
      <c r="G27" s="28"/>
      <c r="H27" s="28"/>
      <c r="I27" s="28"/>
      <c r="J27" s="54"/>
    </row>
    <row r="28" spans="1:10">
      <c r="A28" s="26">
        <v>36342</v>
      </c>
      <c r="B28" s="77">
        <v>4727</v>
      </c>
      <c r="C28" s="77">
        <v>4572</v>
      </c>
      <c r="D28" s="91">
        <f t="shared" si="1"/>
        <v>103.3902012248469</v>
      </c>
      <c r="E28" s="92"/>
      <c r="F28" s="28"/>
      <c r="G28" s="28"/>
      <c r="H28" s="28"/>
      <c r="I28" s="28"/>
      <c r="J28" s="54"/>
    </row>
    <row r="29" spans="1:10">
      <c r="A29" s="27">
        <v>36343</v>
      </c>
      <c r="B29" s="79">
        <v>3257</v>
      </c>
      <c r="C29" s="79">
        <v>3330</v>
      </c>
      <c r="D29" s="90">
        <f t="shared" si="1"/>
        <v>97.807807807807805</v>
      </c>
      <c r="E29" s="93"/>
      <c r="F29" s="29"/>
      <c r="G29" s="29"/>
      <c r="H29" s="29"/>
      <c r="I29" s="29"/>
      <c r="J29" s="57"/>
    </row>
    <row r="30" spans="1:10">
      <c r="A30" s="27">
        <v>36347</v>
      </c>
      <c r="B30" s="79">
        <v>4573</v>
      </c>
      <c r="C30" s="79">
        <v>4045</v>
      </c>
      <c r="D30" s="90">
        <f t="shared" si="1"/>
        <v>113.05315203955502</v>
      </c>
      <c r="E30" s="93"/>
      <c r="F30" s="29"/>
      <c r="G30" s="29"/>
      <c r="H30" s="29"/>
      <c r="I30" s="29"/>
      <c r="J30" s="57"/>
    </row>
    <row r="31" spans="1:10">
      <c r="A31" s="26">
        <v>36348</v>
      </c>
      <c r="B31" s="77">
        <v>3813</v>
      </c>
      <c r="C31" s="77">
        <v>4463</v>
      </c>
      <c r="D31" s="91">
        <f t="shared" si="1"/>
        <v>85.435805511987454</v>
      </c>
      <c r="E31" s="92"/>
      <c r="F31" s="28"/>
      <c r="G31" s="28"/>
      <c r="H31" s="28"/>
      <c r="I31" s="28"/>
      <c r="J31" s="54"/>
    </row>
    <row r="32" spans="1:10">
      <c r="A32" s="26">
        <v>36349</v>
      </c>
      <c r="B32" s="77">
        <v>4431</v>
      </c>
      <c r="C32" s="77">
        <v>4277</v>
      </c>
      <c r="D32" s="91">
        <f t="shared" si="1"/>
        <v>103.60065466448445</v>
      </c>
      <c r="E32" s="92"/>
      <c r="F32" s="28"/>
      <c r="G32" s="28"/>
      <c r="H32" s="28"/>
      <c r="I32" s="28"/>
      <c r="J32" s="54"/>
    </row>
    <row r="33" spans="1:10">
      <c r="A33" s="27">
        <v>36350</v>
      </c>
      <c r="B33" s="79">
        <v>3202</v>
      </c>
      <c r="C33" s="79">
        <v>3565</v>
      </c>
      <c r="D33" s="90">
        <f t="shared" si="1"/>
        <v>89.817671809256666</v>
      </c>
      <c r="E33" s="93"/>
      <c r="F33" s="29"/>
      <c r="G33" s="29"/>
      <c r="H33" s="29"/>
      <c r="I33" s="29"/>
      <c r="J33" s="57"/>
    </row>
    <row r="34" spans="1:10">
      <c r="A34" s="27">
        <v>36353</v>
      </c>
      <c r="B34" s="79">
        <v>4679</v>
      </c>
      <c r="C34" s="79">
        <v>3531</v>
      </c>
      <c r="D34" s="90">
        <f t="shared" si="1"/>
        <v>132.51203625035402</v>
      </c>
      <c r="E34" s="93"/>
      <c r="F34" s="29"/>
      <c r="G34" s="29"/>
      <c r="H34" s="29"/>
      <c r="I34" s="29"/>
      <c r="J34" s="57"/>
    </row>
    <row r="35" spans="1:10">
      <c r="A35" s="26">
        <v>36354</v>
      </c>
      <c r="B35" s="77">
        <v>4220</v>
      </c>
      <c r="C35" s="77">
        <v>4075</v>
      </c>
      <c r="D35" s="91">
        <f t="shared" si="1"/>
        <v>103.55828220858896</v>
      </c>
      <c r="E35" s="92"/>
      <c r="F35" s="28"/>
      <c r="G35" s="28"/>
      <c r="H35" s="28"/>
      <c r="I35" s="28"/>
      <c r="J35" s="54"/>
    </row>
    <row r="36" spans="1:10">
      <c r="A36" s="26">
        <v>36355</v>
      </c>
      <c r="B36" s="77">
        <v>4528</v>
      </c>
      <c r="C36" s="77">
        <v>3567</v>
      </c>
      <c r="D36" s="91">
        <f t="shared" si="1"/>
        <v>126.94140734510793</v>
      </c>
      <c r="E36" s="92"/>
      <c r="F36" s="28"/>
      <c r="G36" s="28"/>
      <c r="H36" s="28"/>
      <c r="I36" s="28"/>
      <c r="J36" s="54"/>
    </row>
    <row r="37" spans="1:10">
      <c r="A37" s="27">
        <v>36356</v>
      </c>
      <c r="B37" s="79">
        <v>3452</v>
      </c>
      <c r="C37" s="79">
        <v>4174</v>
      </c>
      <c r="D37" s="90">
        <f t="shared" si="1"/>
        <v>82.702443699089599</v>
      </c>
      <c r="E37" s="93"/>
      <c r="F37" s="29"/>
      <c r="G37" s="29"/>
      <c r="H37" s="29"/>
      <c r="I37" s="29"/>
      <c r="J37" s="57"/>
    </row>
    <row r="38" spans="1:10">
      <c r="A38" s="27">
        <v>36357</v>
      </c>
      <c r="B38" s="79">
        <v>3453</v>
      </c>
      <c r="C38" s="79">
        <v>3556</v>
      </c>
      <c r="D38" s="90">
        <f t="shared" si="1"/>
        <v>97.10348706411699</v>
      </c>
      <c r="E38" s="93"/>
      <c r="F38" s="29"/>
      <c r="G38" s="29"/>
      <c r="H38" s="29"/>
      <c r="I38" s="29"/>
      <c r="J38" s="57"/>
    </row>
    <row r="39" spans="1:10">
      <c r="A39" s="26">
        <v>36360</v>
      </c>
      <c r="B39" s="77">
        <v>4151</v>
      </c>
      <c r="C39" s="77">
        <v>3265</v>
      </c>
      <c r="D39" s="91">
        <f t="shared" si="1"/>
        <v>127.13629402756507</v>
      </c>
      <c r="E39" s="92"/>
      <c r="F39" s="28"/>
      <c r="G39" s="28"/>
      <c r="H39" s="28"/>
      <c r="I39" s="28"/>
      <c r="J39" s="54"/>
    </row>
    <row r="40" spans="1:10">
      <c r="A40" s="26">
        <v>36361</v>
      </c>
      <c r="B40" s="77">
        <v>4103</v>
      </c>
      <c r="C40" s="77">
        <v>3956</v>
      </c>
      <c r="D40" s="91">
        <f t="shared" ref="D40:D55" si="2">(B40/C40)*100</f>
        <v>103.71587462082911</v>
      </c>
      <c r="E40" s="92"/>
      <c r="F40" s="28"/>
      <c r="G40" s="28"/>
      <c r="H40" s="28"/>
      <c r="I40" s="28"/>
      <c r="J40" s="54"/>
    </row>
    <row r="41" spans="1:10">
      <c r="A41" s="27">
        <v>36362</v>
      </c>
      <c r="B41" s="79">
        <v>3432</v>
      </c>
      <c r="C41" s="79">
        <v>4118</v>
      </c>
      <c r="D41" s="90">
        <f t="shared" si="2"/>
        <v>83.341427877610485</v>
      </c>
      <c r="E41" s="93"/>
      <c r="F41" s="29"/>
      <c r="G41" s="29"/>
      <c r="H41" s="29"/>
      <c r="I41" s="29"/>
      <c r="J41" s="57"/>
    </row>
    <row r="42" spans="1:10">
      <c r="A42" s="27">
        <v>36363</v>
      </c>
      <c r="B42" s="79">
        <v>4778</v>
      </c>
      <c r="C42" s="79">
        <v>3937</v>
      </c>
      <c r="D42" s="90">
        <f t="shared" si="2"/>
        <v>121.36144272288544</v>
      </c>
      <c r="E42" s="93"/>
      <c r="F42" s="29"/>
      <c r="G42" s="29"/>
      <c r="H42" s="29"/>
      <c r="I42" s="29"/>
      <c r="J42" s="57"/>
    </row>
    <row r="43" spans="1:10">
      <c r="A43" s="26">
        <v>36364</v>
      </c>
      <c r="B43" s="77">
        <v>3607</v>
      </c>
      <c r="C43" s="77">
        <v>3378</v>
      </c>
      <c r="D43" s="91">
        <f t="shared" si="2"/>
        <v>106.77915926583776</v>
      </c>
      <c r="E43" s="92"/>
      <c r="F43" s="28"/>
      <c r="G43" s="28"/>
      <c r="H43" s="28"/>
      <c r="I43" s="28"/>
      <c r="J43" s="54"/>
    </row>
    <row r="44" spans="1:10">
      <c r="A44" s="26">
        <v>36367</v>
      </c>
      <c r="B44" s="77">
        <v>3081</v>
      </c>
      <c r="C44" s="77">
        <v>4770</v>
      </c>
      <c r="D44" s="91">
        <f t="shared" si="2"/>
        <v>64.591194968553452</v>
      </c>
      <c r="E44" s="92"/>
      <c r="F44" s="28"/>
      <c r="G44" s="28"/>
      <c r="H44" s="28"/>
      <c r="I44" s="28"/>
      <c r="J44" s="54"/>
    </row>
    <row r="45" spans="1:10">
      <c r="A45" s="27">
        <v>36368</v>
      </c>
      <c r="B45" s="79">
        <v>3142</v>
      </c>
      <c r="C45" s="79">
        <v>5235</v>
      </c>
      <c r="D45" s="90">
        <f t="shared" si="2"/>
        <v>60.019102196752627</v>
      </c>
      <c r="E45" s="93"/>
      <c r="F45" s="29"/>
      <c r="G45" s="29"/>
      <c r="H45" s="29"/>
      <c r="I45" s="29"/>
      <c r="J45" s="57"/>
    </row>
    <row r="46" spans="1:10">
      <c r="A46" s="27">
        <v>36369</v>
      </c>
      <c r="B46" s="79">
        <v>3599</v>
      </c>
      <c r="C46" s="79">
        <v>3540</v>
      </c>
      <c r="D46" s="90">
        <f t="shared" si="2"/>
        <v>101.66666666666666</v>
      </c>
      <c r="E46" s="93"/>
      <c r="F46" s="29"/>
      <c r="G46" s="29"/>
      <c r="H46" s="29"/>
      <c r="I46" s="29"/>
      <c r="J46" s="57"/>
    </row>
    <row r="47" spans="1:10">
      <c r="A47" s="26">
        <v>36370</v>
      </c>
      <c r="B47" s="77">
        <v>5766</v>
      </c>
      <c r="C47" s="77">
        <v>3401</v>
      </c>
      <c r="D47" s="91">
        <f t="shared" si="2"/>
        <v>169.53837106733314</v>
      </c>
      <c r="E47" s="92"/>
      <c r="F47" s="28"/>
      <c r="G47" s="28"/>
      <c r="H47" s="28"/>
      <c r="I47" s="28"/>
      <c r="J47" s="54"/>
    </row>
    <row r="48" spans="1:10">
      <c r="A48" s="26">
        <v>36371</v>
      </c>
      <c r="B48" s="77">
        <v>5595</v>
      </c>
      <c r="C48" s="77">
        <v>3685</v>
      </c>
      <c r="D48" s="91">
        <f t="shared" si="2"/>
        <v>151.83175033921304</v>
      </c>
      <c r="E48" s="92"/>
      <c r="F48" s="28"/>
      <c r="G48" s="28"/>
      <c r="H48" s="28"/>
      <c r="I48" s="28"/>
      <c r="J48" s="54"/>
    </row>
    <row r="49" spans="1:10">
      <c r="A49" s="27">
        <v>36374</v>
      </c>
      <c r="B49" s="79">
        <v>3475</v>
      </c>
      <c r="C49" s="79">
        <v>3722</v>
      </c>
      <c r="D49" s="90">
        <f t="shared" si="2"/>
        <v>93.363782912412688</v>
      </c>
      <c r="E49" s="93"/>
      <c r="F49" s="29"/>
      <c r="G49" s="29"/>
      <c r="H49" s="29"/>
      <c r="I49" s="29"/>
      <c r="J49" s="57"/>
    </row>
    <row r="50" spans="1:10">
      <c r="A50" s="27">
        <v>36375</v>
      </c>
      <c r="B50" s="79">
        <v>3814</v>
      </c>
      <c r="C50" s="79">
        <v>5531</v>
      </c>
      <c r="D50" s="90">
        <f t="shared" si="2"/>
        <v>68.956789007412766</v>
      </c>
      <c r="E50" s="93"/>
      <c r="F50" s="29"/>
      <c r="G50" s="29"/>
      <c r="H50" s="29"/>
      <c r="I50" s="29"/>
      <c r="J50" s="57"/>
    </row>
    <row r="51" spans="1:10">
      <c r="A51" s="26">
        <v>36376</v>
      </c>
      <c r="B51" s="77">
        <v>4411</v>
      </c>
      <c r="C51" s="77">
        <v>5041</v>
      </c>
      <c r="D51" s="91">
        <f t="shared" si="2"/>
        <v>87.502479666732796</v>
      </c>
      <c r="E51" s="92"/>
      <c r="F51" s="28"/>
      <c r="G51" s="28"/>
      <c r="H51" s="28"/>
      <c r="I51" s="28"/>
      <c r="J51" s="54"/>
    </row>
    <row r="52" spans="1:10">
      <c r="A52" s="26">
        <v>36377</v>
      </c>
      <c r="B52" s="77">
        <v>4272</v>
      </c>
      <c r="C52" s="77">
        <v>5836</v>
      </c>
      <c r="D52" s="91">
        <f t="shared" si="2"/>
        <v>73.200822481151476</v>
      </c>
      <c r="E52" s="92"/>
      <c r="F52" s="28"/>
      <c r="G52" s="28"/>
      <c r="H52" s="28"/>
      <c r="I52" s="28"/>
      <c r="J52" s="54"/>
    </row>
    <row r="53" spans="1:10">
      <c r="A53" s="27">
        <v>36378</v>
      </c>
      <c r="B53" s="79">
        <v>4691</v>
      </c>
      <c r="C53" s="79">
        <v>3389</v>
      </c>
      <c r="D53" s="90">
        <f t="shared" si="2"/>
        <v>138.41841251106521</v>
      </c>
      <c r="E53" s="93"/>
      <c r="F53" s="29"/>
      <c r="G53" s="29"/>
      <c r="H53" s="29"/>
      <c r="I53" s="29"/>
      <c r="J53" s="57"/>
    </row>
    <row r="54" spans="1:10">
      <c r="A54" s="27">
        <v>36381</v>
      </c>
      <c r="B54" s="79">
        <v>3136</v>
      </c>
      <c r="C54" s="79">
        <v>4206</v>
      </c>
      <c r="D54" s="90">
        <f t="shared" si="2"/>
        <v>74.56015216357585</v>
      </c>
      <c r="E54" s="93"/>
      <c r="F54" s="29"/>
      <c r="G54" s="29"/>
      <c r="H54" s="29"/>
      <c r="I54" s="29"/>
      <c r="J54" s="57"/>
    </row>
    <row r="55" spans="1:10">
      <c r="A55" s="26">
        <v>36382</v>
      </c>
      <c r="B55" s="77">
        <v>5073</v>
      </c>
      <c r="C55" s="77">
        <v>4593</v>
      </c>
      <c r="D55" s="91">
        <f t="shared" si="2"/>
        <v>110.45068582625734</v>
      </c>
      <c r="E55" s="92"/>
      <c r="F55" s="28"/>
      <c r="G55" s="28"/>
      <c r="H55" s="28"/>
      <c r="I55" s="28"/>
      <c r="J55" s="54"/>
    </row>
    <row r="56" spans="1:10">
      <c r="A56" s="26">
        <v>36383</v>
      </c>
      <c r="B56" s="77">
        <v>3626</v>
      </c>
      <c r="C56" s="77">
        <v>4205</v>
      </c>
      <c r="D56" s="91">
        <f>(B56/C56)*100</f>
        <v>86.230677764565982</v>
      </c>
      <c r="E56" s="92"/>
      <c r="F56" s="28"/>
      <c r="G56" s="28"/>
      <c r="H56" s="28"/>
      <c r="I56" s="28"/>
      <c r="J56" s="54"/>
    </row>
    <row r="58" spans="1:10" ht="15">
      <c r="A58" s="241" t="s">
        <v>870</v>
      </c>
    </row>
  </sheetData>
  <mergeCells count="1">
    <mergeCell ref="B4:J4"/>
  </mergeCells>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5363"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5364"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5365"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5366"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enableFormatConditionsCalculation="0"/>
  <dimension ref="A1:N63"/>
  <sheetViews>
    <sheetView workbookViewId="0"/>
  </sheetViews>
  <sheetFormatPr baseColWidth="10" defaultColWidth="8.83203125" defaultRowHeight="12" x14ac:dyDescent="0"/>
  <cols>
    <col min="1" max="1" width="11.5" customWidth="1"/>
    <col min="2" max="2" width="10.1640625" customWidth="1"/>
    <col min="3" max="3" width="10.6640625" customWidth="1"/>
    <col min="4" max="4" width="11.1640625" customWidth="1"/>
    <col min="5" max="5" width="11.33203125" customWidth="1"/>
    <col min="6" max="6" width="11.1640625" customWidth="1"/>
    <col min="7" max="7" width="12.16406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1261</v>
      </c>
      <c r="C3" s="21"/>
      <c r="D3" s="21"/>
      <c r="E3" s="21"/>
      <c r="F3" s="21"/>
      <c r="G3" s="21"/>
      <c r="H3" s="21"/>
      <c r="I3" s="21"/>
      <c r="J3" s="21"/>
    </row>
    <row r="4" spans="1:14" ht="28.5" customHeight="1">
      <c r="A4" s="118" t="s">
        <v>779</v>
      </c>
      <c r="B4" s="446" t="s">
        <v>871</v>
      </c>
      <c r="C4" s="446"/>
      <c r="D4" s="446"/>
      <c r="E4" s="446"/>
      <c r="F4" s="446"/>
      <c r="G4" s="446"/>
      <c r="H4" s="446"/>
      <c r="I4" s="446"/>
      <c r="J4" s="446"/>
    </row>
    <row r="5" spans="1:14" ht="45" customHeight="1">
      <c r="A5" s="118"/>
      <c r="B5" s="446" t="s">
        <v>534</v>
      </c>
      <c r="C5" s="446"/>
      <c r="D5" s="446"/>
      <c r="E5" s="446"/>
      <c r="F5" s="446"/>
      <c r="G5" s="446"/>
      <c r="H5" s="446"/>
      <c r="I5" s="446"/>
      <c r="J5" s="446"/>
    </row>
    <row r="6" spans="1:14" ht="72" customHeight="1">
      <c r="A6" s="21"/>
      <c r="B6" s="21"/>
      <c r="C6" s="21"/>
      <c r="D6" s="21"/>
      <c r="E6" s="21"/>
      <c r="F6" s="21"/>
      <c r="G6" s="21"/>
      <c r="H6" s="21"/>
      <c r="I6" s="21"/>
      <c r="J6" s="21"/>
    </row>
    <row r="7" spans="1:14" ht="36">
      <c r="A7" s="22" t="s">
        <v>1090</v>
      </c>
      <c r="B7" s="31" t="s">
        <v>1260</v>
      </c>
      <c r="C7" s="31" t="s">
        <v>533</v>
      </c>
      <c r="D7" s="22" t="s">
        <v>1258</v>
      </c>
      <c r="E7" s="31" t="s">
        <v>188</v>
      </c>
      <c r="F7" s="31" t="s">
        <v>557</v>
      </c>
      <c r="G7" s="31" t="s">
        <v>268</v>
      </c>
      <c r="H7" s="22"/>
      <c r="I7" s="22"/>
      <c r="J7" s="22"/>
    </row>
    <row r="8" spans="1:14">
      <c r="A8" s="26">
        <v>36313</v>
      </c>
      <c r="B8" s="77">
        <v>203</v>
      </c>
      <c r="C8" s="77">
        <v>3742</v>
      </c>
      <c r="D8" s="77">
        <v>4665</v>
      </c>
      <c r="E8" s="77">
        <f>C8+D8</f>
        <v>8407</v>
      </c>
      <c r="F8" s="251">
        <f>E8/2</f>
        <v>4203.5</v>
      </c>
      <c r="G8" s="267">
        <f t="shared" ref="G8:G39" si="0">(B8/F8)*100</f>
        <v>4.8293089092422985</v>
      </c>
      <c r="H8" s="28"/>
      <c r="I8" s="28"/>
      <c r="J8" s="54"/>
    </row>
    <row r="9" spans="1:14">
      <c r="A9" s="26">
        <v>36314</v>
      </c>
      <c r="B9" s="77">
        <v>195</v>
      </c>
      <c r="C9" s="77">
        <v>3187</v>
      </c>
      <c r="D9" s="77">
        <v>4377</v>
      </c>
      <c r="E9" s="77">
        <f t="shared" ref="E9:E57" si="1">C9+D9</f>
        <v>7564</v>
      </c>
      <c r="F9" s="251">
        <f t="shared" ref="F9:F57" si="2">E9/2</f>
        <v>3782</v>
      </c>
      <c r="G9" s="267">
        <f t="shared" si="0"/>
        <v>5.1560021152829192</v>
      </c>
      <c r="H9" s="28"/>
      <c r="I9" s="28"/>
      <c r="J9" s="54"/>
    </row>
    <row r="10" spans="1:14">
      <c r="A10" s="27">
        <v>36315</v>
      </c>
      <c r="B10" s="79">
        <v>189</v>
      </c>
      <c r="C10" s="79">
        <v>3883</v>
      </c>
      <c r="D10" s="79">
        <v>4113</v>
      </c>
      <c r="E10" s="79">
        <f t="shared" si="1"/>
        <v>7996</v>
      </c>
      <c r="F10" s="253">
        <f t="shared" si="2"/>
        <v>3998</v>
      </c>
      <c r="G10" s="268">
        <f t="shared" si="0"/>
        <v>4.7273636818409202</v>
      </c>
      <c r="H10" s="29"/>
      <c r="I10" s="29"/>
      <c r="J10" s="57"/>
    </row>
    <row r="11" spans="1:14">
      <c r="A11" s="27">
        <v>36318</v>
      </c>
      <c r="B11" s="79">
        <v>193</v>
      </c>
      <c r="C11" s="79">
        <v>3375</v>
      </c>
      <c r="D11" s="79">
        <v>3774</v>
      </c>
      <c r="E11" s="79">
        <f t="shared" si="1"/>
        <v>7149</v>
      </c>
      <c r="F11" s="253">
        <f t="shared" si="2"/>
        <v>3574.5</v>
      </c>
      <c r="G11" s="268">
        <f t="shared" si="0"/>
        <v>5.3993565533641066</v>
      </c>
      <c r="H11" s="29"/>
      <c r="I11" s="29"/>
      <c r="J11" s="57"/>
    </row>
    <row r="12" spans="1:14">
      <c r="A12" s="26">
        <v>36319</v>
      </c>
      <c r="B12" s="77">
        <v>176</v>
      </c>
      <c r="C12" s="77">
        <v>3192</v>
      </c>
      <c r="D12" s="77">
        <v>5382</v>
      </c>
      <c r="E12" s="77">
        <f t="shared" si="1"/>
        <v>8574</v>
      </c>
      <c r="F12" s="251">
        <f t="shared" si="2"/>
        <v>4287</v>
      </c>
      <c r="G12" s="267">
        <f t="shared" si="0"/>
        <v>4.1054350361558196</v>
      </c>
      <c r="H12" s="28"/>
      <c r="I12" s="28"/>
      <c r="J12" s="54"/>
    </row>
    <row r="13" spans="1:14">
      <c r="A13" s="26">
        <v>36320</v>
      </c>
      <c r="B13" s="77">
        <v>126</v>
      </c>
      <c r="C13" s="77">
        <v>3245</v>
      </c>
      <c r="D13" s="77">
        <v>3663</v>
      </c>
      <c r="E13" s="77">
        <f t="shared" si="1"/>
        <v>6908</v>
      </c>
      <c r="F13" s="251">
        <f t="shared" si="2"/>
        <v>3454</v>
      </c>
      <c r="G13" s="267">
        <f t="shared" si="0"/>
        <v>3.6479444122756224</v>
      </c>
      <c r="H13" s="28"/>
      <c r="I13" s="28"/>
      <c r="J13" s="54"/>
    </row>
    <row r="14" spans="1:14">
      <c r="A14" s="27">
        <v>36321</v>
      </c>
      <c r="B14" s="79">
        <v>285</v>
      </c>
      <c r="C14" s="79">
        <v>3514</v>
      </c>
      <c r="D14" s="79">
        <v>5285</v>
      </c>
      <c r="E14" s="79">
        <f t="shared" si="1"/>
        <v>8799</v>
      </c>
      <c r="F14" s="253">
        <f t="shared" si="2"/>
        <v>4399.5</v>
      </c>
      <c r="G14" s="268">
        <f t="shared" si="0"/>
        <v>6.4780088646437095</v>
      </c>
      <c r="H14" s="29"/>
      <c r="I14" s="29"/>
      <c r="J14" s="57"/>
    </row>
    <row r="15" spans="1:14">
      <c r="A15" s="27">
        <v>36322</v>
      </c>
      <c r="B15" s="79">
        <v>252</v>
      </c>
      <c r="C15" s="79">
        <v>3319</v>
      </c>
      <c r="D15" s="79">
        <v>5420</v>
      </c>
      <c r="E15" s="79">
        <f t="shared" si="1"/>
        <v>8739</v>
      </c>
      <c r="F15" s="253">
        <f t="shared" si="2"/>
        <v>4369.5</v>
      </c>
      <c r="G15" s="268">
        <f t="shared" si="0"/>
        <v>5.7672502574665296</v>
      </c>
      <c r="H15" s="29"/>
      <c r="I15" s="29"/>
      <c r="J15" s="57"/>
    </row>
    <row r="16" spans="1:14">
      <c r="A16" s="26">
        <v>36325</v>
      </c>
      <c r="B16" s="77">
        <v>161</v>
      </c>
      <c r="C16" s="77">
        <v>4002</v>
      </c>
      <c r="D16" s="77">
        <v>3426</v>
      </c>
      <c r="E16" s="77">
        <f t="shared" si="1"/>
        <v>7428</v>
      </c>
      <c r="F16" s="251">
        <f t="shared" si="2"/>
        <v>3714</v>
      </c>
      <c r="G16" s="267">
        <f t="shared" si="0"/>
        <v>4.3349488422186315</v>
      </c>
      <c r="H16" s="28"/>
      <c r="I16" s="28"/>
      <c r="J16" s="54"/>
    </row>
    <row r="17" spans="1:10">
      <c r="A17" s="26">
        <v>36326</v>
      </c>
      <c r="B17" s="77">
        <v>150</v>
      </c>
      <c r="C17" s="77">
        <v>5050</v>
      </c>
      <c r="D17" s="77">
        <v>3570</v>
      </c>
      <c r="E17" s="77">
        <f t="shared" si="1"/>
        <v>8620</v>
      </c>
      <c r="F17" s="251">
        <f t="shared" si="2"/>
        <v>4310</v>
      </c>
      <c r="G17" s="267">
        <f t="shared" si="0"/>
        <v>3.4802784222737819</v>
      </c>
      <c r="H17" s="28"/>
      <c r="I17" s="28"/>
      <c r="J17" s="54"/>
    </row>
    <row r="18" spans="1:10">
      <c r="A18" s="27">
        <v>36327</v>
      </c>
      <c r="B18" s="79">
        <v>155</v>
      </c>
      <c r="C18" s="79">
        <v>4569</v>
      </c>
      <c r="D18" s="79">
        <v>3594</v>
      </c>
      <c r="E18" s="79">
        <f t="shared" si="1"/>
        <v>8163</v>
      </c>
      <c r="F18" s="253">
        <f t="shared" si="2"/>
        <v>4081.5</v>
      </c>
      <c r="G18" s="268">
        <f t="shared" si="0"/>
        <v>3.79762342276124</v>
      </c>
      <c r="H18" s="29"/>
      <c r="I18" s="29"/>
      <c r="J18" s="57"/>
    </row>
    <row r="19" spans="1:10">
      <c r="A19" s="27">
        <v>36328</v>
      </c>
      <c r="B19" s="79">
        <v>159</v>
      </c>
      <c r="C19" s="79">
        <v>4283</v>
      </c>
      <c r="D19" s="79">
        <v>3601</v>
      </c>
      <c r="E19" s="79">
        <f t="shared" si="1"/>
        <v>7884</v>
      </c>
      <c r="F19" s="253">
        <f t="shared" si="2"/>
        <v>3942</v>
      </c>
      <c r="G19" s="268">
        <f t="shared" si="0"/>
        <v>4.0334855403348548</v>
      </c>
      <c r="H19" s="29"/>
      <c r="I19" s="29"/>
      <c r="J19" s="57"/>
    </row>
    <row r="20" spans="1:10">
      <c r="A20" s="26">
        <v>36329</v>
      </c>
      <c r="B20" s="77">
        <v>162</v>
      </c>
      <c r="C20" s="77">
        <v>4237</v>
      </c>
      <c r="D20" s="77">
        <v>3507</v>
      </c>
      <c r="E20" s="77">
        <f t="shared" si="1"/>
        <v>7744</v>
      </c>
      <c r="F20" s="251">
        <f t="shared" si="2"/>
        <v>3872</v>
      </c>
      <c r="G20" s="267">
        <f t="shared" si="0"/>
        <v>4.1838842975206614</v>
      </c>
      <c r="H20" s="28"/>
      <c r="I20" s="28"/>
      <c r="J20" s="54"/>
    </row>
    <row r="21" spans="1:10">
      <c r="A21" s="26">
        <v>36332</v>
      </c>
      <c r="B21" s="77">
        <v>195</v>
      </c>
      <c r="C21" s="77">
        <v>3222</v>
      </c>
      <c r="D21" s="77">
        <v>3950</v>
      </c>
      <c r="E21" s="77">
        <f t="shared" si="1"/>
        <v>7172</v>
      </c>
      <c r="F21" s="251">
        <f t="shared" si="2"/>
        <v>3586</v>
      </c>
      <c r="G21" s="267">
        <f t="shared" si="0"/>
        <v>5.4378137200223087</v>
      </c>
      <c r="H21" s="28"/>
      <c r="I21" s="28"/>
      <c r="J21" s="54"/>
    </row>
    <row r="22" spans="1:10">
      <c r="A22" s="27">
        <v>36333</v>
      </c>
      <c r="B22" s="79">
        <v>256</v>
      </c>
      <c r="C22" s="79">
        <v>3352</v>
      </c>
      <c r="D22" s="79">
        <v>3662</v>
      </c>
      <c r="E22" s="79">
        <f t="shared" si="1"/>
        <v>7014</v>
      </c>
      <c r="F22" s="253">
        <f t="shared" si="2"/>
        <v>3507</v>
      </c>
      <c r="G22" s="268">
        <f t="shared" si="0"/>
        <v>7.2996863416025102</v>
      </c>
      <c r="H22" s="29"/>
      <c r="I22" s="29"/>
      <c r="J22" s="57"/>
    </row>
    <row r="23" spans="1:10">
      <c r="A23" s="27">
        <v>36334</v>
      </c>
      <c r="B23" s="79">
        <v>203</v>
      </c>
      <c r="C23" s="79">
        <v>3562</v>
      </c>
      <c r="D23" s="79">
        <v>4013</v>
      </c>
      <c r="E23" s="79">
        <f t="shared" si="1"/>
        <v>7575</v>
      </c>
      <c r="F23" s="253">
        <f t="shared" si="2"/>
        <v>3787.5</v>
      </c>
      <c r="G23" s="268">
        <f t="shared" si="0"/>
        <v>5.3597359735973598</v>
      </c>
      <c r="H23" s="29"/>
      <c r="I23" s="29"/>
      <c r="J23" s="57"/>
    </row>
    <row r="24" spans="1:10">
      <c r="A24" s="26">
        <v>36335</v>
      </c>
      <c r="B24" s="77">
        <v>227</v>
      </c>
      <c r="C24" s="77">
        <v>2996</v>
      </c>
      <c r="D24" s="77">
        <v>4490</v>
      </c>
      <c r="E24" s="77">
        <f t="shared" si="1"/>
        <v>7486</v>
      </c>
      <c r="F24" s="251">
        <f t="shared" si="2"/>
        <v>3743</v>
      </c>
      <c r="G24" s="267">
        <f t="shared" si="0"/>
        <v>6.0646540208388995</v>
      </c>
      <c r="H24" s="28"/>
      <c r="I24" s="28"/>
      <c r="J24" s="54"/>
    </row>
    <row r="25" spans="1:10">
      <c r="A25" s="26">
        <v>36336</v>
      </c>
      <c r="B25" s="77">
        <v>112</v>
      </c>
      <c r="C25" s="77">
        <v>3502</v>
      </c>
      <c r="D25" s="77">
        <v>3175</v>
      </c>
      <c r="E25" s="77">
        <f t="shared" si="1"/>
        <v>6677</v>
      </c>
      <c r="F25" s="251">
        <f t="shared" si="2"/>
        <v>3338.5</v>
      </c>
      <c r="G25" s="267">
        <f t="shared" si="0"/>
        <v>3.3548000599071441</v>
      </c>
      <c r="H25" s="28"/>
      <c r="I25" s="28"/>
      <c r="J25" s="54"/>
    </row>
    <row r="26" spans="1:10">
      <c r="A26" s="27">
        <v>36339</v>
      </c>
      <c r="B26" s="79">
        <v>95</v>
      </c>
      <c r="C26" s="79">
        <v>4944</v>
      </c>
      <c r="D26" s="79">
        <v>2861</v>
      </c>
      <c r="E26" s="79">
        <f t="shared" si="1"/>
        <v>7805</v>
      </c>
      <c r="F26" s="253">
        <f t="shared" si="2"/>
        <v>3902.5</v>
      </c>
      <c r="G26" s="268">
        <f t="shared" si="0"/>
        <v>2.4343369634849452</v>
      </c>
      <c r="H26" s="29"/>
      <c r="I26" s="29"/>
      <c r="J26" s="57"/>
    </row>
    <row r="27" spans="1:10">
      <c r="A27" s="27">
        <v>36340</v>
      </c>
      <c r="B27" s="79">
        <v>169</v>
      </c>
      <c r="C27" s="79">
        <v>3881</v>
      </c>
      <c r="D27" s="79">
        <v>4139</v>
      </c>
      <c r="E27" s="79">
        <f t="shared" si="1"/>
        <v>8020</v>
      </c>
      <c r="F27" s="253">
        <f t="shared" si="2"/>
        <v>4010</v>
      </c>
      <c r="G27" s="268">
        <f t="shared" si="0"/>
        <v>4.2144638403990031</v>
      </c>
      <c r="H27" s="29"/>
      <c r="I27" s="29"/>
      <c r="J27" s="57"/>
    </row>
    <row r="28" spans="1:10">
      <c r="A28" s="26">
        <v>36341</v>
      </c>
      <c r="B28" s="77">
        <v>274</v>
      </c>
      <c r="C28" s="77">
        <v>5320</v>
      </c>
      <c r="D28" s="77">
        <v>6342</v>
      </c>
      <c r="E28" s="77">
        <f t="shared" si="1"/>
        <v>11662</v>
      </c>
      <c r="F28" s="251">
        <f t="shared" si="2"/>
        <v>5831</v>
      </c>
      <c r="G28" s="267">
        <f t="shared" si="0"/>
        <v>4.6990224661293087</v>
      </c>
      <c r="H28" s="28"/>
      <c r="I28" s="28"/>
      <c r="J28" s="54"/>
    </row>
    <row r="29" spans="1:10">
      <c r="A29" s="26">
        <v>36342</v>
      </c>
      <c r="B29" s="77">
        <v>209</v>
      </c>
      <c r="C29" s="77">
        <v>4572</v>
      </c>
      <c r="D29" s="77">
        <v>4727</v>
      </c>
      <c r="E29" s="77">
        <f t="shared" si="1"/>
        <v>9299</v>
      </c>
      <c r="F29" s="251">
        <f t="shared" si="2"/>
        <v>4649.5</v>
      </c>
      <c r="G29" s="267">
        <f t="shared" si="0"/>
        <v>4.4951070007527694</v>
      </c>
      <c r="H29" s="28"/>
      <c r="I29" s="28"/>
      <c r="J29" s="54"/>
    </row>
    <row r="30" spans="1:10">
      <c r="A30" s="27">
        <v>36343</v>
      </c>
      <c r="B30" s="79">
        <v>127</v>
      </c>
      <c r="C30" s="79">
        <v>3330</v>
      </c>
      <c r="D30" s="79">
        <v>3257</v>
      </c>
      <c r="E30" s="79">
        <f t="shared" si="1"/>
        <v>6587</v>
      </c>
      <c r="F30" s="253">
        <f t="shared" si="2"/>
        <v>3293.5</v>
      </c>
      <c r="G30" s="268">
        <f t="shared" si="0"/>
        <v>3.8560801578867467</v>
      </c>
      <c r="H30" s="29"/>
      <c r="I30" s="29"/>
      <c r="J30" s="57"/>
    </row>
    <row r="31" spans="1:10">
      <c r="A31" s="27">
        <v>36347</v>
      </c>
      <c r="B31" s="79">
        <v>188</v>
      </c>
      <c r="C31" s="79">
        <v>4045</v>
      </c>
      <c r="D31" s="79">
        <v>4573</v>
      </c>
      <c r="E31" s="79">
        <f t="shared" si="1"/>
        <v>8618</v>
      </c>
      <c r="F31" s="253">
        <f t="shared" si="2"/>
        <v>4309</v>
      </c>
      <c r="G31" s="268">
        <f t="shared" si="0"/>
        <v>4.3629612439080994</v>
      </c>
      <c r="H31" s="29"/>
      <c r="I31" s="29"/>
      <c r="J31" s="57"/>
    </row>
    <row r="32" spans="1:10">
      <c r="A32" s="26">
        <v>36348</v>
      </c>
      <c r="B32" s="77">
        <v>271</v>
      </c>
      <c r="C32" s="77">
        <v>4463</v>
      </c>
      <c r="D32" s="77">
        <v>3813</v>
      </c>
      <c r="E32" s="77">
        <f t="shared" si="1"/>
        <v>8276</v>
      </c>
      <c r="F32" s="251">
        <f t="shared" si="2"/>
        <v>4138</v>
      </c>
      <c r="G32" s="267">
        <f t="shared" si="0"/>
        <v>6.5490575157080722</v>
      </c>
      <c r="H32" s="28"/>
      <c r="I32" s="28"/>
      <c r="J32" s="54"/>
    </row>
    <row r="33" spans="1:10">
      <c r="A33" s="26">
        <v>36349</v>
      </c>
      <c r="B33" s="77">
        <v>181</v>
      </c>
      <c r="C33" s="77">
        <v>4277</v>
      </c>
      <c r="D33" s="77">
        <v>4431</v>
      </c>
      <c r="E33" s="77">
        <f t="shared" si="1"/>
        <v>8708</v>
      </c>
      <c r="F33" s="251">
        <f t="shared" si="2"/>
        <v>4354</v>
      </c>
      <c r="G33" s="267">
        <f t="shared" si="0"/>
        <v>4.1570969223702336</v>
      </c>
      <c r="H33" s="28"/>
      <c r="I33" s="28"/>
      <c r="J33" s="54"/>
    </row>
    <row r="34" spans="1:10">
      <c r="A34" s="27">
        <v>36350</v>
      </c>
      <c r="B34" s="79">
        <v>118</v>
      </c>
      <c r="C34" s="79">
        <v>3565</v>
      </c>
      <c r="D34" s="79">
        <v>3202</v>
      </c>
      <c r="E34" s="79">
        <f t="shared" si="1"/>
        <v>6767</v>
      </c>
      <c r="F34" s="253">
        <f t="shared" si="2"/>
        <v>3383.5</v>
      </c>
      <c r="G34" s="268">
        <f t="shared" si="0"/>
        <v>3.4875129303975174</v>
      </c>
      <c r="H34" s="29"/>
      <c r="I34" s="29"/>
      <c r="J34" s="57"/>
    </row>
    <row r="35" spans="1:10">
      <c r="A35" s="27">
        <v>36353</v>
      </c>
      <c r="B35" s="79">
        <v>169</v>
      </c>
      <c r="C35" s="79">
        <v>3531</v>
      </c>
      <c r="D35" s="79">
        <v>4679</v>
      </c>
      <c r="E35" s="79">
        <f t="shared" si="1"/>
        <v>8210</v>
      </c>
      <c r="F35" s="253">
        <f t="shared" si="2"/>
        <v>4105</v>
      </c>
      <c r="G35" s="268">
        <f t="shared" si="0"/>
        <v>4.1169305724725946</v>
      </c>
      <c r="H35" s="29"/>
      <c r="I35" s="29"/>
      <c r="J35" s="57"/>
    </row>
    <row r="36" spans="1:10">
      <c r="A36" s="26">
        <v>36354</v>
      </c>
      <c r="B36" s="77">
        <v>130</v>
      </c>
      <c r="C36" s="77">
        <v>4075</v>
      </c>
      <c r="D36" s="77">
        <v>4220</v>
      </c>
      <c r="E36" s="77">
        <f t="shared" si="1"/>
        <v>8295</v>
      </c>
      <c r="F36" s="251">
        <f t="shared" si="2"/>
        <v>4147.5</v>
      </c>
      <c r="G36" s="267">
        <f t="shared" si="0"/>
        <v>3.1344183242917421</v>
      </c>
      <c r="H36" s="28"/>
      <c r="I36" s="28"/>
      <c r="J36" s="54"/>
    </row>
    <row r="37" spans="1:10">
      <c r="A37" s="26">
        <v>36355</v>
      </c>
      <c r="B37" s="77">
        <v>138</v>
      </c>
      <c r="C37" s="77">
        <v>3567</v>
      </c>
      <c r="D37" s="77">
        <v>4528</v>
      </c>
      <c r="E37" s="77">
        <f t="shared" si="1"/>
        <v>8095</v>
      </c>
      <c r="F37" s="251">
        <f t="shared" si="2"/>
        <v>4047.5</v>
      </c>
      <c r="G37" s="267">
        <f t="shared" si="0"/>
        <v>3.4095120444718963</v>
      </c>
      <c r="H37" s="28"/>
      <c r="I37" s="28"/>
      <c r="J37" s="54"/>
    </row>
    <row r="38" spans="1:10">
      <c r="A38" s="27">
        <v>36356</v>
      </c>
      <c r="B38" s="79">
        <v>173</v>
      </c>
      <c r="C38" s="79">
        <v>4174</v>
      </c>
      <c r="D38" s="79">
        <v>3452</v>
      </c>
      <c r="E38" s="79">
        <f t="shared" si="1"/>
        <v>7626</v>
      </c>
      <c r="F38" s="253">
        <f t="shared" si="2"/>
        <v>3813</v>
      </c>
      <c r="G38" s="268">
        <f t="shared" si="0"/>
        <v>4.5371098872279045</v>
      </c>
      <c r="H38" s="29"/>
      <c r="I38" s="29"/>
      <c r="J38" s="57"/>
    </row>
    <row r="39" spans="1:10">
      <c r="A39" s="27">
        <v>36357</v>
      </c>
      <c r="B39" s="79">
        <v>106</v>
      </c>
      <c r="C39" s="79">
        <v>3556</v>
      </c>
      <c r="D39" s="79">
        <v>3453</v>
      </c>
      <c r="E39" s="79">
        <f t="shared" si="1"/>
        <v>7009</v>
      </c>
      <c r="F39" s="253">
        <f t="shared" si="2"/>
        <v>3504.5</v>
      </c>
      <c r="G39" s="268">
        <f t="shared" si="0"/>
        <v>3.0246825510058497</v>
      </c>
      <c r="H39" s="29"/>
      <c r="I39" s="29"/>
      <c r="J39" s="57"/>
    </row>
    <row r="40" spans="1:10">
      <c r="A40" s="26">
        <v>36360</v>
      </c>
      <c r="B40" s="77">
        <v>146</v>
      </c>
      <c r="C40" s="77">
        <v>3265</v>
      </c>
      <c r="D40" s="77">
        <v>4151</v>
      </c>
      <c r="E40" s="77">
        <f t="shared" si="1"/>
        <v>7416</v>
      </c>
      <c r="F40" s="251">
        <f t="shared" si="2"/>
        <v>3708</v>
      </c>
      <c r="G40" s="267">
        <f t="shared" ref="G40:G57" si="3">(B40/F40)*100</f>
        <v>3.9374325782092776</v>
      </c>
      <c r="H40" s="28"/>
      <c r="I40" s="28"/>
      <c r="J40" s="54"/>
    </row>
    <row r="41" spans="1:10">
      <c r="A41" s="26">
        <v>36361</v>
      </c>
      <c r="B41" s="77">
        <v>221</v>
      </c>
      <c r="C41" s="77">
        <v>3956</v>
      </c>
      <c r="D41" s="77">
        <v>4103</v>
      </c>
      <c r="E41" s="77">
        <f t="shared" si="1"/>
        <v>8059</v>
      </c>
      <c r="F41" s="251">
        <f t="shared" si="2"/>
        <v>4029.5</v>
      </c>
      <c r="G41" s="267">
        <f t="shared" si="3"/>
        <v>5.4845514331802949</v>
      </c>
      <c r="H41" s="28"/>
      <c r="I41" s="28"/>
      <c r="J41" s="54"/>
    </row>
    <row r="42" spans="1:10">
      <c r="A42" s="27">
        <v>36362</v>
      </c>
      <c r="B42" s="79">
        <v>166</v>
      </c>
      <c r="C42" s="79">
        <v>4118</v>
      </c>
      <c r="D42" s="79">
        <v>3432</v>
      </c>
      <c r="E42" s="79">
        <f t="shared" si="1"/>
        <v>7550</v>
      </c>
      <c r="F42" s="253">
        <f t="shared" si="2"/>
        <v>3775</v>
      </c>
      <c r="G42" s="268">
        <f t="shared" si="3"/>
        <v>4.3973509933774837</v>
      </c>
      <c r="H42" s="29"/>
      <c r="I42" s="29"/>
      <c r="J42" s="57"/>
    </row>
    <row r="43" spans="1:10">
      <c r="A43" s="27">
        <v>36363</v>
      </c>
      <c r="B43" s="79">
        <v>246</v>
      </c>
      <c r="C43" s="79">
        <v>3937</v>
      </c>
      <c r="D43" s="79">
        <v>4778</v>
      </c>
      <c r="E43" s="79">
        <f t="shared" si="1"/>
        <v>8715</v>
      </c>
      <c r="F43" s="253">
        <f t="shared" si="2"/>
        <v>4357.5</v>
      </c>
      <c r="G43" s="268">
        <f t="shared" si="3"/>
        <v>5.6454388984509469</v>
      </c>
      <c r="H43" s="29"/>
      <c r="I43" s="29"/>
      <c r="J43" s="57"/>
    </row>
    <row r="44" spans="1:10">
      <c r="A44" s="26">
        <v>36364</v>
      </c>
      <c r="B44" s="77">
        <v>159</v>
      </c>
      <c r="C44" s="77">
        <v>3378</v>
      </c>
      <c r="D44" s="77">
        <v>3607</v>
      </c>
      <c r="E44" s="77">
        <f t="shared" si="1"/>
        <v>6985</v>
      </c>
      <c r="F44" s="251">
        <f t="shared" si="2"/>
        <v>3492.5</v>
      </c>
      <c r="G44" s="267">
        <f t="shared" si="3"/>
        <v>4.5526127415891198</v>
      </c>
      <c r="H44" s="28"/>
      <c r="I44" s="28"/>
      <c r="J44" s="54"/>
    </row>
    <row r="45" spans="1:10">
      <c r="A45" s="26">
        <v>36367</v>
      </c>
      <c r="B45" s="77">
        <v>141</v>
      </c>
      <c r="C45" s="77">
        <v>4770</v>
      </c>
      <c r="D45" s="77">
        <v>3081</v>
      </c>
      <c r="E45" s="77">
        <f t="shared" si="1"/>
        <v>7851</v>
      </c>
      <c r="F45" s="251">
        <f t="shared" si="2"/>
        <v>3925.5</v>
      </c>
      <c r="G45" s="267">
        <f t="shared" si="3"/>
        <v>3.5918991211310662</v>
      </c>
      <c r="H45" s="28"/>
      <c r="I45" s="28"/>
      <c r="J45" s="54"/>
    </row>
    <row r="46" spans="1:10">
      <c r="A46" s="27">
        <v>36368</v>
      </c>
      <c r="B46" s="79">
        <v>195</v>
      </c>
      <c r="C46" s="79">
        <v>5235</v>
      </c>
      <c r="D46" s="79">
        <v>3142</v>
      </c>
      <c r="E46" s="79">
        <f t="shared" si="1"/>
        <v>8377</v>
      </c>
      <c r="F46" s="253">
        <f t="shared" si="2"/>
        <v>4188.5</v>
      </c>
      <c r="G46" s="268">
        <f t="shared" si="3"/>
        <v>4.6556046317297355</v>
      </c>
      <c r="H46" s="29"/>
      <c r="I46" s="29"/>
      <c r="J46" s="57"/>
    </row>
    <row r="47" spans="1:10">
      <c r="A47" s="27">
        <v>36369</v>
      </c>
      <c r="B47" s="79">
        <v>158</v>
      </c>
      <c r="C47" s="79">
        <v>3540</v>
      </c>
      <c r="D47" s="79">
        <v>3599</v>
      </c>
      <c r="E47" s="79">
        <f t="shared" si="1"/>
        <v>7139</v>
      </c>
      <c r="F47" s="253">
        <f t="shared" si="2"/>
        <v>3569.5</v>
      </c>
      <c r="G47" s="268">
        <f t="shared" si="3"/>
        <v>4.4263902507353974</v>
      </c>
      <c r="H47" s="29"/>
      <c r="I47" s="29"/>
      <c r="J47" s="57"/>
    </row>
    <row r="48" spans="1:10">
      <c r="A48" s="26">
        <v>36370</v>
      </c>
      <c r="B48" s="77">
        <v>257</v>
      </c>
      <c r="C48" s="77">
        <v>3401</v>
      </c>
      <c r="D48" s="77">
        <v>5766</v>
      </c>
      <c r="E48" s="77">
        <f t="shared" si="1"/>
        <v>9167</v>
      </c>
      <c r="F48" s="251">
        <f t="shared" si="2"/>
        <v>4583.5</v>
      </c>
      <c r="G48" s="267">
        <f t="shared" si="3"/>
        <v>5.6070688338605867</v>
      </c>
      <c r="H48" s="28"/>
      <c r="I48" s="28"/>
      <c r="J48" s="54"/>
    </row>
    <row r="49" spans="1:10">
      <c r="A49" s="26">
        <v>36371</v>
      </c>
      <c r="B49" s="77">
        <v>233</v>
      </c>
      <c r="C49" s="77">
        <v>3685</v>
      </c>
      <c r="D49" s="77">
        <v>5595</v>
      </c>
      <c r="E49" s="77">
        <f t="shared" si="1"/>
        <v>9280</v>
      </c>
      <c r="F49" s="251">
        <f t="shared" si="2"/>
        <v>4640</v>
      </c>
      <c r="G49" s="267">
        <f t="shared" si="3"/>
        <v>5.0215517241379315</v>
      </c>
      <c r="H49" s="28"/>
      <c r="I49" s="28"/>
      <c r="J49" s="54"/>
    </row>
    <row r="50" spans="1:10">
      <c r="A50" s="27">
        <v>36374</v>
      </c>
      <c r="B50" s="79">
        <v>231</v>
      </c>
      <c r="C50" s="79">
        <v>3722</v>
      </c>
      <c r="D50" s="79">
        <v>3475</v>
      </c>
      <c r="E50" s="79">
        <f t="shared" si="1"/>
        <v>7197</v>
      </c>
      <c r="F50" s="253">
        <f t="shared" si="2"/>
        <v>3598.5</v>
      </c>
      <c r="G50" s="268">
        <f t="shared" si="3"/>
        <v>6.4193413922467695</v>
      </c>
      <c r="H50" s="29"/>
      <c r="I50" s="29"/>
      <c r="J50" s="57"/>
    </row>
    <row r="51" spans="1:10">
      <c r="A51" s="27">
        <v>36375</v>
      </c>
      <c r="B51" s="79">
        <v>271</v>
      </c>
      <c r="C51" s="79">
        <v>5531</v>
      </c>
      <c r="D51" s="79">
        <v>3814</v>
      </c>
      <c r="E51" s="79">
        <f t="shared" si="1"/>
        <v>9345</v>
      </c>
      <c r="F51" s="253">
        <f t="shared" si="2"/>
        <v>4672.5</v>
      </c>
      <c r="G51" s="268">
        <f t="shared" si="3"/>
        <v>5.7998929909042269</v>
      </c>
      <c r="H51" s="29"/>
      <c r="I51" s="29"/>
      <c r="J51" s="57"/>
    </row>
    <row r="52" spans="1:10">
      <c r="A52" s="26">
        <v>36376</v>
      </c>
      <c r="B52" s="77">
        <v>156</v>
      </c>
      <c r="C52" s="77">
        <v>5041</v>
      </c>
      <c r="D52" s="77">
        <v>4411</v>
      </c>
      <c r="E52" s="77">
        <f t="shared" si="1"/>
        <v>9452</v>
      </c>
      <c r="F52" s="251">
        <f t="shared" si="2"/>
        <v>4726</v>
      </c>
      <c r="G52" s="267">
        <f t="shared" si="3"/>
        <v>3.3008887008040624</v>
      </c>
      <c r="H52" s="28"/>
      <c r="I52" s="28"/>
      <c r="J52" s="54"/>
    </row>
    <row r="53" spans="1:10">
      <c r="A53" s="26">
        <v>36377</v>
      </c>
      <c r="B53" s="77">
        <v>229</v>
      </c>
      <c r="C53" s="77">
        <v>5836</v>
      </c>
      <c r="D53" s="77">
        <v>4272</v>
      </c>
      <c r="E53" s="77">
        <f t="shared" si="1"/>
        <v>10108</v>
      </c>
      <c r="F53" s="251">
        <f t="shared" si="2"/>
        <v>5054</v>
      </c>
      <c r="G53" s="267">
        <f t="shared" si="3"/>
        <v>4.5310645033636723</v>
      </c>
      <c r="H53" s="28"/>
      <c r="I53" s="28"/>
      <c r="J53" s="54"/>
    </row>
    <row r="54" spans="1:10">
      <c r="A54" s="27">
        <v>36378</v>
      </c>
      <c r="B54" s="79">
        <v>221</v>
      </c>
      <c r="C54" s="79">
        <v>3389</v>
      </c>
      <c r="D54" s="79">
        <v>4691</v>
      </c>
      <c r="E54" s="79">
        <f t="shared" si="1"/>
        <v>8080</v>
      </c>
      <c r="F54" s="253">
        <f t="shared" si="2"/>
        <v>4040</v>
      </c>
      <c r="G54" s="268">
        <f t="shared" si="3"/>
        <v>5.4702970297029703</v>
      </c>
      <c r="H54" s="29"/>
      <c r="I54" s="29"/>
      <c r="J54" s="57"/>
    </row>
    <row r="55" spans="1:10">
      <c r="A55" s="27">
        <v>36381</v>
      </c>
      <c r="B55" s="79">
        <v>218</v>
      </c>
      <c r="C55" s="79">
        <v>4206</v>
      </c>
      <c r="D55" s="79">
        <v>3136</v>
      </c>
      <c r="E55" s="79">
        <f t="shared" si="1"/>
        <v>7342</v>
      </c>
      <c r="F55" s="253">
        <f t="shared" si="2"/>
        <v>3671</v>
      </c>
      <c r="G55" s="268">
        <f t="shared" si="3"/>
        <v>5.9384363933533102</v>
      </c>
      <c r="H55" s="29"/>
      <c r="I55" s="29"/>
      <c r="J55" s="57"/>
    </row>
    <row r="56" spans="1:10">
      <c r="A56" s="26">
        <v>36382</v>
      </c>
      <c r="B56" s="77">
        <v>257</v>
      </c>
      <c r="C56" s="77">
        <v>4593</v>
      </c>
      <c r="D56" s="77">
        <v>5073</v>
      </c>
      <c r="E56" s="77">
        <f t="shared" si="1"/>
        <v>9666</v>
      </c>
      <c r="F56" s="251">
        <f t="shared" si="2"/>
        <v>4833</v>
      </c>
      <c r="G56" s="267">
        <f t="shared" si="3"/>
        <v>5.3176081109042004</v>
      </c>
      <c r="H56" s="28"/>
      <c r="I56" s="28"/>
      <c r="J56" s="54"/>
    </row>
    <row r="57" spans="1:10">
      <c r="A57" s="26">
        <v>36383</v>
      </c>
      <c r="B57" s="77">
        <v>217</v>
      </c>
      <c r="C57" s="77">
        <v>4205</v>
      </c>
      <c r="D57" s="77">
        <v>3626</v>
      </c>
      <c r="E57" s="77">
        <f t="shared" si="1"/>
        <v>7831</v>
      </c>
      <c r="F57" s="251">
        <f t="shared" si="2"/>
        <v>3915.5</v>
      </c>
      <c r="G57" s="267">
        <f t="shared" si="3"/>
        <v>5.5420763631720087</v>
      </c>
      <c r="H57" s="28"/>
      <c r="I57" s="28"/>
      <c r="J57" s="54"/>
    </row>
    <row r="60" spans="1:10" ht="15">
      <c r="A60" s="241" t="s">
        <v>872</v>
      </c>
    </row>
    <row r="61" spans="1:10" ht="15">
      <c r="A61" s="241" t="s">
        <v>265</v>
      </c>
    </row>
    <row r="62" spans="1:10" ht="15">
      <c r="A62" s="241" t="s">
        <v>267</v>
      </c>
    </row>
    <row r="63" spans="1:10" ht="15">
      <c r="A63" s="241" t="s">
        <v>266</v>
      </c>
    </row>
  </sheetData>
  <mergeCells count="2">
    <mergeCell ref="B4:J4"/>
    <mergeCell ref="B5:J5"/>
  </mergeCells>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6388" r:id="rId3" name="Button 4">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6389"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6390"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6391"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enableFormatConditionsCalculation="0"/>
  <dimension ref="A1:N262"/>
  <sheetViews>
    <sheetView workbookViewId="0"/>
  </sheetViews>
  <sheetFormatPr baseColWidth="10" defaultColWidth="8.83203125" defaultRowHeight="12" x14ac:dyDescent="0"/>
  <cols>
    <col min="1" max="1" width="11.1640625" customWidth="1"/>
    <col min="4" max="4" width="11"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817</v>
      </c>
      <c r="C3" s="21"/>
      <c r="D3" s="21"/>
      <c r="E3" s="21"/>
      <c r="F3" s="21"/>
      <c r="G3" s="21"/>
      <c r="H3" s="21"/>
      <c r="I3" s="21"/>
      <c r="J3" s="21"/>
    </row>
    <row r="4" spans="1:14">
      <c r="A4" s="19" t="s">
        <v>774</v>
      </c>
      <c r="B4" s="20" t="s">
        <v>818</v>
      </c>
      <c r="C4" s="21"/>
      <c r="D4" s="21"/>
      <c r="E4" s="21"/>
      <c r="F4" s="21"/>
      <c r="G4" s="21"/>
      <c r="H4" s="21"/>
      <c r="I4" s="21"/>
      <c r="J4" s="21"/>
    </row>
    <row r="5" spans="1:14" ht="48.75" customHeight="1">
      <c r="A5" s="118" t="s">
        <v>779</v>
      </c>
      <c r="B5" s="446" t="s">
        <v>269</v>
      </c>
      <c r="C5" s="446"/>
      <c r="D5" s="446"/>
      <c r="E5" s="446"/>
      <c r="F5" s="446"/>
      <c r="G5" s="446"/>
      <c r="H5" s="446"/>
      <c r="I5" s="446"/>
      <c r="J5" s="446"/>
    </row>
    <row r="6" spans="1:14" ht="15">
      <c r="A6" s="19"/>
      <c r="B6" s="356" t="s">
        <v>272</v>
      </c>
      <c r="C6" s="21"/>
      <c r="D6" s="21"/>
      <c r="E6" s="21"/>
      <c r="F6" s="21"/>
      <c r="G6" s="21"/>
      <c r="H6" s="21"/>
      <c r="I6" s="21"/>
      <c r="J6" s="21"/>
    </row>
    <row r="7" spans="1:14" ht="15">
      <c r="A7" s="19"/>
      <c r="B7" s="356"/>
      <c r="C7" s="21"/>
      <c r="D7" s="149" t="s">
        <v>270</v>
      </c>
      <c r="E7" s="21"/>
      <c r="F7" s="21"/>
      <c r="G7" s="21"/>
      <c r="H7" s="21"/>
      <c r="I7" s="21"/>
      <c r="J7" s="21"/>
    </row>
    <row r="8" spans="1:14" ht="15">
      <c r="A8" s="19"/>
      <c r="B8" s="356" t="s">
        <v>273</v>
      </c>
      <c r="C8" s="21"/>
      <c r="D8" s="21"/>
      <c r="E8" s="21"/>
      <c r="F8" s="21"/>
      <c r="G8" s="21"/>
      <c r="H8" s="21"/>
      <c r="I8" s="21"/>
      <c r="J8" s="21"/>
    </row>
    <row r="9" spans="1:14" ht="15">
      <c r="A9" s="19"/>
      <c r="B9" s="356"/>
      <c r="C9" s="21"/>
      <c r="D9" s="149" t="s">
        <v>274</v>
      </c>
      <c r="E9" s="21"/>
      <c r="F9" s="21"/>
      <c r="G9" s="21"/>
      <c r="H9" s="21"/>
      <c r="I9" s="21"/>
      <c r="J9" s="21"/>
    </row>
    <row r="10" spans="1:14" ht="15">
      <c r="A10" s="19"/>
      <c r="B10" s="356" t="s">
        <v>275</v>
      </c>
      <c r="C10" s="21"/>
      <c r="D10" s="21"/>
      <c r="E10" s="21"/>
      <c r="F10" s="21"/>
      <c r="G10" s="21"/>
      <c r="H10" s="21"/>
      <c r="I10" s="21"/>
      <c r="J10" s="21"/>
    </row>
    <row r="11" spans="1:14" ht="15">
      <c r="A11" s="19"/>
      <c r="B11" s="356"/>
      <c r="C11" s="189" t="s">
        <v>271</v>
      </c>
      <c r="D11" s="21"/>
      <c r="E11" s="21"/>
      <c r="F11" s="21"/>
      <c r="G11" s="21"/>
      <c r="H11" s="21"/>
      <c r="I11" s="21"/>
      <c r="J11" s="21"/>
    </row>
    <row r="12" spans="1:14" ht="30" customHeight="1">
      <c r="A12" s="22" t="s">
        <v>1090</v>
      </c>
      <c r="B12" s="22" t="s">
        <v>1098</v>
      </c>
      <c r="C12" s="22" t="s">
        <v>1099</v>
      </c>
      <c r="D12" s="22" t="s">
        <v>1262</v>
      </c>
      <c r="E12" s="22"/>
      <c r="F12" s="22"/>
      <c r="G12" s="22"/>
      <c r="H12" s="22"/>
      <c r="I12" s="22"/>
      <c r="J12" s="22"/>
    </row>
    <row r="13" spans="1:14">
      <c r="A13" s="26">
        <v>33973</v>
      </c>
      <c r="B13" s="112">
        <v>20.5625</v>
      </c>
      <c r="C13" s="255">
        <v>27802</v>
      </c>
      <c r="D13" s="255"/>
      <c r="E13" s="28"/>
      <c r="F13" s="28"/>
      <c r="G13" s="28"/>
      <c r="H13" s="28"/>
      <c r="I13" s="28"/>
      <c r="J13" s="54"/>
    </row>
    <row r="14" spans="1:14">
      <c r="A14" s="26">
        <v>33974</v>
      </c>
      <c r="B14" s="112">
        <v>20.375</v>
      </c>
      <c r="C14" s="255">
        <v>16178</v>
      </c>
      <c r="D14" s="255">
        <f>IF(B14&gt;B13,D13+C14,IF(B14&lt;B13,D13-C14,D13))</f>
        <v>-16178</v>
      </c>
      <c r="E14" s="28"/>
      <c r="F14" s="28"/>
      <c r="G14" s="28"/>
      <c r="H14" s="28"/>
      <c r="I14" s="28"/>
      <c r="J14" s="54"/>
    </row>
    <row r="15" spans="1:14">
      <c r="A15" s="27">
        <v>33975</v>
      </c>
      <c r="B15" s="111">
        <v>20.0625</v>
      </c>
      <c r="C15" s="257">
        <v>22766</v>
      </c>
      <c r="D15" s="257">
        <f t="shared" ref="D15:D30" si="0">IF(B15&gt;B14,D14+C15,IF(B15&lt;B14,D14-C15,D14))</f>
        <v>-38944</v>
      </c>
      <c r="E15" s="29"/>
      <c r="F15" s="29"/>
      <c r="G15" s="29"/>
      <c r="H15" s="29"/>
      <c r="I15" s="29"/>
      <c r="J15" s="57"/>
    </row>
    <row r="16" spans="1:14">
      <c r="A16" s="27">
        <v>33976</v>
      </c>
      <c r="B16" s="111">
        <v>19.5</v>
      </c>
      <c r="C16" s="257">
        <v>46074</v>
      </c>
      <c r="D16" s="257">
        <f t="shared" si="0"/>
        <v>-85018</v>
      </c>
      <c r="E16" s="29"/>
      <c r="F16" s="29"/>
      <c r="G16" s="29"/>
      <c r="H16" s="29"/>
      <c r="I16" s="29"/>
      <c r="J16" s="57"/>
    </row>
    <row r="17" spans="1:10">
      <c r="A17" s="26">
        <v>33977</v>
      </c>
      <c r="B17" s="112">
        <v>19.8125</v>
      </c>
      <c r="C17" s="255">
        <v>22904</v>
      </c>
      <c r="D17" s="255">
        <f t="shared" si="0"/>
        <v>-62114</v>
      </c>
      <c r="E17" s="28"/>
      <c r="F17" s="28"/>
      <c r="G17" s="28"/>
      <c r="H17" s="28"/>
      <c r="I17" s="28"/>
      <c r="J17" s="54"/>
    </row>
    <row r="18" spans="1:10">
      <c r="A18" s="26">
        <v>33980</v>
      </c>
      <c r="B18" s="112">
        <v>19.8125</v>
      </c>
      <c r="C18" s="255">
        <v>20428</v>
      </c>
      <c r="D18" s="255">
        <f t="shared" si="0"/>
        <v>-62114</v>
      </c>
      <c r="E18" s="28"/>
      <c r="F18" s="28"/>
      <c r="G18" s="28"/>
      <c r="H18" s="28"/>
      <c r="I18" s="28"/>
      <c r="J18" s="54"/>
    </row>
    <row r="19" spans="1:10">
      <c r="A19" s="27">
        <v>33981</v>
      </c>
      <c r="B19" s="111">
        <v>20.0625</v>
      </c>
      <c r="C19" s="257">
        <v>29260</v>
      </c>
      <c r="D19" s="257">
        <f t="shared" si="0"/>
        <v>-32854</v>
      </c>
      <c r="E19" s="29"/>
      <c r="F19" s="29"/>
      <c r="G19" s="29"/>
      <c r="H19" s="29"/>
      <c r="I19" s="29"/>
      <c r="J19" s="57"/>
    </row>
    <row r="20" spans="1:10">
      <c r="A20" s="27">
        <v>33982</v>
      </c>
      <c r="B20" s="111">
        <v>20.0625</v>
      </c>
      <c r="C20" s="257">
        <v>30652</v>
      </c>
      <c r="D20" s="257">
        <f t="shared" si="0"/>
        <v>-32854</v>
      </c>
      <c r="E20" s="29"/>
      <c r="F20" s="29"/>
      <c r="G20" s="29"/>
      <c r="H20" s="29"/>
      <c r="I20" s="29"/>
      <c r="J20" s="57"/>
    </row>
    <row r="21" spans="1:10">
      <c r="A21" s="26">
        <v>33983</v>
      </c>
      <c r="B21" s="112">
        <v>20.375</v>
      </c>
      <c r="C21" s="255">
        <v>38332</v>
      </c>
      <c r="D21" s="255">
        <f t="shared" si="0"/>
        <v>5478</v>
      </c>
      <c r="E21" s="28"/>
      <c r="F21" s="28"/>
      <c r="G21" s="28"/>
      <c r="H21" s="28"/>
      <c r="I21" s="28"/>
      <c r="J21" s="54"/>
    </row>
    <row r="22" spans="1:10">
      <c r="A22" s="26">
        <v>33984</v>
      </c>
      <c r="B22" s="112">
        <v>20.75</v>
      </c>
      <c r="C22" s="255">
        <v>40054</v>
      </c>
      <c r="D22" s="255">
        <f t="shared" si="0"/>
        <v>45532</v>
      </c>
      <c r="E22" s="28"/>
      <c r="F22" s="28"/>
      <c r="G22" s="28"/>
      <c r="H22" s="28"/>
      <c r="I22" s="28"/>
      <c r="J22" s="54"/>
    </row>
    <row r="23" spans="1:10">
      <c r="A23" s="27">
        <v>33987</v>
      </c>
      <c r="B23" s="111">
        <v>20.75</v>
      </c>
      <c r="C23" s="257">
        <v>19104</v>
      </c>
      <c r="D23" s="257">
        <f t="shared" si="0"/>
        <v>45532</v>
      </c>
      <c r="E23" s="29"/>
      <c r="F23" s="29"/>
      <c r="G23" s="29"/>
      <c r="H23" s="29"/>
      <c r="I23" s="29"/>
      <c r="J23" s="57"/>
    </row>
    <row r="24" spans="1:10">
      <c r="A24" s="27">
        <v>33988</v>
      </c>
      <c r="B24" s="111">
        <v>20.5625</v>
      </c>
      <c r="C24" s="257">
        <v>22490</v>
      </c>
      <c r="D24" s="257">
        <f t="shared" si="0"/>
        <v>23042</v>
      </c>
      <c r="E24" s="29"/>
      <c r="F24" s="29"/>
      <c r="G24" s="29"/>
      <c r="H24" s="29"/>
      <c r="I24" s="29"/>
      <c r="J24" s="57"/>
    </row>
    <row r="25" spans="1:10">
      <c r="A25" s="26">
        <v>33989</v>
      </c>
      <c r="B25" s="112">
        <v>20.4375</v>
      </c>
      <c r="C25" s="255">
        <v>24626</v>
      </c>
      <c r="D25" s="255">
        <f t="shared" si="0"/>
        <v>-1584</v>
      </c>
      <c r="E25" s="28"/>
      <c r="F25" s="28"/>
      <c r="G25" s="28"/>
      <c r="H25" s="28"/>
      <c r="I25" s="28"/>
      <c r="J25" s="54"/>
    </row>
    <row r="26" spans="1:10">
      <c r="A26" s="26">
        <v>33990</v>
      </c>
      <c r="B26" s="112">
        <v>20.5625</v>
      </c>
      <c r="C26" s="255">
        <v>24196</v>
      </c>
      <c r="D26" s="255">
        <f t="shared" si="0"/>
        <v>22612</v>
      </c>
      <c r="E26" s="28"/>
      <c r="F26" s="28"/>
      <c r="G26" s="28"/>
      <c r="H26" s="28"/>
      <c r="I26" s="28"/>
      <c r="J26" s="54"/>
    </row>
    <row r="27" spans="1:10">
      <c r="A27" s="27">
        <v>33991</v>
      </c>
      <c r="B27" s="111">
        <v>20.5</v>
      </c>
      <c r="C27" s="257">
        <v>22492</v>
      </c>
      <c r="D27" s="257">
        <f t="shared" si="0"/>
        <v>120</v>
      </c>
      <c r="E27" s="29"/>
      <c r="F27" s="29"/>
      <c r="G27" s="29"/>
      <c r="H27" s="29"/>
      <c r="I27" s="29"/>
      <c r="J27" s="57"/>
    </row>
    <row r="28" spans="1:10">
      <c r="A28" s="27">
        <v>33994</v>
      </c>
      <c r="B28" s="111">
        <v>20.5</v>
      </c>
      <c r="C28" s="257">
        <v>21374</v>
      </c>
      <c r="D28" s="257">
        <f t="shared" si="0"/>
        <v>120</v>
      </c>
      <c r="E28" s="29"/>
      <c r="F28" s="29"/>
      <c r="G28" s="29"/>
      <c r="H28" s="29"/>
      <c r="I28" s="29"/>
      <c r="J28" s="57"/>
    </row>
    <row r="29" spans="1:10">
      <c r="A29" s="26">
        <v>33995</v>
      </c>
      <c r="B29" s="112">
        <v>20.875</v>
      </c>
      <c r="C29" s="255">
        <v>27592</v>
      </c>
      <c r="D29" s="255">
        <f t="shared" si="0"/>
        <v>27712</v>
      </c>
      <c r="E29" s="28"/>
      <c r="F29" s="28"/>
      <c r="G29" s="28"/>
      <c r="H29" s="28"/>
      <c r="I29" s="28"/>
      <c r="J29" s="54"/>
    </row>
    <row r="30" spans="1:10">
      <c r="A30" s="26">
        <v>33996</v>
      </c>
      <c r="B30" s="112">
        <v>21.1875</v>
      </c>
      <c r="C30" s="255">
        <v>19644</v>
      </c>
      <c r="D30" s="255">
        <f t="shared" si="0"/>
        <v>47356</v>
      </c>
      <c r="E30" s="28"/>
      <c r="F30" s="28"/>
      <c r="G30" s="28"/>
      <c r="H30" s="28"/>
      <c r="I30" s="28"/>
      <c r="J30" s="54"/>
    </row>
    <row r="31" spans="1:10">
      <c r="A31" s="27">
        <v>33997</v>
      </c>
      <c r="B31" s="111">
        <v>20.9375</v>
      </c>
      <c r="C31" s="257">
        <v>21122</v>
      </c>
      <c r="D31" s="257">
        <f t="shared" ref="D31:D46" si="1">IF(B31&gt;B30,D30+C31,IF(B31&lt;B30,D30-C31,D30))</f>
        <v>26234</v>
      </c>
      <c r="E31" s="29"/>
      <c r="F31" s="29"/>
      <c r="G31" s="29"/>
      <c r="H31" s="29"/>
      <c r="I31" s="29"/>
      <c r="J31" s="57"/>
    </row>
    <row r="32" spans="1:10">
      <c r="A32" s="27">
        <v>33998</v>
      </c>
      <c r="B32" s="111">
        <v>20.9375</v>
      </c>
      <c r="C32" s="257">
        <v>20500</v>
      </c>
      <c r="D32" s="257">
        <f t="shared" si="1"/>
        <v>26234</v>
      </c>
      <c r="E32" s="29"/>
      <c r="F32" s="29"/>
      <c r="G32" s="29"/>
      <c r="H32" s="29"/>
      <c r="I32" s="29"/>
      <c r="J32" s="57"/>
    </row>
    <row r="33" spans="1:10">
      <c r="A33" s="26">
        <v>34001</v>
      </c>
      <c r="B33" s="112">
        <v>21.125</v>
      </c>
      <c r="C33" s="255">
        <v>17398</v>
      </c>
      <c r="D33" s="255">
        <f t="shared" si="1"/>
        <v>43632</v>
      </c>
      <c r="E33" s="28"/>
      <c r="F33" s="28"/>
      <c r="G33" s="28"/>
      <c r="H33" s="28"/>
      <c r="I33" s="28"/>
      <c r="J33" s="54"/>
    </row>
    <row r="34" spans="1:10">
      <c r="A34" s="26">
        <v>34002</v>
      </c>
      <c r="B34" s="112">
        <v>20.875</v>
      </c>
      <c r="C34" s="255">
        <v>23756</v>
      </c>
      <c r="D34" s="255">
        <f t="shared" si="1"/>
        <v>19876</v>
      </c>
      <c r="E34" s="28"/>
      <c r="F34" s="28"/>
      <c r="G34" s="28"/>
      <c r="H34" s="28"/>
      <c r="I34" s="28"/>
      <c r="J34" s="54"/>
    </row>
    <row r="35" spans="1:10">
      <c r="A35" s="27">
        <v>34003</v>
      </c>
      <c r="B35" s="111">
        <v>20.75</v>
      </c>
      <c r="C35" s="257">
        <v>21486</v>
      </c>
      <c r="D35" s="257">
        <f t="shared" si="1"/>
        <v>-1610</v>
      </c>
      <c r="E35" s="29"/>
      <c r="F35" s="29"/>
      <c r="G35" s="29"/>
      <c r="H35" s="29"/>
      <c r="I35" s="29"/>
      <c r="J35" s="57"/>
    </row>
    <row r="36" spans="1:10">
      <c r="A36" s="27">
        <v>34004</v>
      </c>
      <c r="B36" s="111">
        <v>20.75</v>
      </c>
      <c r="C36" s="257">
        <v>21784</v>
      </c>
      <c r="D36" s="257">
        <f t="shared" si="1"/>
        <v>-1610</v>
      </c>
      <c r="E36" s="29"/>
      <c r="F36" s="29"/>
      <c r="G36" s="29"/>
      <c r="H36" s="29"/>
      <c r="I36" s="29"/>
      <c r="J36" s="57"/>
    </row>
    <row r="37" spans="1:10">
      <c r="A37" s="26">
        <v>34005</v>
      </c>
      <c r="B37" s="112">
        <v>20.25</v>
      </c>
      <c r="C37" s="255">
        <v>34166</v>
      </c>
      <c r="D37" s="255">
        <f t="shared" si="1"/>
        <v>-35776</v>
      </c>
      <c r="E37" s="28"/>
      <c r="F37" s="28"/>
      <c r="G37" s="28"/>
      <c r="H37" s="28"/>
      <c r="I37" s="28"/>
      <c r="J37" s="54"/>
    </row>
    <row r="38" spans="1:10">
      <c r="A38" s="26">
        <v>34008</v>
      </c>
      <c r="B38" s="112">
        <v>20.1875</v>
      </c>
      <c r="C38" s="255">
        <v>22222</v>
      </c>
      <c r="D38" s="255">
        <f t="shared" si="1"/>
        <v>-57998</v>
      </c>
      <c r="E38" s="28"/>
      <c r="F38" s="28"/>
      <c r="G38" s="28"/>
      <c r="H38" s="28"/>
      <c r="I38" s="28"/>
      <c r="J38" s="54"/>
    </row>
    <row r="39" spans="1:10">
      <c r="A39" s="27">
        <v>34009</v>
      </c>
      <c r="B39" s="111">
        <v>19.6875</v>
      </c>
      <c r="C39" s="257">
        <v>31060</v>
      </c>
      <c r="D39" s="257">
        <f t="shared" si="1"/>
        <v>-89058</v>
      </c>
      <c r="E39" s="29"/>
      <c r="F39" s="29"/>
      <c r="G39" s="29"/>
      <c r="H39" s="29"/>
      <c r="I39" s="29"/>
      <c r="J39" s="57"/>
    </row>
    <row r="40" spans="1:10">
      <c r="A40" s="27">
        <v>34010</v>
      </c>
      <c r="B40" s="111">
        <v>19.875</v>
      </c>
      <c r="C40" s="257">
        <v>23002</v>
      </c>
      <c r="D40" s="257">
        <f t="shared" si="1"/>
        <v>-66056</v>
      </c>
      <c r="E40" s="29"/>
      <c r="F40" s="29"/>
      <c r="G40" s="29"/>
      <c r="H40" s="29"/>
      <c r="I40" s="29"/>
      <c r="J40" s="57"/>
    </row>
    <row r="41" spans="1:10">
      <c r="A41" s="26">
        <v>34011</v>
      </c>
      <c r="B41" s="112">
        <v>20.3125</v>
      </c>
      <c r="C41" s="255">
        <v>27806</v>
      </c>
      <c r="D41" s="255">
        <f t="shared" si="1"/>
        <v>-38250</v>
      </c>
      <c r="E41" s="28"/>
      <c r="F41" s="28"/>
      <c r="G41" s="28"/>
      <c r="H41" s="28"/>
      <c r="I41" s="28"/>
      <c r="J41" s="54"/>
    </row>
    <row r="42" spans="1:10">
      <c r="A42" s="26">
        <v>34012</v>
      </c>
      <c r="B42" s="112">
        <v>19.75</v>
      </c>
      <c r="C42" s="255">
        <v>21854</v>
      </c>
      <c r="D42" s="255">
        <f t="shared" si="1"/>
        <v>-60104</v>
      </c>
      <c r="E42" s="28"/>
      <c r="F42" s="28"/>
      <c r="G42" s="28"/>
      <c r="H42" s="28"/>
      <c r="I42" s="28"/>
      <c r="J42" s="54"/>
    </row>
    <row r="43" spans="1:10">
      <c r="A43" s="27">
        <v>34016</v>
      </c>
      <c r="B43" s="111">
        <v>19.75</v>
      </c>
      <c r="C43" s="257">
        <v>38410</v>
      </c>
      <c r="D43" s="257">
        <f t="shared" si="1"/>
        <v>-60104</v>
      </c>
      <c r="E43" s="29"/>
      <c r="F43" s="29"/>
      <c r="G43" s="29"/>
      <c r="H43" s="29"/>
      <c r="I43" s="29"/>
      <c r="J43" s="57"/>
    </row>
    <row r="44" spans="1:10">
      <c r="A44" s="27">
        <v>34017</v>
      </c>
      <c r="B44" s="111">
        <v>20.1875</v>
      </c>
      <c r="C44" s="257">
        <v>40096</v>
      </c>
      <c r="D44" s="257">
        <f t="shared" si="1"/>
        <v>-20008</v>
      </c>
      <c r="E44" s="29"/>
      <c r="F44" s="29"/>
      <c r="G44" s="29"/>
      <c r="H44" s="29"/>
      <c r="I44" s="29"/>
      <c r="J44" s="57"/>
    </row>
    <row r="45" spans="1:10">
      <c r="A45" s="26">
        <v>34018</v>
      </c>
      <c r="B45" s="112">
        <v>20</v>
      </c>
      <c r="C45" s="255">
        <v>29930</v>
      </c>
      <c r="D45" s="255">
        <f t="shared" si="1"/>
        <v>-49938</v>
      </c>
      <c r="E45" s="28"/>
      <c r="F45" s="28"/>
      <c r="G45" s="28"/>
      <c r="H45" s="28"/>
      <c r="I45" s="28"/>
      <c r="J45" s="54"/>
    </row>
    <row r="46" spans="1:10">
      <c r="A46" s="26">
        <v>34019</v>
      </c>
      <c r="B46" s="112">
        <v>20</v>
      </c>
      <c r="C46" s="255">
        <v>24606</v>
      </c>
      <c r="D46" s="255">
        <f t="shared" si="1"/>
        <v>-49938</v>
      </c>
      <c r="E46" s="28"/>
      <c r="F46" s="28"/>
      <c r="G46" s="28"/>
      <c r="H46" s="28"/>
      <c r="I46" s="28"/>
      <c r="J46" s="54"/>
    </row>
    <row r="47" spans="1:10">
      <c r="A47" s="27">
        <v>34022</v>
      </c>
      <c r="B47" s="111">
        <v>19.875</v>
      </c>
      <c r="C47" s="257">
        <v>24266</v>
      </c>
      <c r="D47" s="257">
        <f t="shared" ref="D47:D62" si="2">IF(B47&gt;B46,D46+C47,IF(B47&lt;B46,D46-C47,D46))</f>
        <v>-74204</v>
      </c>
      <c r="E47" s="29"/>
      <c r="F47" s="29"/>
      <c r="G47" s="29"/>
      <c r="H47" s="29"/>
      <c r="I47" s="29"/>
      <c r="J47" s="57"/>
    </row>
    <row r="48" spans="1:10">
      <c r="A48" s="27">
        <v>34023</v>
      </c>
      <c r="B48" s="111">
        <v>20.125</v>
      </c>
      <c r="C48" s="257">
        <v>18934</v>
      </c>
      <c r="D48" s="257">
        <f t="shared" si="2"/>
        <v>-55270</v>
      </c>
      <c r="E48" s="29"/>
      <c r="F48" s="29"/>
      <c r="G48" s="29"/>
      <c r="H48" s="29"/>
      <c r="I48" s="29"/>
      <c r="J48" s="57"/>
    </row>
    <row r="49" spans="1:10">
      <c r="A49" s="26">
        <v>34024</v>
      </c>
      <c r="B49" s="112">
        <v>20.1875</v>
      </c>
      <c r="C49" s="255">
        <v>27328</v>
      </c>
      <c r="D49" s="255">
        <f t="shared" si="2"/>
        <v>-27942</v>
      </c>
      <c r="E49" s="28"/>
      <c r="F49" s="28"/>
      <c r="G49" s="28"/>
      <c r="H49" s="28"/>
      <c r="I49" s="28"/>
      <c r="J49" s="54"/>
    </row>
    <row r="50" spans="1:10">
      <c r="A50" s="26">
        <v>34025</v>
      </c>
      <c r="B50" s="112">
        <v>19.8125</v>
      </c>
      <c r="C50" s="255">
        <v>22424</v>
      </c>
      <c r="D50" s="255">
        <f t="shared" si="2"/>
        <v>-50366</v>
      </c>
      <c r="E50" s="28"/>
      <c r="F50" s="28"/>
      <c r="G50" s="28"/>
      <c r="H50" s="28"/>
      <c r="I50" s="28"/>
      <c r="J50" s="54"/>
    </row>
    <row r="51" spans="1:10">
      <c r="A51" s="27">
        <v>34026</v>
      </c>
      <c r="B51" s="111">
        <v>19.9375</v>
      </c>
      <c r="C51" s="257">
        <v>24486</v>
      </c>
      <c r="D51" s="257">
        <f t="shared" si="2"/>
        <v>-25880</v>
      </c>
      <c r="E51" s="29"/>
      <c r="F51" s="29"/>
      <c r="G51" s="29"/>
      <c r="H51" s="29"/>
      <c r="I51" s="29"/>
      <c r="J51" s="57"/>
    </row>
    <row r="52" spans="1:10">
      <c r="A52" s="27">
        <v>34029</v>
      </c>
      <c r="B52" s="111">
        <v>19.625</v>
      </c>
      <c r="C52" s="257">
        <v>23236</v>
      </c>
      <c r="D52" s="257">
        <f t="shared" si="2"/>
        <v>-49116</v>
      </c>
      <c r="E52" s="29"/>
      <c r="F52" s="29"/>
      <c r="G52" s="29"/>
      <c r="H52" s="29"/>
      <c r="I52" s="29"/>
      <c r="J52" s="57"/>
    </row>
    <row r="53" spans="1:10">
      <c r="A53" s="26">
        <v>34030</v>
      </c>
      <c r="B53" s="112">
        <v>20.25</v>
      </c>
      <c r="C53" s="255">
        <v>31506</v>
      </c>
      <c r="D53" s="255">
        <f t="shared" si="2"/>
        <v>-17610</v>
      </c>
      <c r="E53" s="28"/>
      <c r="F53" s="28"/>
      <c r="G53" s="28"/>
      <c r="H53" s="28"/>
      <c r="I53" s="28"/>
      <c r="J53" s="54"/>
    </row>
    <row r="54" spans="1:10">
      <c r="A54" s="26">
        <v>34031</v>
      </c>
      <c r="B54" s="112">
        <v>20.5</v>
      </c>
      <c r="C54" s="255">
        <v>35564</v>
      </c>
      <c r="D54" s="255">
        <f t="shared" si="2"/>
        <v>17954</v>
      </c>
      <c r="E54" s="28"/>
      <c r="F54" s="28"/>
      <c r="G54" s="28"/>
      <c r="H54" s="28"/>
      <c r="I54" s="28"/>
      <c r="J54" s="54"/>
    </row>
    <row r="55" spans="1:10">
      <c r="A55" s="27">
        <v>34032</v>
      </c>
      <c r="B55" s="111">
        <v>20.4375</v>
      </c>
      <c r="C55" s="257">
        <v>17844</v>
      </c>
      <c r="D55" s="257">
        <f t="shared" si="2"/>
        <v>110</v>
      </c>
      <c r="E55" s="29"/>
      <c r="F55" s="29"/>
      <c r="G55" s="29"/>
      <c r="H55" s="29"/>
      <c r="I55" s="29"/>
      <c r="J55" s="57"/>
    </row>
    <row r="56" spans="1:10">
      <c r="A56" s="27">
        <v>34033</v>
      </c>
      <c r="B56" s="111">
        <v>20.6875</v>
      </c>
      <c r="C56" s="257">
        <v>31096</v>
      </c>
      <c r="D56" s="257">
        <f t="shared" si="2"/>
        <v>31206</v>
      </c>
      <c r="E56" s="29"/>
      <c r="F56" s="29"/>
      <c r="G56" s="29"/>
      <c r="H56" s="29"/>
      <c r="I56" s="29"/>
      <c r="J56" s="57"/>
    </row>
    <row r="57" spans="1:10">
      <c r="A57" s="26">
        <v>34036</v>
      </c>
      <c r="B57" s="112">
        <v>21.25</v>
      </c>
      <c r="C57" s="255">
        <v>27380</v>
      </c>
      <c r="D57" s="255">
        <f t="shared" si="2"/>
        <v>58586</v>
      </c>
      <c r="E57" s="28"/>
      <c r="F57" s="28"/>
      <c r="G57" s="28"/>
      <c r="H57" s="28"/>
      <c r="I57" s="28"/>
      <c r="J57" s="54"/>
    </row>
    <row r="58" spans="1:10">
      <c r="A58" s="26">
        <v>34037</v>
      </c>
      <c r="B58" s="112">
        <v>21.0625</v>
      </c>
      <c r="C58" s="255">
        <v>20418</v>
      </c>
      <c r="D58" s="255">
        <f t="shared" si="2"/>
        <v>38168</v>
      </c>
      <c r="E58" s="28"/>
      <c r="F58" s="28"/>
      <c r="G58" s="28"/>
      <c r="H58" s="28"/>
      <c r="I58" s="28"/>
      <c r="J58" s="54"/>
    </row>
    <row r="59" spans="1:10">
      <c r="A59" s="27">
        <v>34038</v>
      </c>
      <c r="B59" s="111">
        <v>21.0625</v>
      </c>
      <c r="C59" s="257">
        <v>20386</v>
      </c>
      <c r="D59" s="257">
        <f t="shared" si="2"/>
        <v>38168</v>
      </c>
      <c r="E59" s="29"/>
      <c r="F59" s="29"/>
      <c r="G59" s="29"/>
      <c r="H59" s="29"/>
      <c r="I59" s="29"/>
      <c r="J59" s="57"/>
    </row>
    <row r="60" spans="1:10">
      <c r="A60" s="27">
        <v>34039</v>
      </c>
      <c r="B60" s="111">
        <v>21</v>
      </c>
      <c r="C60" s="257">
        <v>23458</v>
      </c>
      <c r="D60" s="257">
        <f t="shared" si="2"/>
        <v>14710</v>
      </c>
      <c r="E60" s="29"/>
      <c r="F60" s="29"/>
      <c r="G60" s="29"/>
      <c r="H60" s="29"/>
      <c r="I60" s="29"/>
      <c r="J60" s="57"/>
    </row>
    <row r="61" spans="1:10">
      <c r="A61" s="26">
        <v>34040</v>
      </c>
      <c r="B61" s="112">
        <v>20.3125</v>
      </c>
      <c r="C61" s="255">
        <v>31622</v>
      </c>
      <c r="D61" s="255">
        <f t="shared" si="2"/>
        <v>-16912</v>
      </c>
      <c r="E61" s="28"/>
      <c r="F61" s="28"/>
      <c r="G61" s="28"/>
      <c r="H61" s="28"/>
      <c r="I61" s="28"/>
      <c r="J61" s="54"/>
    </row>
    <row r="62" spans="1:10">
      <c r="A62" s="26">
        <v>34043</v>
      </c>
      <c r="B62" s="112">
        <v>20.3125</v>
      </c>
      <c r="C62" s="255">
        <v>17112</v>
      </c>
      <c r="D62" s="255">
        <f t="shared" si="2"/>
        <v>-16912</v>
      </c>
      <c r="E62" s="28"/>
      <c r="F62" s="28"/>
      <c r="G62" s="28"/>
      <c r="H62" s="28"/>
      <c r="I62" s="28"/>
      <c r="J62" s="54"/>
    </row>
    <row r="63" spans="1:10">
      <c r="A63" s="27">
        <v>34044</v>
      </c>
      <c r="B63" s="111">
        <v>20.4375</v>
      </c>
      <c r="C63" s="257">
        <v>18466</v>
      </c>
      <c r="D63" s="257">
        <f>IF(B63&gt;B62,D62+C63,IF(B63&lt;B62,D62-C63,D62))</f>
        <v>1554</v>
      </c>
      <c r="E63" s="29"/>
      <c r="F63" s="29"/>
      <c r="G63" s="29"/>
      <c r="H63" s="29"/>
      <c r="I63" s="29"/>
      <c r="J63" s="57"/>
    </row>
    <row r="64" spans="1:10">
      <c r="A64" s="27">
        <v>34045</v>
      </c>
      <c r="B64" s="111">
        <v>20.5</v>
      </c>
      <c r="C64" s="257">
        <v>20834</v>
      </c>
      <c r="D64" s="257">
        <f>IF(B64&gt;B63,D63+C64,IF(B64&lt;B63,D63-C64,D63))</f>
        <v>22388</v>
      </c>
      <c r="E64" s="29"/>
      <c r="F64" s="29"/>
      <c r="G64" s="29"/>
      <c r="H64" s="29"/>
      <c r="I64" s="29"/>
      <c r="J64" s="57"/>
    </row>
    <row r="65" spans="1:10">
      <c r="A65" s="26">
        <v>34046</v>
      </c>
      <c r="B65" s="112">
        <v>20.75</v>
      </c>
      <c r="C65" s="255">
        <v>18082</v>
      </c>
      <c r="D65" s="255">
        <f>IF(B65&gt;B64,D64+C65,IF(B65&lt;B64,D64-C65,D64))</f>
        <v>40470</v>
      </c>
      <c r="E65" s="28"/>
      <c r="F65" s="28"/>
      <c r="G65" s="28"/>
      <c r="H65" s="28"/>
      <c r="I65" s="28"/>
      <c r="J65" s="54"/>
    </row>
    <row r="66" spans="1:10">
      <c r="A66" s="26">
        <v>34047</v>
      </c>
      <c r="B66" s="112">
        <v>21</v>
      </c>
      <c r="C66" s="255">
        <v>37572</v>
      </c>
      <c r="D66" s="255">
        <f>IF(B66&gt;B65,D65+C66,IF(B66&lt;B65,D65-C66,D65))</f>
        <v>78042</v>
      </c>
      <c r="E66" s="28"/>
      <c r="F66" s="28"/>
      <c r="G66" s="28"/>
      <c r="H66" s="28"/>
      <c r="I66" s="28"/>
      <c r="J66" s="54"/>
    </row>
    <row r="67" spans="1:10">
      <c r="A67" s="8"/>
    </row>
    <row r="68" spans="1:10">
      <c r="A68" s="8"/>
    </row>
    <row r="69" spans="1:10" ht="15">
      <c r="A69" s="241" t="s">
        <v>276</v>
      </c>
    </row>
    <row r="70" spans="1:10" ht="15">
      <c r="A70" s="241" t="s">
        <v>277</v>
      </c>
    </row>
    <row r="71" spans="1:10" ht="15">
      <c r="A71" s="241" t="s">
        <v>278</v>
      </c>
    </row>
    <row r="72" spans="1:10" ht="15">
      <c r="A72" s="241" t="s">
        <v>279</v>
      </c>
    </row>
    <row r="73" spans="1:10">
      <c r="A73" s="8"/>
    </row>
    <row r="74" spans="1:10">
      <c r="A74" s="8"/>
    </row>
    <row r="75" spans="1:10">
      <c r="A75" s="8"/>
    </row>
    <row r="76" spans="1:10">
      <c r="A76" s="8"/>
    </row>
    <row r="77" spans="1:10">
      <c r="A77" s="8"/>
    </row>
    <row r="78" spans="1:10">
      <c r="A78" s="8"/>
    </row>
    <row r="79" spans="1:10">
      <c r="A79" s="8"/>
    </row>
    <row r="80" spans="1:10">
      <c r="A80" s="8"/>
    </row>
    <row r="81" spans="1:1">
      <c r="A81" s="8"/>
    </row>
    <row r="82" spans="1:1">
      <c r="A82" s="8"/>
    </row>
    <row r="83" spans="1:1">
      <c r="A83" s="8"/>
    </row>
    <row r="84" spans="1:1">
      <c r="A84" s="8"/>
    </row>
    <row r="85" spans="1:1">
      <c r="A85" s="8"/>
    </row>
    <row r="86" spans="1:1">
      <c r="A86" s="8"/>
    </row>
    <row r="87" spans="1:1">
      <c r="A87" s="8"/>
    </row>
    <row r="88" spans="1:1">
      <c r="A88" s="8"/>
    </row>
    <row r="89" spans="1:1">
      <c r="A89" s="8"/>
    </row>
    <row r="90" spans="1:1">
      <c r="A90" s="8"/>
    </row>
    <row r="91" spans="1:1">
      <c r="A91" s="8"/>
    </row>
    <row r="92" spans="1:1">
      <c r="A92" s="8"/>
    </row>
    <row r="93" spans="1:1">
      <c r="A93" s="8"/>
    </row>
    <row r="94" spans="1:1">
      <c r="A94" s="8"/>
    </row>
    <row r="95" spans="1:1">
      <c r="A95" s="8"/>
    </row>
    <row r="96" spans="1:1">
      <c r="A96" s="8"/>
    </row>
    <row r="97" spans="1:1">
      <c r="A97" s="8"/>
    </row>
    <row r="98" spans="1:1">
      <c r="A98" s="8"/>
    </row>
    <row r="99" spans="1:1">
      <c r="A99" s="8"/>
    </row>
    <row r="100" spans="1:1">
      <c r="A100" s="8"/>
    </row>
    <row r="101" spans="1:1">
      <c r="A101" s="8"/>
    </row>
    <row r="102" spans="1:1">
      <c r="A102" s="8"/>
    </row>
    <row r="103" spans="1:1">
      <c r="A103" s="8"/>
    </row>
    <row r="104" spans="1:1">
      <c r="A104" s="8"/>
    </row>
    <row r="105" spans="1:1">
      <c r="A105" s="8"/>
    </row>
    <row r="106" spans="1:1">
      <c r="A106" s="8"/>
    </row>
    <row r="107" spans="1:1">
      <c r="A107" s="8"/>
    </row>
    <row r="108" spans="1:1">
      <c r="A108" s="8"/>
    </row>
    <row r="109" spans="1:1">
      <c r="A109" s="8"/>
    </row>
    <row r="110" spans="1:1">
      <c r="A110" s="8"/>
    </row>
    <row r="111" spans="1:1">
      <c r="A111" s="8"/>
    </row>
    <row r="112" spans="1:1">
      <c r="A112" s="8"/>
    </row>
    <row r="113" spans="1:1">
      <c r="A113" s="8"/>
    </row>
    <row r="114" spans="1:1">
      <c r="A114" s="8"/>
    </row>
    <row r="115" spans="1:1">
      <c r="A115" s="8"/>
    </row>
    <row r="116" spans="1:1">
      <c r="A116" s="8"/>
    </row>
    <row r="117" spans="1:1">
      <c r="A117" s="8"/>
    </row>
    <row r="118" spans="1:1">
      <c r="A118" s="8"/>
    </row>
    <row r="119" spans="1:1">
      <c r="A119" s="8"/>
    </row>
    <row r="120" spans="1:1">
      <c r="A120" s="8"/>
    </row>
    <row r="121" spans="1:1">
      <c r="A121" s="8"/>
    </row>
    <row r="122" spans="1:1">
      <c r="A122" s="8"/>
    </row>
    <row r="123" spans="1:1">
      <c r="A123" s="8"/>
    </row>
    <row r="124" spans="1:1">
      <c r="A124" s="8"/>
    </row>
    <row r="125" spans="1:1">
      <c r="A125" s="8"/>
    </row>
    <row r="126" spans="1:1">
      <c r="A126" s="8"/>
    </row>
    <row r="127" spans="1:1">
      <c r="A127" s="8"/>
    </row>
    <row r="128" spans="1:1">
      <c r="A128" s="8"/>
    </row>
    <row r="129" spans="1:1">
      <c r="A129" s="8"/>
    </row>
    <row r="130" spans="1:1">
      <c r="A130" s="8"/>
    </row>
    <row r="131" spans="1:1">
      <c r="A131" s="8"/>
    </row>
    <row r="132" spans="1:1">
      <c r="A132" s="8"/>
    </row>
    <row r="133" spans="1:1">
      <c r="A133" s="8"/>
    </row>
    <row r="134" spans="1:1">
      <c r="A134" s="8"/>
    </row>
    <row r="135" spans="1:1">
      <c r="A135" s="8"/>
    </row>
    <row r="136" spans="1:1">
      <c r="A136" s="8"/>
    </row>
    <row r="137" spans="1:1">
      <c r="A137" s="8"/>
    </row>
    <row r="138" spans="1:1">
      <c r="A138" s="8"/>
    </row>
    <row r="139" spans="1:1">
      <c r="A139" s="8"/>
    </row>
    <row r="140" spans="1:1">
      <c r="A140" s="8"/>
    </row>
    <row r="141" spans="1:1">
      <c r="A141" s="8"/>
    </row>
    <row r="142" spans="1:1">
      <c r="A142" s="8"/>
    </row>
    <row r="143" spans="1:1">
      <c r="A143" s="8"/>
    </row>
    <row r="144" spans="1:1">
      <c r="A144" s="8"/>
    </row>
    <row r="145" spans="1:1">
      <c r="A145" s="8"/>
    </row>
    <row r="146" spans="1:1">
      <c r="A146" s="8"/>
    </row>
    <row r="147" spans="1:1">
      <c r="A147" s="8"/>
    </row>
    <row r="148" spans="1:1">
      <c r="A148" s="8"/>
    </row>
    <row r="149" spans="1:1">
      <c r="A149" s="8"/>
    </row>
    <row r="150" spans="1:1">
      <c r="A150" s="8"/>
    </row>
    <row r="151" spans="1:1">
      <c r="A151" s="8"/>
    </row>
    <row r="152" spans="1:1">
      <c r="A152" s="8"/>
    </row>
    <row r="153" spans="1:1">
      <c r="A153" s="8"/>
    </row>
    <row r="154" spans="1:1">
      <c r="A154" s="8"/>
    </row>
    <row r="155" spans="1:1">
      <c r="A155" s="8"/>
    </row>
    <row r="156" spans="1:1">
      <c r="A156" s="8"/>
    </row>
    <row r="157" spans="1:1">
      <c r="A157" s="8"/>
    </row>
    <row r="158" spans="1:1">
      <c r="A158" s="8"/>
    </row>
    <row r="159" spans="1:1">
      <c r="A159" s="8"/>
    </row>
    <row r="160" spans="1:1">
      <c r="A160" s="8"/>
    </row>
    <row r="161" spans="1:1">
      <c r="A161" s="8"/>
    </row>
    <row r="162" spans="1:1">
      <c r="A162" s="8"/>
    </row>
    <row r="163" spans="1:1">
      <c r="A163" s="8"/>
    </row>
    <row r="164" spans="1:1">
      <c r="A164" s="8"/>
    </row>
    <row r="165" spans="1:1">
      <c r="A165" s="8"/>
    </row>
    <row r="166" spans="1:1">
      <c r="A166" s="8"/>
    </row>
    <row r="167" spans="1:1">
      <c r="A167" s="8"/>
    </row>
    <row r="168" spans="1:1">
      <c r="A168" s="8"/>
    </row>
    <row r="169" spans="1:1">
      <c r="A169" s="8"/>
    </row>
    <row r="170" spans="1:1">
      <c r="A170" s="8"/>
    </row>
    <row r="171" spans="1:1">
      <c r="A171" s="8"/>
    </row>
    <row r="172" spans="1:1">
      <c r="A172" s="8"/>
    </row>
    <row r="173" spans="1:1">
      <c r="A173" s="8"/>
    </row>
    <row r="174" spans="1:1">
      <c r="A174" s="8"/>
    </row>
    <row r="175" spans="1:1">
      <c r="A175" s="8"/>
    </row>
    <row r="176" spans="1:1">
      <c r="A176" s="8"/>
    </row>
    <row r="177" spans="1:1">
      <c r="A177" s="8"/>
    </row>
    <row r="178" spans="1:1">
      <c r="A178" s="8"/>
    </row>
    <row r="179" spans="1:1">
      <c r="A179" s="8"/>
    </row>
    <row r="180" spans="1:1">
      <c r="A180" s="8"/>
    </row>
    <row r="181" spans="1:1">
      <c r="A181" s="8"/>
    </row>
    <row r="182" spans="1:1">
      <c r="A182" s="8"/>
    </row>
    <row r="183" spans="1:1">
      <c r="A183" s="8"/>
    </row>
    <row r="184" spans="1:1">
      <c r="A184" s="8"/>
    </row>
    <row r="185" spans="1:1">
      <c r="A185" s="8"/>
    </row>
    <row r="186" spans="1:1">
      <c r="A186" s="8"/>
    </row>
    <row r="187" spans="1:1">
      <c r="A187" s="8"/>
    </row>
    <row r="188" spans="1:1">
      <c r="A188" s="8"/>
    </row>
    <row r="189" spans="1:1">
      <c r="A189" s="8"/>
    </row>
    <row r="190" spans="1:1">
      <c r="A190" s="8"/>
    </row>
    <row r="191" spans="1:1">
      <c r="A191" s="8"/>
    </row>
    <row r="192" spans="1:1">
      <c r="A192" s="8"/>
    </row>
    <row r="193" spans="1:1">
      <c r="A193" s="8"/>
    </row>
    <row r="194" spans="1:1">
      <c r="A194" s="8"/>
    </row>
    <row r="195" spans="1:1">
      <c r="A195" s="8"/>
    </row>
    <row r="196" spans="1:1">
      <c r="A196" s="8"/>
    </row>
    <row r="197" spans="1:1">
      <c r="A197" s="8"/>
    </row>
    <row r="198" spans="1:1">
      <c r="A198" s="8"/>
    </row>
    <row r="199" spans="1:1">
      <c r="A199" s="8"/>
    </row>
    <row r="200" spans="1:1">
      <c r="A200" s="8"/>
    </row>
    <row r="201" spans="1:1">
      <c r="A201" s="8"/>
    </row>
    <row r="202" spans="1:1">
      <c r="A202" s="8"/>
    </row>
    <row r="203" spans="1:1">
      <c r="A203" s="8"/>
    </row>
    <row r="204" spans="1:1">
      <c r="A204" s="8"/>
    </row>
    <row r="205" spans="1:1">
      <c r="A205" s="8"/>
    </row>
    <row r="206" spans="1:1">
      <c r="A206" s="8"/>
    </row>
    <row r="207" spans="1:1">
      <c r="A207" s="8"/>
    </row>
    <row r="208" spans="1:1">
      <c r="A208" s="8"/>
    </row>
    <row r="209" spans="1:1">
      <c r="A209" s="8"/>
    </row>
    <row r="210" spans="1:1">
      <c r="A210" s="8"/>
    </row>
    <row r="211" spans="1:1">
      <c r="A211" s="8"/>
    </row>
    <row r="212" spans="1:1">
      <c r="A212" s="8"/>
    </row>
    <row r="213" spans="1:1">
      <c r="A213" s="8"/>
    </row>
    <row r="214" spans="1:1">
      <c r="A214" s="8"/>
    </row>
    <row r="215" spans="1:1">
      <c r="A215" s="8"/>
    </row>
    <row r="216" spans="1:1">
      <c r="A216" s="8"/>
    </row>
    <row r="217" spans="1:1">
      <c r="A217" s="8"/>
    </row>
    <row r="218" spans="1:1">
      <c r="A218" s="8"/>
    </row>
    <row r="219" spans="1:1">
      <c r="A219" s="8"/>
    </row>
    <row r="220" spans="1:1">
      <c r="A220" s="8"/>
    </row>
    <row r="221" spans="1:1">
      <c r="A221" s="8"/>
    </row>
    <row r="222" spans="1:1">
      <c r="A222" s="8"/>
    </row>
    <row r="223" spans="1:1">
      <c r="A223" s="8"/>
    </row>
    <row r="224" spans="1:1">
      <c r="A224" s="8"/>
    </row>
    <row r="225" spans="1:1">
      <c r="A225" s="8"/>
    </row>
    <row r="226" spans="1:1">
      <c r="A226" s="8"/>
    </row>
    <row r="227" spans="1:1">
      <c r="A227" s="8"/>
    </row>
    <row r="228" spans="1:1">
      <c r="A228" s="8"/>
    </row>
    <row r="229" spans="1:1">
      <c r="A229" s="8"/>
    </row>
    <row r="230" spans="1:1">
      <c r="A230" s="8"/>
    </row>
    <row r="231" spans="1:1">
      <c r="A231" s="8"/>
    </row>
    <row r="232" spans="1:1">
      <c r="A232" s="8"/>
    </row>
    <row r="233" spans="1:1">
      <c r="A233" s="8"/>
    </row>
    <row r="234" spans="1:1">
      <c r="A234" s="8"/>
    </row>
    <row r="235" spans="1:1">
      <c r="A235" s="8"/>
    </row>
    <row r="236" spans="1:1">
      <c r="A236" s="8"/>
    </row>
    <row r="237" spans="1:1">
      <c r="A237" s="8"/>
    </row>
    <row r="238" spans="1:1">
      <c r="A238" s="8"/>
    </row>
    <row r="239" spans="1:1">
      <c r="A239" s="8"/>
    </row>
    <row r="240" spans="1:1">
      <c r="A240" s="8"/>
    </row>
    <row r="241" spans="1:1">
      <c r="A241" s="8"/>
    </row>
    <row r="242" spans="1:1">
      <c r="A242" s="8"/>
    </row>
    <row r="243" spans="1:1">
      <c r="A243" s="8"/>
    </row>
    <row r="244" spans="1:1">
      <c r="A244" s="8"/>
    </row>
    <row r="245" spans="1:1">
      <c r="A245" s="8"/>
    </row>
    <row r="246" spans="1:1">
      <c r="A246" s="8"/>
    </row>
    <row r="247" spans="1:1">
      <c r="A247" s="8"/>
    </row>
    <row r="248" spans="1:1">
      <c r="A248" s="8"/>
    </row>
    <row r="249" spans="1:1">
      <c r="A249" s="8"/>
    </row>
    <row r="250" spans="1:1">
      <c r="A250" s="8"/>
    </row>
    <row r="251" spans="1:1">
      <c r="A251" s="8"/>
    </row>
    <row r="252" spans="1:1">
      <c r="A252" s="8"/>
    </row>
    <row r="253" spans="1:1">
      <c r="A253" s="8"/>
    </row>
    <row r="254" spans="1:1">
      <c r="A254" s="8"/>
    </row>
    <row r="255" spans="1:1">
      <c r="A255" s="8"/>
    </row>
    <row r="256" spans="1:1">
      <c r="A256" s="8"/>
    </row>
    <row r="257" spans="1:1">
      <c r="A257" s="8"/>
    </row>
    <row r="258" spans="1:1">
      <c r="A258" s="8"/>
    </row>
    <row r="259" spans="1:1">
      <c r="A259" s="8"/>
    </row>
    <row r="260" spans="1:1">
      <c r="A260" s="8"/>
    </row>
    <row r="261" spans="1:1">
      <c r="A261" s="8"/>
    </row>
    <row r="262" spans="1:1">
      <c r="A262" s="8"/>
    </row>
  </sheetData>
  <mergeCells count="1">
    <mergeCell ref="B5:J5"/>
  </mergeCells>
  <phoneticPr fontId="0" type="noConversion"/>
  <pageMargins left="0.75" right="0.75" top="1" bottom="1" header="0.5" footer="0.5"/>
  <pageSetup orientation="portrait" horizontalDpi="0" verticalDpi="0" copies="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87041"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87042"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87043"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87044"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enableFormatConditionsCalculation="0"/>
  <dimension ref="A1:N48"/>
  <sheetViews>
    <sheetView workbookViewId="0"/>
  </sheetViews>
  <sheetFormatPr baseColWidth="10" defaultColWidth="8.83203125" defaultRowHeight="12" x14ac:dyDescent="0"/>
  <cols>
    <col min="2" max="2" width="11.5" customWidth="1"/>
    <col min="3" max="3" width="9.33203125" bestFit="1" customWidth="1"/>
    <col min="4" max="4" width="11.1640625" customWidth="1"/>
    <col min="5" max="7" width="10.83203125" customWidth="1"/>
    <col min="8" max="8" width="12.6640625" customWidth="1"/>
    <col min="9" max="9" width="12.5" customWidth="1"/>
    <col min="10" max="10" width="12.83203125" customWidth="1"/>
    <col min="11" max="12" width="13.5" customWidth="1"/>
  </cols>
  <sheetData>
    <row r="1" spans="1:14">
      <c r="A1" s="21"/>
      <c r="B1" s="21"/>
      <c r="C1" s="21" t="s">
        <v>846</v>
      </c>
      <c r="D1" s="21"/>
      <c r="E1" s="21"/>
      <c r="F1" s="21"/>
      <c r="G1" s="21"/>
      <c r="H1" s="21"/>
      <c r="I1" s="21"/>
      <c r="J1" s="21"/>
      <c r="K1" s="21"/>
      <c r="L1" s="21"/>
    </row>
    <row r="2" spans="1:14" ht="21" customHeight="1">
      <c r="A2" s="21"/>
      <c r="B2" s="21"/>
      <c r="C2" s="21"/>
      <c r="D2" s="374"/>
      <c r="E2" s="374"/>
      <c r="F2" s="374"/>
      <c r="G2" s="374"/>
      <c r="H2" s="374"/>
      <c r="I2" s="374"/>
      <c r="J2" s="374"/>
      <c r="K2" s="374"/>
      <c r="L2" s="374"/>
      <c r="M2" s="372"/>
      <c r="N2" s="372"/>
    </row>
    <row r="3" spans="1:14">
      <c r="A3" s="19" t="s">
        <v>1045</v>
      </c>
      <c r="B3" s="20" t="s">
        <v>769</v>
      </c>
      <c r="C3" s="21"/>
      <c r="D3" s="21"/>
      <c r="E3" s="21"/>
      <c r="F3" s="21"/>
      <c r="G3" s="21"/>
      <c r="H3" s="21"/>
      <c r="I3" s="21"/>
      <c r="J3" s="21"/>
      <c r="K3" s="21"/>
      <c r="L3" s="21"/>
    </row>
    <row r="4" spans="1:14" ht="15">
      <c r="A4" s="118" t="s">
        <v>779</v>
      </c>
      <c r="B4" s="127" t="s">
        <v>535</v>
      </c>
      <c r="C4" s="21"/>
      <c r="D4" s="21"/>
      <c r="E4" s="21"/>
      <c r="F4" s="21"/>
      <c r="G4" s="21"/>
      <c r="H4" s="21"/>
      <c r="I4" s="21"/>
      <c r="J4" s="21"/>
      <c r="K4" s="21"/>
      <c r="L4" s="21"/>
    </row>
    <row r="5" spans="1:14" ht="72" customHeight="1">
      <c r="A5" s="21"/>
      <c r="B5" s="21"/>
      <c r="C5" s="21"/>
      <c r="D5" s="21"/>
      <c r="E5" s="21"/>
      <c r="F5" s="21"/>
      <c r="G5" s="21"/>
      <c r="H5" s="21"/>
      <c r="I5" s="21"/>
      <c r="J5" s="21"/>
      <c r="K5" s="21"/>
      <c r="L5" s="21"/>
    </row>
    <row r="6" spans="1:14" ht="51.75" customHeight="1">
      <c r="A6" s="22" t="s">
        <v>1090</v>
      </c>
      <c r="B6" s="31" t="s">
        <v>1091</v>
      </c>
      <c r="C6" s="31" t="s">
        <v>1092</v>
      </c>
      <c r="D6" s="31" t="s">
        <v>1103</v>
      </c>
      <c r="E6" s="31" t="s">
        <v>1104</v>
      </c>
      <c r="F6" s="31" t="s">
        <v>288</v>
      </c>
      <c r="G6" s="31" t="s">
        <v>289</v>
      </c>
      <c r="H6" s="31" t="s">
        <v>290</v>
      </c>
      <c r="I6" s="31" t="s">
        <v>291</v>
      </c>
      <c r="J6" s="31" t="s">
        <v>287</v>
      </c>
      <c r="K6" s="31" t="s">
        <v>928</v>
      </c>
      <c r="L6" s="31" t="s">
        <v>292</v>
      </c>
    </row>
    <row r="7" spans="1:14">
      <c r="A7" s="26">
        <v>35545</v>
      </c>
      <c r="B7" s="77">
        <v>789</v>
      </c>
      <c r="C7" s="77">
        <v>1662</v>
      </c>
      <c r="D7" s="77">
        <v>1097590</v>
      </c>
      <c r="E7" s="77">
        <v>2685030</v>
      </c>
      <c r="F7" s="77"/>
      <c r="G7" s="77"/>
      <c r="H7" s="77"/>
      <c r="I7" s="77"/>
      <c r="J7" s="53"/>
      <c r="K7" s="53"/>
      <c r="L7" s="53"/>
    </row>
    <row r="8" spans="1:14">
      <c r="A8" s="26">
        <v>35548</v>
      </c>
      <c r="B8" s="77">
        <v>1348</v>
      </c>
      <c r="C8" s="77">
        <v>1085</v>
      </c>
      <c r="D8" s="77">
        <v>2247369</v>
      </c>
      <c r="E8" s="77">
        <v>1430582</v>
      </c>
      <c r="F8" s="77"/>
      <c r="G8" s="77"/>
      <c r="H8" s="77"/>
      <c r="I8" s="77"/>
      <c r="J8" s="53"/>
      <c r="K8" s="53"/>
      <c r="L8" s="53"/>
    </row>
    <row r="9" spans="1:14">
      <c r="A9" s="27">
        <v>35549</v>
      </c>
      <c r="B9" s="79">
        <v>2085</v>
      </c>
      <c r="C9" s="79">
        <v>531</v>
      </c>
      <c r="D9" s="79">
        <v>4617426</v>
      </c>
      <c r="E9" s="79">
        <v>527996</v>
      </c>
      <c r="F9" s="79"/>
      <c r="G9" s="79"/>
      <c r="H9" s="79"/>
      <c r="I9" s="79"/>
      <c r="J9" s="56"/>
      <c r="K9" s="56"/>
      <c r="L9" s="56"/>
    </row>
    <row r="10" spans="1:14">
      <c r="A10" s="27">
        <v>35550</v>
      </c>
      <c r="B10" s="79">
        <v>1599</v>
      </c>
      <c r="C10" s="79">
        <v>941</v>
      </c>
      <c r="D10" s="79">
        <v>4000088</v>
      </c>
      <c r="E10" s="79">
        <v>1163730</v>
      </c>
      <c r="F10" s="79"/>
      <c r="G10" s="79"/>
      <c r="H10" s="79"/>
      <c r="I10" s="79"/>
      <c r="J10" s="56"/>
      <c r="K10" s="56"/>
      <c r="L10" s="56"/>
    </row>
    <row r="11" spans="1:14">
      <c r="A11" s="26">
        <v>35551</v>
      </c>
      <c r="B11" s="77">
        <v>1450</v>
      </c>
      <c r="C11" s="77">
        <v>1021</v>
      </c>
      <c r="D11" s="77">
        <v>2176503</v>
      </c>
      <c r="E11" s="77">
        <v>1856353</v>
      </c>
      <c r="F11" s="77"/>
      <c r="G11" s="77"/>
      <c r="H11" s="77"/>
      <c r="I11" s="77"/>
      <c r="J11" s="53"/>
      <c r="K11" s="53"/>
      <c r="L11" s="53"/>
    </row>
    <row r="12" spans="1:14">
      <c r="A12" s="26">
        <v>35552</v>
      </c>
      <c r="B12" s="77">
        <v>2119</v>
      </c>
      <c r="C12" s="77">
        <v>476</v>
      </c>
      <c r="D12" s="77">
        <v>3918818</v>
      </c>
      <c r="E12" s="77">
        <v>749109</v>
      </c>
      <c r="F12" s="77"/>
      <c r="G12" s="77"/>
      <c r="H12" s="77"/>
      <c r="I12" s="77"/>
      <c r="J12" s="53"/>
      <c r="K12" s="53"/>
      <c r="L12" s="53"/>
    </row>
    <row r="13" spans="1:14">
      <c r="A13" s="27">
        <v>35555</v>
      </c>
      <c r="B13" s="79">
        <v>1958</v>
      </c>
      <c r="C13" s="79">
        <v>677</v>
      </c>
      <c r="D13" s="79">
        <v>4554564</v>
      </c>
      <c r="E13" s="79">
        <v>665109</v>
      </c>
      <c r="F13" s="79"/>
      <c r="G13" s="79"/>
      <c r="H13" s="79"/>
      <c r="I13" s="79"/>
      <c r="J13" s="56"/>
      <c r="K13" s="56"/>
      <c r="L13" s="56"/>
    </row>
    <row r="14" spans="1:14">
      <c r="A14" s="27">
        <v>35556</v>
      </c>
      <c r="B14" s="79">
        <v>1258</v>
      </c>
      <c r="C14" s="79">
        <v>1270</v>
      </c>
      <c r="D14" s="79">
        <v>2774558</v>
      </c>
      <c r="E14" s="79">
        <v>2762761</v>
      </c>
      <c r="F14" s="79"/>
      <c r="G14" s="79"/>
      <c r="H14" s="79"/>
      <c r="I14" s="79"/>
      <c r="J14" s="56"/>
      <c r="K14" s="56"/>
      <c r="L14" s="56"/>
    </row>
    <row r="15" spans="1:14">
      <c r="A15" s="26">
        <v>35557</v>
      </c>
      <c r="B15" s="77">
        <v>842</v>
      </c>
      <c r="C15" s="77">
        <v>1660</v>
      </c>
      <c r="D15" s="77">
        <v>1518034</v>
      </c>
      <c r="E15" s="77">
        <v>3128769</v>
      </c>
      <c r="F15" s="77"/>
      <c r="G15" s="77"/>
      <c r="H15" s="77"/>
      <c r="I15" s="77"/>
      <c r="J15" s="53"/>
      <c r="K15" s="53"/>
      <c r="L15" s="53"/>
    </row>
    <row r="16" spans="1:14">
      <c r="A16" s="26">
        <v>35558</v>
      </c>
      <c r="B16" s="77">
        <v>1398</v>
      </c>
      <c r="C16" s="77">
        <v>1097</v>
      </c>
      <c r="D16" s="77">
        <v>3072179</v>
      </c>
      <c r="E16" s="77">
        <v>1743590</v>
      </c>
      <c r="F16" s="77">
        <f>SUM(B7:B16)</f>
        <v>14846</v>
      </c>
      <c r="G16" s="77">
        <f>SUM(C7:C16)</f>
        <v>10420</v>
      </c>
      <c r="H16" s="77">
        <f>SUM(D7:D16)</f>
        <v>29977129</v>
      </c>
      <c r="I16" s="77">
        <f>SUM(E7:E16)</f>
        <v>16713029</v>
      </c>
      <c r="J16" s="52">
        <f>F16/G16</f>
        <v>1.4247600767754318</v>
      </c>
      <c r="K16" s="52">
        <f>H16/I16</f>
        <v>1.7936383045826103</v>
      </c>
      <c r="L16" s="52">
        <f>J16/K16</f>
        <v>0.79434079498373644</v>
      </c>
    </row>
    <row r="17" spans="1:12">
      <c r="A17" s="27">
        <v>35559</v>
      </c>
      <c r="B17" s="79">
        <v>1526</v>
      </c>
      <c r="C17" s="79">
        <v>932</v>
      </c>
      <c r="D17" s="79">
        <v>2792524</v>
      </c>
      <c r="E17" s="79">
        <v>1218892</v>
      </c>
      <c r="F17" s="79">
        <f t="shared" ref="F17:F39" si="0">SUM(B8:B17)</f>
        <v>15583</v>
      </c>
      <c r="G17" s="79">
        <f t="shared" ref="G17:G39" si="1">SUM(C8:C17)</f>
        <v>9690</v>
      </c>
      <c r="H17" s="79">
        <f t="shared" ref="H17:H39" si="2">SUM(D8:D17)</f>
        <v>31672063</v>
      </c>
      <c r="I17" s="79">
        <f t="shared" ref="I17:I39" si="3">SUM(E8:E17)</f>
        <v>15246891</v>
      </c>
      <c r="J17" s="55">
        <f t="shared" ref="J17:J39" si="4">F17/G17</f>
        <v>1.6081527347781217</v>
      </c>
      <c r="K17" s="55">
        <f t="shared" ref="K17:K39" si="5">H17/I17</f>
        <v>2.0772800828706655</v>
      </c>
      <c r="L17" s="55">
        <f t="shared" ref="L17:L39" si="6">J17/K17</f>
        <v>0.77416268900809926</v>
      </c>
    </row>
    <row r="18" spans="1:12">
      <c r="A18" s="27">
        <v>35562</v>
      </c>
      <c r="B18" s="79">
        <v>1766</v>
      </c>
      <c r="C18" s="79">
        <v>761</v>
      </c>
      <c r="D18" s="79">
        <v>3387345</v>
      </c>
      <c r="E18" s="79">
        <v>850940</v>
      </c>
      <c r="F18" s="79">
        <f t="shared" si="0"/>
        <v>16001</v>
      </c>
      <c r="G18" s="79">
        <f t="shared" si="1"/>
        <v>9366</v>
      </c>
      <c r="H18" s="79">
        <f t="shared" si="2"/>
        <v>32812039</v>
      </c>
      <c r="I18" s="79">
        <f t="shared" si="3"/>
        <v>14667249</v>
      </c>
      <c r="J18" s="55">
        <f t="shared" si="4"/>
        <v>1.7084134102071322</v>
      </c>
      <c r="K18" s="55">
        <f t="shared" si="5"/>
        <v>2.2370956544066307</v>
      </c>
      <c r="L18" s="55">
        <f t="shared" si="6"/>
        <v>0.76367472568367822</v>
      </c>
    </row>
    <row r="19" spans="1:12">
      <c r="A19" s="26">
        <v>35563</v>
      </c>
      <c r="B19" s="77">
        <v>1133</v>
      </c>
      <c r="C19" s="77">
        <v>1322</v>
      </c>
      <c r="D19" s="77">
        <v>1991714</v>
      </c>
      <c r="E19" s="77">
        <v>2512359</v>
      </c>
      <c r="F19" s="77">
        <f t="shared" si="0"/>
        <v>15049</v>
      </c>
      <c r="G19" s="77">
        <f t="shared" si="1"/>
        <v>10157</v>
      </c>
      <c r="H19" s="77">
        <f t="shared" si="2"/>
        <v>30186327</v>
      </c>
      <c r="I19" s="77">
        <f t="shared" si="3"/>
        <v>16651612</v>
      </c>
      <c r="J19" s="52">
        <f t="shared" si="4"/>
        <v>1.4816382790193956</v>
      </c>
      <c r="K19" s="52">
        <f t="shared" si="5"/>
        <v>1.812817101431381</v>
      </c>
      <c r="L19" s="52">
        <f t="shared" si="6"/>
        <v>0.81731261132163302</v>
      </c>
    </row>
    <row r="20" spans="1:12">
      <c r="A20" s="26">
        <v>35564</v>
      </c>
      <c r="B20" s="77">
        <v>1472</v>
      </c>
      <c r="C20" s="77">
        <v>992</v>
      </c>
      <c r="D20" s="77">
        <v>2877362</v>
      </c>
      <c r="E20" s="77">
        <v>1616582</v>
      </c>
      <c r="F20" s="77">
        <f t="shared" si="0"/>
        <v>14922</v>
      </c>
      <c r="G20" s="77">
        <f t="shared" si="1"/>
        <v>10208</v>
      </c>
      <c r="H20" s="77">
        <f t="shared" si="2"/>
        <v>29063601</v>
      </c>
      <c r="I20" s="77">
        <f t="shared" si="3"/>
        <v>17104464</v>
      </c>
      <c r="J20" s="52">
        <f t="shared" si="4"/>
        <v>1.4617946708463949</v>
      </c>
      <c r="K20" s="52">
        <f t="shared" si="5"/>
        <v>1.6991822134853218</v>
      </c>
      <c r="L20" s="52">
        <f t="shared" si="6"/>
        <v>0.86029306288935115</v>
      </c>
    </row>
    <row r="21" spans="1:12">
      <c r="A21" s="27">
        <v>35565</v>
      </c>
      <c r="B21" s="79">
        <v>1282</v>
      </c>
      <c r="C21" s="79">
        <v>1164</v>
      </c>
      <c r="D21" s="79">
        <v>2658199</v>
      </c>
      <c r="E21" s="79">
        <v>1502646</v>
      </c>
      <c r="F21" s="79">
        <f t="shared" si="0"/>
        <v>14754</v>
      </c>
      <c r="G21" s="79">
        <f t="shared" si="1"/>
        <v>10351</v>
      </c>
      <c r="H21" s="79">
        <f t="shared" si="2"/>
        <v>29545297</v>
      </c>
      <c r="I21" s="79">
        <f t="shared" si="3"/>
        <v>16750757</v>
      </c>
      <c r="J21" s="55">
        <f t="shared" si="4"/>
        <v>1.4253695295140567</v>
      </c>
      <c r="K21" s="55">
        <f t="shared" si="5"/>
        <v>1.7638186142871035</v>
      </c>
      <c r="L21" s="55">
        <f t="shared" si="6"/>
        <v>0.80811570870633975</v>
      </c>
    </row>
    <row r="22" spans="1:12">
      <c r="A22" s="27">
        <v>35566</v>
      </c>
      <c r="B22" s="79">
        <v>973</v>
      </c>
      <c r="C22" s="79">
        <v>1431</v>
      </c>
      <c r="D22" s="79">
        <v>1325087</v>
      </c>
      <c r="E22" s="79">
        <v>3133338</v>
      </c>
      <c r="F22" s="79">
        <f t="shared" si="0"/>
        <v>13608</v>
      </c>
      <c r="G22" s="79">
        <f t="shared" si="1"/>
        <v>11306</v>
      </c>
      <c r="H22" s="79">
        <f t="shared" si="2"/>
        <v>26951566</v>
      </c>
      <c r="I22" s="79">
        <f t="shared" si="3"/>
        <v>19134986</v>
      </c>
      <c r="J22" s="55">
        <f t="shared" si="4"/>
        <v>1.2036087033433576</v>
      </c>
      <c r="K22" s="55">
        <f t="shared" si="5"/>
        <v>1.4084967713067571</v>
      </c>
      <c r="L22" s="55">
        <f t="shared" si="6"/>
        <v>0.85453422958626235</v>
      </c>
    </row>
    <row r="23" spans="1:12">
      <c r="A23" s="26">
        <v>35569</v>
      </c>
      <c r="B23" s="77">
        <v>1390</v>
      </c>
      <c r="C23" s="77">
        <v>1056</v>
      </c>
      <c r="D23" s="77">
        <v>1825068</v>
      </c>
      <c r="E23" s="77">
        <v>1290328</v>
      </c>
      <c r="F23" s="77">
        <f t="shared" si="0"/>
        <v>13040</v>
      </c>
      <c r="G23" s="77">
        <f t="shared" si="1"/>
        <v>11685</v>
      </c>
      <c r="H23" s="77">
        <f t="shared" si="2"/>
        <v>24222070</v>
      </c>
      <c r="I23" s="77">
        <f t="shared" si="3"/>
        <v>19760205</v>
      </c>
      <c r="J23" s="52">
        <f t="shared" si="4"/>
        <v>1.1159606332905434</v>
      </c>
      <c r="K23" s="52">
        <f t="shared" si="5"/>
        <v>1.2258005420490323</v>
      </c>
      <c r="L23" s="52">
        <f t="shared" si="6"/>
        <v>0.91039332665420269</v>
      </c>
    </row>
    <row r="24" spans="1:12">
      <c r="A24" s="26">
        <v>35570</v>
      </c>
      <c r="B24" s="77">
        <v>1411</v>
      </c>
      <c r="C24" s="77">
        <v>1040</v>
      </c>
      <c r="D24" s="77">
        <v>2707087</v>
      </c>
      <c r="E24" s="77">
        <v>1284888</v>
      </c>
      <c r="F24" s="77">
        <f t="shared" si="0"/>
        <v>13193</v>
      </c>
      <c r="G24" s="77">
        <f t="shared" si="1"/>
        <v>11455</v>
      </c>
      <c r="H24" s="77">
        <f t="shared" si="2"/>
        <v>24154599</v>
      </c>
      <c r="I24" s="77">
        <f t="shared" si="3"/>
        <v>18282332</v>
      </c>
      <c r="J24" s="52">
        <f t="shared" si="4"/>
        <v>1.1517241379310346</v>
      </c>
      <c r="K24" s="52">
        <f t="shared" si="5"/>
        <v>1.3211990133424991</v>
      </c>
      <c r="L24" s="52">
        <f t="shared" si="6"/>
        <v>0.87172645929948855</v>
      </c>
    </row>
    <row r="25" spans="1:12">
      <c r="A25" s="27">
        <v>35571</v>
      </c>
      <c r="B25" s="79">
        <v>1421</v>
      </c>
      <c r="C25" s="79">
        <v>1107</v>
      </c>
      <c r="D25" s="79">
        <v>2377201</v>
      </c>
      <c r="E25" s="79">
        <v>2563639</v>
      </c>
      <c r="F25" s="79">
        <f t="shared" si="0"/>
        <v>13772</v>
      </c>
      <c r="G25" s="79">
        <f t="shared" si="1"/>
        <v>10902</v>
      </c>
      <c r="H25" s="79">
        <f t="shared" si="2"/>
        <v>25013766</v>
      </c>
      <c r="I25" s="79">
        <f t="shared" si="3"/>
        <v>17717202</v>
      </c>
      <c r="J25" s="55">
        <f t="shared" si="4"/>
        <v>1.2632544487250046</v>
      </c>
      <c r="K25" s="55">
        <f t="shared" si="5"/>
        <v>1.4118350064530505</v>
      </c>
      <c r="L25" s="55">
        <f t="shared" si="6"/>
        <v>0.89476067879820853</v>
      </c>
    </row>
    <row r="26" spans="1:12">
      <c r="A26" s="27">
        <v>35572</v>
      </c>
      <c r="B26" s="79">
        <v>1270</v>
      </c>
      <c r="C26" s="79">
        <v>1176</v>
      </c>
      <c r="D26" s="79">
        <v>1873511</v>
      </c>
      <c r="E26" s="79">
        <v>1901396</v>
      </c>
      <c r="F26" s="79">
        <f t="shared" si="0"/>
        <v>13644</v>
      </c>
      <c r="G26" s="79">
        <f t="shared" si="1"/>
        <v>10981</v>
      </c>
      <c r="H26" s="79">
        <f t="shared" si="2"/>
        <v>23815098</v>
      </c>
      <c r="I26" s="79">
        <f t="shared" si="3"/>
        <v>17875008</v>
      </c>
      <c r="J26" s="55">
        <f t="shared" si="4"/>
        <v>1.242509789636645</v>
      </c>
      <c r="K26" s="55">
        <f t="shared" si="5"/>
        <v>1.3323125785454193</v>
      </c>
      <c r="L26" s="55">
        <f t="shared" si="6"/>
        <v>0.93259630633614643</v>
      </c>
    </row>
    <row r="27" spans="1:12">
      <c r="A27" s="26">
        <v>35573</v>
      </c>
      <c r="B27" s="77">
        <v>1875</v>
      </c>
      <c r="C27" s="77">
        <v>618</v>
      </c>
      <c r="D27" s="77">
        <v>3065329</v>
      </c>
      <c r="E27" s="77">
        <v>707489</v>
      </c>
      <c r="F27" s="77">
        <f t="shared" si="0"/>
        <v>13993</v>
      </c>
      <c r="G27" s="77">
        <f t="shared" si="1"/>
        <v>10667</v>
      </c>
      <c r="H27" s="77">
        <f t="shared" si="2"/>
        <v>24087903</v>
      </c>
      <c r="I27" s="77">
        <f t="shared" si="3"/>
        <v>17363605</v>
      </c>
      <c r="J27" s="52">
        <f t="shared" si="4"/>
        <v>1.3118027561638699</v>
      </c>
      <c r="K27" s="52">
        <f t="shared" si="5"/>
        <v>1.3872639351102494</v>
      </c>
      <c r="L27" s="52">
        <f t="shared" si="6"/>
        <v>0.94560431001157508</v>
      </c>
    </row>
    <row r="28" spans="1:12">
      <c r="A28" s="26">
        <v>35577</v>
      </c>
      <c r="B28" s="77">
        <v>1221</v>
      </c>
      <c r="C28" s="77">
        <v>1299</v>
      </c>
      <c r="D28" s="77">
        <v>2378635</v>
      </c>
      <c r="E28" s="77">
        <v>1578490</v>
      </c>
      <c r="F28" s="77">
        <f t="shared" si="0"/>
        <v>13448</v>
      </c>
      <c r="G28" s="77">
        <f t="shared" si="1"/>
        <v>11205</v>
      </c>
      <c r="H28" s="77">
        <f t="shared" si="2"/>
        <v>23079193</v>
      </c>
      <c r="I28" s="77">
        <f t="shared" si="3"/>
        <v>18091155</v>
      </c>
      <c r="J28" s="52">
        <f t="shared" si="4"/>
        <v>1.2001784917447569</v>
      </c>
      <c r="K28" s="52">
        <f t="shared" si="5"/>
        <v>1.2757169456565929</v>
      </c>
      <c r="L28" s="52">
        <f t="shared" si="6"/>
        <v>0.94078744962272376</v>
      </c>
    </row>
    <row r="29" spans="1:12">
      <c r="A29" s="27">
        <v>35578</v>
      </c>
      <c r="B29" s="79">
        <v>1309</v>
      </c>
      <c r="C29" s="79">
        <v>1147</v>
      </c>
      <c r="D29" s="79">
        <v>2266589</v>
      </c>
      <c r="E29" s="79">
        <v>2203339</v>
      </c>
      <c r="F29" s="79">
        <f t="shared" si="0"/>
        <v>13624</v>
      </c>
      <c r="G29" s="79">
        <f t="shared" si="1"/>
        <v>11030</v>
      </c>
      <c r="H29" s="79">
        <f t="shared" si="2"/>
        <v>23354068</v>
      </c>
      <c r="I29" s="79">
        <f t="shared" si="3"/>
        <v>17782135</v>
      </c>
      <c r="J29" s="55">
        <f t="shared" si="4"/>
        <v>1.2351767905711695</v>
      </c>
      <c r="K29" s="55">
        <f t="shared" si="5"/>
        <v>1.3133444324879999</v>
      </c>
      <c r="L29" s="55">
        <f t="shared" si="6"/>
        <v>0.94048199392085619</v>
      </c>
    </row>
    <row r="30" spans="1:12">
      <c r="A30" s="27">
        <v>35579</v>
      </c>
      <c r="B30" s="79">
        <v>1431</v>
      </c>
      <c r="C30" s="79">
        <v>1043</v>
      </c>
      <c r="D30" s="79">
        <v>2046584</v>
      </c>
      <c r="E30" s="79">
        <v>2166829</v>
      </c>
      <c r="F30" s="79">
        <f t="shared" si="0"/>
        <v>13583</v>
      </c>
      <c r="G30" s="79">
        <f t="shared" si="1"/>
        <v>11081</v>
      </c>
      <c r="H30" s="79">
        <f t="shared" si="2"/>
        <v>22523290</v>
      </c>
      <c r="I30" s="79">
        <f t="shared" si="3"/>
        <v>18332382</v>
      </c>
      <c r="J30" s="55">
        <f t="shared" si="4"/>
        <v>1.2257918960382637</v>
      </c>
      <c r="K30" s="55">
        <f t="shared" si="5"/>
        <v>1.2286068444351639</v>
      </c>
      <c r="L30" s="55">
        <f t="shared" si="6"/>
        <v>0.99770882898003521</v>
      </c>
    </row>
    <row r="31" spans="1:12">
      <c r="A31" s="26">
        <v>35580</v>
      </c>
      <c r="B31" s="77">
        <v>1584</v>
      </c>
      <c r="C31" s="77">
        <v>901</v>
      </c>
      <c r="D31" s="77">
        <v>3040926</v>
      </c>
      <c r="E31" s="77">
        <v>1666566</v>
      </c>
      <c r="F31" s="77">
        <f t="shared" si="0"/>
        <v>13885</v>
      </c>
      <c r="G31" s="77">
        <f t="shared" si="1"/>
        <v>10818</v>
      </c>
      <c r="H31" s="77">
        <f t="shared" si="2"/>
        <v>22906017</v>
      </c>
      <c r="I31" s="77">
        <f t="shared" si="3"/>
        <v>18496302</v>
      </c>
      <c r="J31" s="52">
        <f t="shared" si="4"/>
        <v>1.2835089665372528</v>
      </c>
      <c r="K31" s="52">
        <f t="shared" si="5"/>
        <v>1.2384106293247159</v>
      </c>
      <c r="L31" s="52">
        <f t="shared" si="6"/>
        <v>1.0364163034010199</v>
      </c>
    </row>
    <row r="32" spans="1:12">
      <c r="A32" s="26">
        <v>35583</v>
      </c>
      <c r="B32" s="77">
        <v>1530</v>
      </c>
      <c r="C32" s="77">
        <v>963</v>
      </c>
      <c r="D32" s="77">
        <v>2078862</v>
      </c>
      <c r="E32" s="77">
        <v>1772313</v>
      </c>
      <c r="F32" s="77">
        <f t="shared" si="0"/>
        <v>14442</v>
      </c>
      <c r="G32" s="77">
        <f t="shared" si="1"/>
        <v>10350</v>
      </c>
      <c r="H32" s="77">
        <f t="shared" si="2"/>
        <v>23659792</v>
      </c>
      <c r="I32" s="77">
        <f t="shared" si="3"/>
        <v>17135277</v>
      </c>
      <c r="J32" s="52">
        <f t="shared" si="4"/>
        <v>1.3953623188405797</v>
      </c>
      <c r="K32" s="52">
        <f t="shared" si="5"/>
        <v>1.3807650731295444</v>
      </c>
      <c r="L32" s="52">
        <f t="shared" si="6"/>
        <v>1.0105718532392698</v>
      </c>
    </row>
    <row r="33" spans="1:12">
      <c r="A33" s="27">
        <v>35584</v>
      </c>
      <c r="B33" s="79">
        <v>1472</v>
      </c>
      <c r="C33" s="79">
        <v>1022</v>
      </c>
      <c r="D33" s="79">
        <v>2510515</v>
      </c>
      <c r="E33" s="79">
        <v>2251208</v>
      </c>
      <c r="F33" s="79">
        <f t="shared" si="0"/>
        <v>14524</v>
      </c>
      <c r="G33" s="79">
        <f t="shared" si="1"/>
        <v>10316</v>
      </c>
      <c r="H33" s="79">
        <f t="shared" si="2"/>
        <v>24345239</v>
      </c>
      <c r="I33" s="79">
        <f t="shared" si="3"/>
        <v>18096157</v>
      </c>
      <c r="J33" s="55">
        <f t="shared" si="4"/>
        <v>1.4079100426521907</v>
      </c>
      <c r="K33" s="55">
        <f t="shared" si="5"/>
        <v>1.3453264690398077</v>
      </c>
      <c r="L33" s="55">
        <f t="shared" si="6"/>
        <v>1.0465192464822686</v>
      </c>
    </row>
    <row r="34" spans="1:12">
      <c r="A34" s="27">
        <v>35585</v>
      </c>
      <c r="B34" s="79">
        <v>1147</v>
      </c>
      <c r="C34" s="79">
        <v>1322</v>
      </c>
      <c r="D34" s="79">
        <v>1774308</v>
      </c>
      <c r="E34" s="79">
        <v>2416056</v>
      </c>
      <c r="F34" s="79">
        <f t="shared" si="0"/>
        <v>14260</v>
      </c>
      <c r="G34" s="79">
        <f t="shared" si="1"/>
        <v>10598</v>
      </c>
      <c r="H34" s="79">
        <f t="shared" si="2"/>
        <v>23412460</v>
      </c>
      <c r="I34" s="79">
        <f t="shared" si="3"/>
        <v>19227325</v>
      </c>
      <c r="J34" s="55">
        <f t="shared" si="4"/>
        <v>1.3455368937535384</v>
      </c>
      <c r="K34" s="55">
        <f t="shared" si="5"/>
        <v>1.217666003981313</v>
      </c>
      <c r="L34" s="55">
        <f t="shared" si="6"/>
        <v>1.1050131065120774</v>
      </c>
    </row>
    <row r="35" spans="1:12">
      <c r="A35" s="26">
        <v>35586</v>
      </c>
      <c r="B35" s="77">
        <v>1489</v>
      </c>
      <c r="C35" s="77">
        <v>956</v>
      </c>
      <c r="D35" s="77">
        <v>2702448</v>
      </c>
      <c r="E35" s="77">
        <v>1317814</v>
      </c>
      <c r="F35" s="77">
        <f t="shared" si="0"/>
        <v>14328</v>
      </c>
      <c r="G35" s="77">
        <f t="shared" si="1"/>
        <v>10447</v>
      </c>
      <c r="H35" s="77">
        <f t="shared" si="2"/>
        <v>23737707</v>
      </c>
      <c r="I35" s="77">
        <f t="shared" si="3"/>
        <v>17981500</v>
      </c>
      <c r="J35" s="52">
        <f t="shared" si="4"/>
        <v>1.3714942088637887</v>
      </c>
      <c r="K35" s="52">
        <f t="shared" si="5"/>
        <v>1.3201182882406919</v>
      </c>
      <c r="L35" s="52">
        <f t="shared" si="6"/>
        <v>1.0389176644856311</v>
      </c>
    </row>
    <row r="36" spans="1:12">
      <c r="A36" s="26">
        <v>35587</v>
      </c>
      <c r="B36" s="77">
        <v>1703</v>
      </c>
      <c r="C36" s="77">
        <v>734</v>
      </c>
      <c r="D36" s="77">
        <v>3291001</v>
      </c>
      <c r="E36" s="77">
        <v>999753</v>
      </c>
      <c r="F36" s="77">
        <f t="shared" si="0"/>
        <v>14761</v>
      </c>
      <c r="G36" s="77">
        <f t="shared" si="1"/>
        <v>10005</v>
      </c>
      <c r="H36" s="77">
        <f t="shared" si="2"/>
        <v>25155197</v>
      </c>
      <c r="I36" s="77">
        <f t="shared" si="3"/>
        <v>17079857</v>
      </c>
      <c r="J36" s="52">
        <f t="shared" si="4"/>
        <v>1.4753623188405798</v>
      </c>
      <c r="K36" s="52">
        <f t="shared" si="5"/>
        <v>1.4727990404135116</v>
      </c>
      <c r="L36" s="52">
        <f t="shared" si="6"/>
        <v>1.0017404128850793</v>
      </c>
    </row>
    <row r="37" spans="1:12">
      <c r="A37" s="27">
        <v>35590</v>
      </c>
      <c r="B37" s="79">
        <v>1415</v>
      </c>
      <c r="C37" s="79">
        <v>1084</v>
      </c>
      <c r="D37" s="79">
        <v>2837335</v>
      </c>
      <c r="E37" s="79">
        <v>1431377</v>
      </c>
      <c r="F37" s="79">
        <f t="shared" si="0"/>
        <v>14301</v>
      </c>
      <c r="G37" s="79">
        <f t="shared" si="1"/>
        <v>10471</v>
      </c>
      <c r="H37" s="79">
        <f t="shared" si="2"/>
        <v>24927203</v>
      </c>
      <c r="I37" s="79">
        <f t="shared" si="3"/>
        <v>17803745</v>
      </c>
      <c r="J37" s="55">
        <f t="shared" si="4"/>
        <v>1.3657721325565848</v>
      </c>
      <c r="K37" s="55">
        <f t="shared" si="5"/>
        <v>1.4001100891975256</v>
      </c>
      <c r="L37" s="55">
        <f t="shared" si="6"/>
        <v>0.97547481665486635</v>
      </c>
    </row>
    <row r="38" spans="1:12">
      <c r="A38" s="27">
        <v>35591</v>
      </c>
      <c r="B38" s="79">
        <v>1403</v>
      </c>
      <c r="C38" s="79">
        <v>1130</v>
      </c>
      <c r="D38" s="79">
        <v>2831112</v>
      </c>
      <c r="E38" s="79">
        <v>1901268</v>
      </c>
      <c r="F38" s="79">
        <f t="shared" si="0"/>
        <v>14483</v>
      </c>
      <c r="G38" s="79">
        <f t="shared" si="1"/>
        <v>10302</v>
      </c>
      <c r="H38" s="79">
        <f t="shared" si="2"/>
        <v>25379680</v>
      </c>
      <c r="I38" s="79">
        <f t="shared" si="3"/>
        <v>18126523</v>
      </c>
      <c r="J38" s="55">
        <f t="shared" si="4"/>
        <v>1.4058435255290236</v>
      </c>
      <c r="K38" s="55">
        <f t="shared" si="5"/>
        <v>1.4001405564652416</v>
      </c>
      <c r="L38" s="55">
        <f t="shared" si="6"/>
        <v>1.0040731403982608</v>
      </c>
    </row>
    <row r="39" spans="1:12">
      <c r="A39" s="26">
        <v>35592</v>
      </c>
      <c r="B39" s="77">
        <v>1511</v>
      </c>
      <c r="C39" s="77">
        <v>1027</v>
      </c>
      <c r="D39" s="77">
        <v>2843019</v>
      </c>
      <c r="E39" s="77">
        <v>1820490</v>
      </c>
      <c r="F39" s="77">
        <f t="shared" si="0"/>
        <v>14685</v>
      </c>
      <c r="G39" s="77">
        <f t="shared" si="1"/>
        <v>10182</v>
      </c>
      <c r="H39" s="77">
        <f t="shared" si="2"/>
        <v>25956110</v>
      </c>
      <c r="I39" s="77">
        <f t="shared" si="3"/>
        <v>17743674</v>
      </c>
      <c r="J39" s="52">
        <f t="shared" si="4"/>
        <v>1.442251031231585</v>
      </c>
      <c r="K39" s="52">
        <f t="shared" si="5"/>
        <v>1.4628374033472435</v>
      </c>
      <c r="L39" s="52">
        <f t="shared" si="6"/>
        <v>0.98592709478951446</v>
      </c>
    </row>
    <row r="42" spans="1:12" ht="15">
      <c r="A42" s="241" t="s">
        <v>280</v>
      </c>
    </row>
    <row r="43" spans="1:12" ht="15">
      <c r="A43" s="241" t="s">
        <v>281</v>
      </c>
    </row>
    <row r="44" spans="1:12" ht="15">
      <c r="A44" s="241" t="s">
        <v>282</v>
      </c>
    </row>
    <row r="45" spans="1:12" ht="15">
      <c r="A45" s="241" t="s">
        <v>283</v>
      </c>
    </row>
    <row r="46" spans="1:12" ht="15">
      <c r="A46" s="241" t="s">
        <v>284</v>
      </c>
    </row>
    <row r="47" spans="1:12" ht="15">
      <c r="A47" s="241" t="s">
        <v>285</v>
      </c>
    </row>
    <row r="48" spans="1:12" ht="15">
      <c r="A48" s="241" t="s">
        <v>286</v>
      </c>
    </row>
  </sheetData>
  <phoneticPr fontId="0"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51204" r:id="rId3" name="Button 4">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51205"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51206"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51207"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enableFormatConditionsCalculation="0"/>
  <dimension ref="A1:N43"/>
  <sheetViews>
    <sheetView workbookViewId="0"/>
  </sheetViews>
  <sheetFormatPr baseColWidth="10" defaultColWidth="8.83203125" defaultRowHeight="12" x14ac:dyDescent="0"/>
  <cols>
    <col min="1" max="1" width="11.1640625" customWidth="1"/>
    <col min="2" max="2" width="11" customWidth="1"/>
    <col min="3" max="3" width="10.33203125" customWidth="1"/>
    <col min="4" max="4" width="11"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81" t="s">
        <v>462</v>
      </c>
      <c r="C3" s="21"/>
      <c r="D3" s="21"/>
      <c r="E3" s="21"/>
      <c r="F3" s="21"/>
      <c r="G3" s="21"/>
      <c r="H3" s="21"/>
      <c r="I3" s="21"/>
      <c r="J3" s="21"/>
    </row>
    <row r="4" spans="1:14" ht="33" customHeight="1">
      <c r="A4" s="118" t="s">
        <v>779</v>
      </c>
      <c r="B4" s="446" t="s">
        <v>536</v>
      </c>
      <c r="C4" s="446"/>
      <c r="D4" s="446"/>
      <c r="E4" s="446"/>
      <c r="F4" s="446"/>
      <c r="G4" s="446"/>
      <c r="H4" s="446"/>
      <c r="I4" s="446"/>
      <c r="J4" s="446"/>
    </row>
    <row r="5" spans="1:14">
      <c r="A5" s="21"/>
      <c r="B5" s="21"/>
      <c r="C5" s="115" t="s">
        <v>461</v>
      </c>
      <c r="D5" s="21"/>
      <c r="E5" s="21"/>
      <c r="F5" s="21"/>
      <c r="G5" s="21"/>
      <c r="H5" s="21"/>
      <c r="I5" s="21"/>
      <c r="J5" s="21"/>
    </row>
    <row r="6" spans="1:14" ht="36">
      <c r="A6" s="22" t="s">
        <v>1090</v>
      </c>
      <c r="B6" s="31" t="s">
        <v>1091</v>
      </c>
      <c r="C6" s="31" t="s">
        <v>1092</v>
      </c>
      <c r="D6" s="31" t="s">
        <v>1202</v>
      </c>
      <c r="E6" s="31" t="s">
        <v>887</v>
      </c>
      <c r="F6" s="22"/>
      <c r="G6" s="22"/>
      <c r="H6" s="22"/>
      <c r="I6" s="22"/>
      <c r="J6" s="22"/>
    </row>
    <row r="7" spans="1:14">
      <c r="A7" s="26">
        <v>35545</v>
      </c>
      <c r="B7" s="245">
        <v>789</v>
      </c>
      <c r="C7" s="245">
        <v>1662</v>
      </c>
      <c r="D7" s="245">
        <f>B7-C7</f>
        <v>-873</v>
      </c>
      <c r="E7" s="287">
        <f>D7</f>
        <v>-873</v>
      </c>
      <c r="F7" s="28"/>
      <c r="G7" s="28"/>
      <c r="H7" s="28"/>
      <c r="I7" s="28"/>
      <c r="J7" s="54"/>
    </row>
    <row r="8" spans="1:14">
      <c r="A8" s="26">
        <v>35548</v>
      </c>
      <c r="B8" s="245">
        <v>1348</v>
      </c>
      <c r="C8" s="245">
        <v>1085</v>
      </c>
      <c r="D8" s="245">
        <f t="shared" ref="D8:D39" si="0">B8-C8</f>
        <v>263</v>
      </c>
      <c r="E8" s="287">
        <f>D8*(2/(10+1)) + E7*(1-(2/(10+1)))</f>
        <v>-666.45454545454538</v>
      </c>
      <c r="F8" s="28"/>
      <c r="G8" s="28"/>
      <c r="H8" s="28"/>
      <c r="I8" s="28"/>
      <c r="J8" s="54"/>
    </row>
    <row r="9" spans="1:14">
      <c r="A9" s="27">
        <v>35549</v>
      </c>
      <c r="B9" s="246">
        <v>2085</v>
      </c>
      <c r="C9" s="246">
        <v>531</v>
      </c>
      <c r="D9" s="246">
        <f t="shared" si="0"/>
        <v>1554</v>
      </c>
      <c r="E9" s="288">
        <f t="shared" ref="E9:E39" si="1">D9*(2/(10+1)) + E8*(1-(2/(10+1)))</f>
        <v>-262.73553719008254</v>
      </c>
      <c r="F9" s="29"/>
      <c r="G9" s="29"/>
      <c r="H9" s="29"/>
      <c r="I9" s="29"/>
      <c r="J9" s="57"/>
    </row>
    <row r="10" spans="1:14">
      <c r="A10" s="27">
        <v>35550</v>
      </c>
      <c r="B10" s="246">
        <v>1599</v>
      </c>
      <c r="C10" s="246">
        <v>941</v>
      </c>
      <c r="D10" s="246">
        <f t="shared" si="0"/>
        <v>658</v>
      </c>
      <c r="E10" s="288">
        <f t="shared" si="1"/>
        <v>-95.329075882794783</v>
      </c>
      <c r="F10" s="29"/>
      <c r="G10" s="29"/>
      <c r="H10" s="29"/>
      <c r="I10" s="29"/>
      <c r="J10" s="57"/>
    </row>
    <row r="11" spans="1:14">
      <c r="A11" s="26">
        <v>35551</v>
      </c>
      <c r="B11" s="245">
        <v>1450</v>
      </c>
      <c r="C11" s="245">
        <v>1021</v>
      </c>
      <c r="D11" s="245">
        <f t="shared" si="0"/>
        <v>429</v>
      </c>
      <c r="E11" s="287">
        <f t="shared" si="1"/>
        <v>3.4833686224544635E-3</v>
      </c>
      <c r="F11" s="28"/>
      <c r="G11" s="28"/>
      <c r="H11" s="28"/>
      <c r="I11" s="28"/>
      <c r="J11" s="54"/>
    </row>
    <row r="12" spans="1:14">
      <c r="A12" s="26">
        <v>35552</v>
      </c>
      <c r="B12" s="245">
        <v>2119</v>
      </c>
      <c r="C12" s="245">
        <v>476</v>
      </c>
      <c r="D12" s="245">
        <f t="shared" si="0"/>
        <v>1643</v>
      </c>
      <c r="E12" s="287">
        <f t="shared" si="1"/>
        <v>298.73012275614565</v>
      </c>
      <c r="F12" s="28"/>
      <c r="G12" s="28"/>
      <c r="H12" s="28"/>
      <c r="I12" s="28"/>
      <c r="J12" s="54"/>
    </row>
    <row r="13" spans="1:14">
      <c r="A13" s="27">
        <v>35555</v>
      </c>
      <c r="B13" s="246">
        <v>1958</v>
      </c>
      <c r="C13" s="246">
        <v>677</v>
      </c>
      <c r="D13" s="246">
        <f t="shared" si="0"/>
        <v>1281</v>
      </c>
      <c r="E13" s="288">
        <f t="shared" si="1"/>
        <v>477.32464589139187</v>
      </c>
      <c r="F13" s="29"/>
      <c r="G13" s="29"/>
      <c r="H13" s="29"/>
      <c r="I13" s="29"/>
      <c r="J13" s="57"/>
    </row>
    <row r="14" spans="1:14">
      <c r="A14" s="27">
        <v>35556</v>
      </c>
      <c r="B14" s="246">
        <v>1258</v>
      </c>
      <c r="C14" s="246">
        <v>1270</v>
      </c>
      <c r="D14" s="246">
        <f t="shared" si="0"/>
        <v>-12</v>
      </c>
      <c r="E14" s="288">
        <f t="shared" si="1"/>
        <v>388.35652845659331</v>
      </c>
      <c r="F14" s="29"/>
      <c r="G14" s="29"/>
      <c r="H14" s="29"/>
      <c r="I14" s="29"/>
      <c r="J14" s="57"/>
    </row>
    <row r="15" spans="1:14">
      <c r="A15" s="26">
        <v>35557</v>
      </c>
      <c r="B15" s="245">
        <v>842</v>
      </c>
      <c r="C15" s="245">
        <v>1660</v>
      </c>
      <c r="D15" s="245">
        <f t="shared" si="0"/>
        <v>-818</v>
      </c>
      <c r="E15" s="287">
        <f t="shared" si="1"/>
        <v>169.01897782812179</v>
      </c>
      <c r="F15" s="28"/>
      <c r="G15" s="28"/>
      <c r="H15" s="28"/>
      <c r="I15" s="28"/>
      <c r="J15" s="54"/>
    </row>
    <row r="16" spans="1:14">
      <c r="A16" s="26">
        <v>35558</v>
      </c>
      <c r="B16" s="245">
        <v>1398</v>
      </c>
      <c r="C16" s="245">
        <v>1097</v>
      </c>
      <c r="D16" s="245">
        <f t="shared" si="0"/>
        <v>301</v>
      </c>
      <c r="E16" s="244">
        <f t="shared" si="1"/>
        <v>193.0155273139178</v>
      </c>
      <c r="F16" s="28"/>
      <c r="G16" s="28"/>
      <c r="H16" s="28"/>
      <c r="I16" s="28"/>
      <c r="J16" s="54"/>
    </row>
    <row r="17" spans="1:10">
      <c r="A17" s="27">
        <v>35559</v>
      </c>
      <c r="B17" s="246">
        <v>1526</v>
      </c>
      <c r="C17" s="246">
        <v>932</v>
      </c>
      <c r="D17" s="246">
        <f t="shared" si="0"/>
        <v>594</v>
      </c>
      <c r="E17" s="243">
        <f t="shared" si="1"/>
        <v>265.92179507502362</v>
      </c>
      <c r="F17" s="29"/>
      <c r="G17" s="29"/>
      <c r="H17" s="29"/>
      <c r="I17" s="29"/>
      <c r="J17" s="57"/>
    </row>
    <row r="18" spans="1:10">
      <c r="A18" s="27">
        <v>35562</v>
      </c>
      <c r="B18" s="246">
        <v>1766</v>
      </c>
      <c r="C18" s="246">
        <v>761</v>
      </c>
      <c r="D18" s="246">
        <f t="shared" si="0"/>
        <v>1005</v>
      </c>
      <c r="E18" s="243">
        <f t="shared" si="1"/>
        <v>400.29965051592842</v>
      </c>
      <c r="F18" s="29"/>
      <c r="G18" s="29"/>
      <c r="H18" s="29"/>
      <c r="I18" s="29"/>
      <c r="J18" s="57"/>
    </row>
    <row r="19" spans="1:10">
      <c r="A19" s="26">
        <v>35563</v>
      </c>
      <c r="B19" s="245">
        <v>1133</v>
      </c>
      <c r="C19" s="245">
        <v>1322</v>
      </c>
      <c r="D19" s="245">
        <f t="shared" si="0"/>
        <v>-189</v>
      </c>
      <c r="E19" s="244">
        <f t="shared" si="1"/>
        <v>293.15425951303229</v>
      </c>
      <c r="F19" s="28"/>
      <c r="G19" s="28"/>
      <c r="H19" s="28"/>
      <c r="I19" s="28"/>
      <c r="J19" s="54"/>
    </row>
    <row r="20" spans="1:10">
      <c r="A20" s="26">
        <v>35564</v>
      </c>
      <c r="B20" s="245">
        <v>1472</v>
      </c>
      <c r="C20" s="245">
        <v>992</v>
      </c>
      <c r="D20" s="245">
        <f t="shared" si="0"/>
        <v>480</v>
      </c>
      <c r="E20" s="244">
        <f t="shared" si="1"/>
        <v>327.12621232884459</v>
      </c>
      <c r="F20" s="28"/>
      <c r="G20" s="28"/>
      <c r="H20" s="28"/>
      <c r="I20" s="28"/>
      <c r="J20" s="54"/>
    </row>
    <row r="21" spans="1:10">
      <c r="A21" s="27">
        <v>35565</v>
      </c>
      <c r="B21" s="246">
        <v>1282</v>
      </c>
      <c r="C21" s="246">
        <v>1164</v>
      </c>
      <c r="D21" s="246">
        <f t="shared" si="0"/>
        <v>118</v>
      </c>
      <c r="E21" s="243">
        <f t="shared" si="1"/>
        <v>289.10326463269098</v>
      </c>
      <c r="F21" s="29"/>
      <c r="G21" s="29"/>
      <c r="H21" s="29"/>
      <c r="I21" s="29"/>
      <c r="J21" s="57"/>
    </row>
    <row r="22" spans="1:10">
      <c r="A22" s="27">
        <v>35566</v>
      </c>
      <c r="B22" s="246">
        <v>973</v>
      </c>
      <c r="C22" s="246">
        <v>1431</v>
      </c>
      <c r="D22" s="246">
        <f t="shared" si="0"/>
        <v>-458</v>
      </c>
      <c r="E22" s="243">
        <f t="shared" si="1"/>
        <v>153.26630742674715</v>
      </c>
      <c r="F22" s="29"/>
      <c r="G22" s="29"/>
      <c r="H22" s="29"/>
      <c r="I22" s="29"/>
      <c r="J22" s="57"/>
    </row>
    <row r="23" spans="1:10">
      <c r="A23" s="26">
        <v>35569</v>
      </c>
      <c r="B23" s="245">
        <v>1390</v>
      </c>
      <c r="C23" s="245">
        <v>1056</v>
      </c>
      <c r="D23" s="245">
        <f t="shared" si="0"/>
        <v>334</v>
      </c>
      <c r="E23" s="244">
        <f t="shared" si="1"/>
        <v>186.1269788037022</v>
      </c>
      <c r="F23" s="28"/>
      <c r="G23" s="28"/>
      <c r="H23" s="28"/>
      <c r="I23" s="28"/>
      <c r="J23" s="54"/>
    </row>
    <row r="24" spans="1:10">
      <c r="A24" s="26">
        <v>35570</v>
      </c>
      <c r="B24" s="245">
        <v>1411</v>
      </c>
      <c r="C24" s="245">
        <v>1040</v>
      </c>
      <c r="D24" s="245">
        <f t="shared" si="0"/>
        <v>371</v>
      </c>
      <c r="E24" s="244">
        <f t="shared" si="1"/>
        <v>219.74025538484722</v>
      </c>
      <c r="F24" s="28"/>
      <c r="G24" s="28"/>
      <c r="H24" s="28"/>
      <c r="I24" s="28"/>
      <c r="J24" s="54"/>
    </row>
    <row r="25" spans="1:10">
      <c r="A25" s="27">
        <v>35571</v>
      </c>
      <c r="B25" s="246">
        <v>1421</v>
      </c>
      <c r="C25" s="246">
        <v>1107</v>
      </c>
      <c r="D25" s="246">
        <f t="shared" si="0"/>
        <v>314</v>
      </c>
      <c r="E25" s="243">
        <f t="shared" si="1"/>
        <v>236.87839076942043</v>
      </c>
      <c r="F25" s="29"/>
      <c r="G25" s="29"/>
      <c r="H25" s="29"/>
      <c r="I25" s="29"/>
      <c r="J25" s="57"/>
    </row>
    <row r="26" spans="1:10">
      <c r="A26" s="27">
        <v>35572</v>
      </c>
      <c r="B26" s="246">
        <v>1270</v>
      </c>
      <c r="C26" s="246">
        <v>1176</v>
      </c>
      <c r="D26" s="246">
        <f t="shared" si="0"/>
        <v>94</v>
      </c>
      <c r="E26" s="243">
        <f t="shared" si="1"/>
        <v>210.90050153861671</v>
      </c>
      <c r="F26" s="29"/>
      <c r="G26" s="29"/>
      <c r="H26" s="29"/>
      <c r="I26" s="29"/>
      <c r="J26" s="57"/>
    </row>
    <row r="27" spans="1:10">
      <c r="A27" s="26">
        <v>35573</v>
      </c>
      <c r="B27" s="245">
        <v>1875</v>
      </c>
      <c r="C27" s="245">
        <v>618</v>
      </c>
      <c r="D27" s="245">
        <f t="shared" si="0"/>
        <v>1257</v>
      </c>
      <c r="E27" s="244">
        <f t="shared" si="1"/>
        <v>401.10041034977735</v>
      </c>
      <c r="F27" s="28"/>
      <c r="G27" s="28"/>
      <c r="H27" s="28"/>
      <c r="I27" s="28"/>
      <c r="J27" s="54"/>
    </row>
    <row r="28" spans="1:10">
      <c r="A28" s="26">
        <v>35577</v>
      </c>
      <c r="B28" s="245">
        <v>1221</v>
      </c>
      <c r="C28" s="245">
        <v>1299</v>
      </c>
      <c r="D28" s="245">
        <f t="shared" si="0"/>
        <v>-78</v>
      </c>
      <c r="E28" s="244">
        <f t="shared" si="1"/>
        <v>313.99124483163598</v>
      </c>
      <c r="F28" s="28"/>
      <c r="G28" s="28"/>
      <c r="H28" s="28"/>
      <c r="I28" s="28"/>
      <c r="J28" s="54"/>
    </row>
    <row r="29" spans="1:10">
      <c r="A29" s="27">
        <v>35578</v>
      </c>
      <c r="B29" s="246">
        <v>1309</v>
      </c>
      <c r="C29" s="246">
        <v>1147</v>
      </c>
      <c r="D29" s="246">
        <f t="shared" si="0"/>
        <v>162</v>
      </c>
      <c r="E29" s="243">
        <f t="shared" si="1"/>
        <v>286.35647304406575</v>
      </c>
      <c r="F29" s="29"/>
      <c r="G29" s="29"/>
      <c r="H29" s="29"/>
      <c r="I29" s="29"/>
      <c r="J29" s="57"/>
    </row>
    <row r="30" spans="1:10">
      <c r="A30" s="27">
        <v>35579</v>
      </c>
      <c r="B30" s="246">
        <v>1431</v>
      </c>
      <c r="C30" s="246">
        <v>1043</v>
      </c>
      <c r="D30" s="246">
        <f t="shared" si="0"/>
        <v>388</v>
      </c>
      <c r="E30" s="243">
        <f t="shared" si="1"/>
        <v>304.83711430878105</v>
      </c>
      <c r="F30" s="29"/>
      <c r="G30" s="29"/>
      <c r="H30" s="29"/>
      <c r="I30" s="29"/>
      <c r="J30" s="57"/>
    </row>
    <row r="31" spans="1:10">
      <c r="A31" s="26">
        <v>35580</v>
      </c>
      <c r="B31" s="245">
        <v>1584</v>
      </c>
      <c r="C31" s="245">
        <v>901</v>
      </c>
      <c r="D31" s="245">
        <f t="shared" si="0"/>
        <v>683</v>
      </c>
      <c r="E31" s="244">
        <f t="shared" si="1"/>
        <v>373.59400261627536</v>
      </c>
      <c r="F31" s="28"/>
      <c r="G31" s="28"/>
      <c r="H31" s="28"/>
      <c r="I31" s="28"/>
      <c r="J31" s="54"/>
    </row>
    <row r="32" spans="1:10">
      <c r="A32" s="26">
        <v>35583</v>
      </c>
      <c r="B32" s="245">
        <v>1530</v>
      </c>
      <c r="C32" s="245">
        <v>963</v>
      </c>
      <c r="D32" s="245">
        <f t="shared" si="0"/>
        <v>567</v>
      </c>
      <c r="E32" s="244">
        <f t="shared" si="1"/>
        <v>408.75872941331613</v>
      </c>
      <c r="F32" s="28"/>
      <c r="G32" s="28"/>
      <c r="H32" s="28"/>
      <c r="I32" s="28"/>
      <c r="J32" s="54"/>
    </row>
    <row r="33" spans="1:10">
      <c r="A33" s="27">
        <v>35584</v>
      </c>
      <c r="B33" s="246">
        <v>1472</v>
      </c>
      <c r="C33" s="246">
        <v>1022</v>
      </c>
      <c r="D33" s="246">
        <f t="shared" si="0"/>
        <v>450</v>
      </c>
      <c r="E33" s="243">
        <f t="shared" si="1"/>
        <v>416.25714224725863</v>
      </c>
      <c r="F33" s="29"/>
      <c r="G33" s="29"/>
      <c r="H33" s="29"/>
      <c r="I33" s="29"/>
      <c r="J33" s="57"/>
    </row>
    <row r="34" spans="1:10">
      <c r="A34" s="27">
        <v>35585</v>
      </c>
      <c r="B34" s="246">
        <v>1147</v>
      </c>
      <c r="C34" s="246">
        <v>1322</v>
      </c>
      <c r="D34" s="246">
        <f t="shared" si="0"/>
        <v>-175</v>
      </c>
      <c r="E34" s="243">
        <f t="shared" si="1"/>
        <v>308.75584365684796</v>
      </c>
      <c r="F34" s="29"/>
      <c r="G34" s="29"/>
      <c r="H34" s="29"/>
      <c r="I34" s="29"/>
      <c r="J34" s="57"/>
    </row>
    <row r="35" spans="1:10">
      <c r="A35" s="26">
        <v>35586</v>
      </c>
      <c r="B35" s="245">
        <v>1489</v>
      </c>
      <c r="C35" s="245">
        <v>956</v>
      </c>
      <c r="D35" s="245">
        <f t="shared" si="0"/>
        <v>533</v>
      </c>
      <c r="E35" s="244">
        <f t="shared" si="1"/>
        <v>349.52750844651194</v>
      </c>
      <c r="F35" s="28"/>
      <c r="G35" s="28"/>
      <c r="H35" s="28"/>
      <c r="I35" s="28"/>
      <c r="J35" s="54"/>
    </row>
    <row r="36" spans="1:10">
      <c r="A36" s="26">
        <v>35587</v>
      </c>
      <c r="B36" s="245">
        <v>1703</v>
      </c>
      <c r="C36" s="245">
        <v>734</v>
      </c>
      <c r="D36" s="245">
        <f t="shared" si="0"/>
        <v>969</v>
      </c>
      <c r="E36" s="244">
        <f t="shared" si="1"/>
        <v>462.15887054714614</v>
      </c>
      <c r="F36" s="28"/>
      <c r="G36" s="28"/>
      <c r="H36" s="28"/>
      <c r="I36" s="28"/>
      <c r="J36" s="54"/>
    </row>
    <row r="37" spans="1:10">
      <c r="A37" s="27">
        <v>35590</v>
      </c>
      <c r="B37" s="246">
        <v>1415</v>
      </c>
      <c r="C37" s="246">
        <v>1084</v>
      </c>
      <c r="D37" s="246">
        <f t="shared" si="0"/>
        <v>331</v>
      </c>
      <c r="E37" s="243">
        <f t="shared" si="1"/>
        <v>438.31180317493772</v>
      </c>
      <c r="F37" s="29"/>
      <c r="G37" s="29"/>
      <c r="H37" s="29"/>
      <c r="I37" s="29"/>
      <c r="J37" s="57"/>
    </row>
    <row r="38" spans="1:10">
      <c r="A38" s="27">
        <v>35591</v>
      </c>
      <c r="B38" s="246">
        <v>1403</v>
      </c>
      <c r="C38" s="246">
        <v>1130</v>
      </c>
      <c r="D38" s="246">
        <f t="shared" si="0"/>
        <v>273</v>
      </c>
      <c r="E38" s="243">
        <f t="shared" si="1"/>
        <v>408.25511168858537</v>
      </c>
      <c r="F38" s="29"/>
      <c r="G38" s="29"/>
      <c r="H38" s="29"/>
      <c r="I38" s="29"/>
      <c r="J38" s="57"/>
    </row>
    <row r="39" spans="1:10">
      <c r="A39" s="26">
        <v>35592</v>
      </c>
      <c r="B39" s="245">
        <v>1511</v>
      </c>
      <c r="C39" s="245">
        <v>1027</v>
      </c>
      <c r="D39" s="245">
        <f t="shared" si="0"/>
        <v>484</v>
      </c>
      <c r="E39" s="244">
        <f t="shared" si="1"/>
        <v>422.02690956338802</v>
      </c>
      <c r="F39" s="28"/>
      <c r="G39" s="28"/>
      <c r="H39" s="28"/>
      <c r="I39" s="28"/>
      <c r="J39" s="54"/>
    </row>
    <row r="41" spans="1:10" ht="15">
      <c r="A41" s="241" t="s">
        <v>988</v>
      </c>
    </row>
    <row r="42" spans="1:10" ht="62.25" customHeight="1">
      <c r="A42" s="447" t="s">
        <v>885</v>
      </c>
      <c r="B42" s="447"/>
      <c r="C42" s="447"/>
      <c r="D42" s="447"/>
      <c r="E42" s="447"/>
      <c r="F42" s="447"/>
      <c r="G42" s="447"/>
      <c r="H42" s="447"/>
      <c r="I42" s="447"/>
      <c r="J42" s="447"/>
    </row>
    <row r="43" spans="1:10" ht="33" customHeight="1">
      <c r="A43" s="447" t="s">
        <v>886</v>
      </c>
      <c r="B43" s="447"/>
      <c r="C43" s="447"/>
      <c r="D43" s="447"/>
      <c r="E43" s="447"/>
      <c r="F43" s="447"/>
      <c r="G43" s="447"/>
      <c r="H43" s="447"/>
      <c r="I43" s="447"/>
      <c r="J43" s="447"/>
    </row>
  </sheetData>
  <mergeCells count="3">
    <mergeCell ref="B4:J4"/>
    <mergeCell ref="A42:J42"/>
    <mergeCell ref="A43:J43"/>
  </mergeCells>
  <phoneticPr fontId="0" type="noConversion"/>
  <pageMargins left="0.75" right="0.75" top="1" bottom="1" header="0.5" footer="0.5"/>
  <pageSetup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88065"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88066"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88067"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88068"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enableFormatConditionsCalculation="0"/>
  <dimension ref="A1:P121"/>
  <sheetViews>
    <sheetView workbookViewId="0"/>
  </sheetViews>
  <sheetFormatPr baseColWidth="10" defaultColWidth="8.83203125" defaultRowHeight="12" x14ac:dyDescent="0"/>
  <cols>
    <col min="1" max="1" width="15" customWidth="1"/>
    <col min="2" max="2" width="9.33203125" customWidth="1"/>
    <col min="3" max="3" width="9" customWidth="1"/>
    <col min="4" max="5" width="12.1640625" customWidth="1"/>
    <col min="6" max="6" width="9.5" bestFit="1" customWidth="1"/>
    <col min="8" max="8" width="12" customWidth="1"/>
    <col min="9" max="9" width="47" customWidth="1"/>
    <col min="10" max="10" width="10.83203125" customWidth="1"/>
    <col min="16" max="16" width="11.1640625" customWidth="1"/>
  </cols>
  <sheetData>
    <row r="1" spans="1:16">
      <c r="A1" s="21"/>
      <c r="B1" s="21"/>
      <c r="C1" s="21" t="s">
        <v>846</v>
      </c>
      <c r="D1" s="21"/>
      <c r="E1" s="21"/>
      <c r="F1" s="21"/>
      <c r="G1" s="21"/>
      <c r="H1" s="21"/>
      <c r="I1" s="21"/>
    </row>
    <row r="2" spans="1:16" ht="21" customHeight="1">
      <c r="A2" s="21"/>
      <c r="B2" s="21"/>
      <c r="C2" s="21"/>
      <c r="D2" s="374"/>
      <c r="E2" s="374"/>
      <c r="F2" s="374"/>
      <c r="G2" s="374"/>
      <c r="H2" s="374"/>
      <c r="I2" s="374"/>
    </row>
    <row r="3" spans="1:16">
      <c r="A3" s="19" t="s">
        <v>1045</v>
      </c>
      <c r="B3" s="20" t="s">
        <v>1324</v>
      </c>
      <c r="C3" s="21"/>
      <c r="D3" s="20" t="s">
        <v>745</v>
      </c>
      <c r="E3" s="20">
        <v>0.02</v>
      </c>
      <c r="F3" s="21"/>
      <c r="G3" s="21"/>
      <c r="H3" s="21"/>
      <c r="I3" s="21"/>
    </row>
    <row r="4" spans="1:16">
      <c r="A4" s="19" t="s">
        <v>774</v>
      </c>
      <c r="B4" s="20" t="s">
        <v>775</v>
      </c>
      <c r="C4" s="21"/>
      <c r="D4" s="20" t="s">
        <v>746</v>
      </c>
      <c r="E4" s="20">
        <v>0.2</v>
      </c>
      <c r="F4" s="21"/>
      <c r="G4" s="21"/>
      <c r="H4" s="21"/>
      <c r="I4" s="21"/>
    </row>
    <row r="5" spans="1:16">
      <c r="A5" s="19" t="s">
        <v>779</v>
      </c>
      <c r="B5" s="21" t="s">
        <v>1228</v>
      </c>
      <c r="C5" s="21"/>
      <c r="D5" s="21"/>
      <c r="E5" s="21"/>
      <c r="F5" s="21"/>
      <c r="G5" s="21"/>
      <c r="H5" s="21"/>
      <c r="I5" s="21"/>
    </row>
    <row r="6" spans="1:16">
      <c r="A6" s="19"/>
      <c r="B6" s="21" t="s">
        <v>1087</v>
      </c>
      <c r="C6" s="21"/>
      <c r="D6" s="21"/>
      <c r="E6" s="21"/>
      <c r="F6" s="21"/>
      <c r="G6" s="21"/>
      <c r="H6" s="21"/>
      <c r="I6" s="21"/>
    </row>
    <row r="7" spans="1:16">
      <c r="A7" s="19"/>
      <c r="B7" s="21" t="s">
        <v>390</v>
      </c>
      <c r="C7" s="21"/>
      <c r="D7" s="21"/>
      <c r="E7" s="21"/>
      <c r="F7" s="21"/>
      <c r="G7" s="21"/>
      <c r="H7" s="21"/>
      <c r="I7" s="21"/>
    </row>
    <row r="8" spans="1:16">
      <c r="A8" s="19"/>
      <c r="B8" s="21" t="s">
        <v>1229</v>
      </c>
      <c r="C8" s="21"/>
      <c r="D8" s="21"/>
      <c r="E8" s="21"/>
      <c r="F8" s="21"/>
      <c r="G8" s="21"/>
      <c r="H8" s="21"/>
      <c r="I8" s="21"/>
    </row>
    <row r="9" spans="1:16">
      <c r="A9" s="19"/>
      <c r="B9" s="21" t="s">
        <v>546</v>
      </c>
      <c r="C9" s="21"/>
      <c r="D9" s="21"/>
      <c r="E9" s="21"/>
      <c r="F9" s="21"/>
      <c r="G9" s="21"/>
      <c r="H9" s="21"/>
      <c r="I9" s="21"/>
    </row>
    <row r="10" spans="1:16" ht="31.5" customHeight="1" thickBot="1">
      <c r="A10" s="22" t="s">
        <v>1090</v>
      </c>
      <c r="B10" s="22" t="s">
        <v>1096</v>
      </c>
      <c r="C10" s="31" t="s">
        <v>1097</v>
      </c>
      <c r="D10" s="31" t="s">
        <v>345</v>
      </c>
      <c r="E10" s="22" t="s">
        <v>346</v>
      </c>
      <c r="F10" s="22" t="s">
        <v>743</v>
      </c>
      <c r="G10" s="31" t="s">
        <v>351</v>
      </c>
      <c r="H10" s="31"/>
      <c r="I10" s="22"/>
    </row>
    <row r="11" spans="1:16">
      <c r="A11" s="382">
        <v>36434</v>
      </c>
      <c r="B11" s="383">
        <v>45.3125</v>
      </c>
      <c r="C11" s="383">
        <v>44.156199999999998</v>
      </c>
      <c r="D11" s="384">
        <f>E3</f>
        <v>0.02</v>
      </c>
      <c r="E11" s="385">
        <f>MAX(B11)</f>
        <v>45.3125</v>
      </c>
      <c r="F11" s="385">
        <f>C11</f>
        <v>44.156199999999998</v>
      </c>
      <c r="G11" s="386" t="s">
        <v>10</v>
      </c>
      <c r="H11" s="387"/>
      <c r="I11" s="375"/>
      <c r="J11" s="2"/>
      <c r="P11" s="2"/>
    </row>
    <row r="12" spans="1:16">
      <c r="A12" s="376">
        <v>36437</v>
      </c>
      <c r="B12" s="190">
        <v>46.3125</v>
      </c>
      <c r="C12" s="190">
        <v>45.125</v>
      </c>
      <c r="D12" s="341">
        <f t="shared" ref="D12:D19" si="0">IF(E12&gt;E11,MIN($E$4,D11+E$3),D11)</f>
        <v>0.04</v>
      </c>
      <c r="E12" s="160">
        <f>MAX(B11:B12)</f>
        <v>46.3125</v>
      </c>
      <c r="F12" s="160">
        <f>MIN(MIN(C11),F11+D11*(E11-F11))</f>
        <v>44.156199999999998</v>
      </c>
      <c r="G12" s="338"/>
      <c r="H12" s="28"/>
      <c r="I12" s="377"/>
      <c r="J12" s="2"/>
      <c r="P12" s="2"/>
    </row>
    <row r="13" spans="1:16">
      <c r="A13" s="378">
        <v>36438</v>
      </c>
      <c r="B13" s="191">
        <v>46.9375</v>
      </c>
      <c r="C13" s="191">
        <v>44.75</v>
      </c>
      <c r="D13" s="342">
        <f t="shared" si="0"/>
        <v>0.06</v>
      </c>
      <c r="E13" s="339">
        <f>MAX(B11:B13)</f>
        <v>46.9375</v>
      </c>
      <c r="F13" s="339">
        <f t="shared" ref="F13:F19" si="1">MIN(MIN(C11:C12),F12+D12*(E12-F12))</f>
        <v>44.156199999999998</v>
      </c>
      <c r="G13" s="340"/>
      <c r="H13" s="29"/>
      <c r="I13" s="379"/>
      <c r="J13" s="2"/>
      <c r="P13" s="2"/>
    </row>
    <row r="14" spans="1:16">
      <c r="A14" s="378">
        <v>36439</v>
      </c>
      <c r="B14" s="191">
        <v>47</v>
      </c>
      <c r="C14" s="191">
        <v>46.031199999999998</v>
      </c>
      <c r="D14" s="342">
        <f t="shared" si="0"/>
        <v>0.08</v>
      </c>
      <c r="E14" s="339">
        <f>MAX(B11:B14)</f>
        <v>47</v>
      </c>
      <c r="F14" s="339">
        <f t="shared" si="1"/>
        <v>44.323077999999995</v>
      </c>
      <c r="G14" s="340"/>
      <c r="H14" s="29"/>
      <c r="I14" s="379"/>
      <c r="J14" s="2"/>
      <c r="P14" s="2"/>
    </row>
    <row r="15" spans="1:16">
      <c r="A15" s="376">
        <v>36440</v>
      </c>
      <c r="B15" s="190">
        <v>47.531199999999998</v>
      </c>
      <c r="C15" s="190">
        <v>46.343800000000002</v>
      </c>
      <c r="D15" s="341">
        <f t="shared" si="0"/>
        <v>0.1</v>
      </c>
      <c r="E15" s="160">
        <f>MAX(B11:B15)</f>
        <v>47.531199999999998</v>
      </c>
      <c r="F15" s="160">
        <f t="shared" si="1"/>
        <v>44.537231759999997</v>
      </c>
      <c r="G15" s="338"/>
      <c r="H15" s="28"/>
      <c r="I15" s="377"/>
      <c r="J15" s="2"/>
      <c r="P15" s="2"/>
    </row>
    <row r="16" spans="1:16">
      <c r="A16" s="376">
        <v>36441</v>
      </c>
      <c r="B16" s="190">
        <v>47.593800000000002</v>
      </c>
      <c r="C16" s="190">
        <v>46.0625</v>
      </c>
      <c r="D16" s="341">
        <f t="shared" si="0"/>
        <v>0.12000000000000001</v>
      </c>
      <c r="E16" s="160">
        <f>MAX(B11:B16)</f>
        <v>47.593800000000002</v>
      </c>
      <c r="F16" s="160">
        <f t="shared" si="1"/>
        <v>44.836628583999996</v>
      </c>
      <c r="G16" s="338"/>
      <c r="H16" s="28"/>
      <c r="I16" s="377"/>
      <c r="J16" s="2"/>
      <c r="P16" s="2"/>
    </row>
    <row r="17" spans="1:16">
      <c r="A17" s="378">
        <v>36444</v>
      </c>
      <c r="B17" s="191">
        <v>47.5</v>
      </c>
      <c r="C17" s="191">
        <v>47.0625</v>
      </c>
      <c r="D17" s="342">
        <f t="shared" si="0"/>
        <v>0.12000000000000001</v>
      </c>
      <c r="E17" s="339">
        <f>MAX(B11:B17)</f>
        <v>47.593800000000002</v>
      </c>
      <c r="F17" s="339">
        <f t="shared" si="1"/>
        <v>45.167489153919995</v>
      </c>
      <c r="G17" s="340"/>
      <c r="H17" s="29"/>
      <c r="I17" s="379"/>
      <c r="J17" s="2"/>
      <c r="P17" s="2"/>
    </row>
    <row r="18" spans="1:16" ht="13" thickBot="1">
      <c r="A18" s="380">
        <v>36445</v>
      </c>
      <c r="B18" s="381">
        <v>47.156199999999998</v>
      </c>
      <c r="C18" s="381">
        <v>46.1875</v>
      </c>
      <c r="D18" s="388">
        <f t="shared" si="0"/>
        <v>0.12000000000000001</v>
      </c>
      <c r="E18" s="389">
        <f>MAX(B11:B18)</f>
        <v>47.593800000000002</v>
      </c>
      <c r="F18" s="389">
        <f t="shared" si="1"/>
        <v>45.458646455449596</v>
      </c>
      <c r="G18" s="390"/>
      <c r="H18" s="391"/>
      <c r="I18" s="392"/>
      <c r="J18" s="2"/>
      <c r="P18" s="2"/>
    </row>
    <row r="19" spans="1:16" ht="13" thickBot="1">
      <c r="A19" s="393">
        <v>36446</v>
      </c>
      <c r="B19" s="394">
        <v>46.5625</v>
      </c>
      <c r="C19" s="394">
        <v>45.156199999999998</v>
      </c>
      <c r="D19" s="395">
        <f t="shared" si="0"/>
        <v>0.12000000000000001</v>
      </c>
      <c r="E19" s="396">
        <f>MAX(B11:B19)</f>
        <v>47.593800000000002</v>
      </c>
      <c r="F19" s="396">
        <f t="shared" si="1"/>
        <v>45.714864880795645</v>
      </c>
      <c r="G19" s="397" t="s">
        <v>19</v>
      </c>
      <c r="H19" s="397"/>
      <c r="I19" s="397"/>
      <c r="J19" s="2"/>
      <c r="P19" s="2"/>
    </row>
    <row r="20" spans="1:16">
      <c r="A20" s="382">
        <v>36446</v>
      </c>
      <c r="B20" s="398">
        <v>46.5625</v>
      </c>
      <c r="C20" s="398">
        <v>45.156199999999998</v>
      </c>
      <c r="D20" s="399">
        <f>E3</f>
        <v>0.02</v>
      </c>
      <c r="E20" s="400">
        <f>MIN(C20)</f>
        <v>45.156199999999998</v>
      </c>
      <c r="F20" s="400">
        <f>MAX(MAX(B17,B18),MAX(B11:B19))</f>
        <v>47.593800000000002</v>
      </c>
      <c r="G20" s="401" t="s">
        <v>744</v>
      </c>
      <c r="H20" s="402"/>
      <c r="I20" s="375"/>
      <c r="J20" s="2"/>
      <c r="P20" s="2"/>
    </row>
    <row r="21" spans="1:16">
      <c r="A21" s="378">
        <v>36447</v>
      </c>
      <c r="B21" s="99">
        <v>46.117199999999997</v>
      </c>
      <c r="C21" s="99">
        <v>44.843800000000002</v>
      </c>
      <c r="D21" s="274">
        <f t="shared" ref="D21:D26" si="2">IF(E21&lt;E20,MIN($E$4,D20+E$3),D20)</f>
        <v>0.04</v>
      </c>
      <c r="E21" s="55">
        <f>MIN(C20:C21)</f>
        <v>44.843800000000002</v>
      </c>
      <c r="F21" s="55">
        <f>MAX(MAX(B18,B19),F20+D20*(E20-F20))</f>
        <v>47.545048000000001</v>
      </c>
      <c r="G21" s="29"/>
      <c r="H21" s="111"/>
      <c r="I21" s="379"/>
      <c r="J21" s="2"/>
      <c r="P21" s="2"/>
    </row>
    <row r="22" spans="1:16">
      <c r="A22" s="378">
        <v>36448</v>
      </c>
      <c r="B22" s="99">
        <v>44.906199999999998</v>
      </c>
      <c r="C22" s="99">
        <v>43.656199999999998</v>
      </c>
      <c r="D22" s="274">
        <f t="shared" si="2"/>
        <v>0.06</v>
      </c>
      <c r="E22" s="55">
        <f>MIN(C20:C22)</f>
        <v>43.656199999999998</v>
      </c>
      <c r="F22" s="55">
        <f>MAX(MAX(B20,B21),F21+D21*(E21-F21))</f>
        <v>47.436998080000002</v>
      </c>
      <c r="G22" s="29"/>
      <c r="H22" s="111"/>
      <c r="I22" s="379"/>
      <c r="J22" s="2"/>
      <c r="P22" s="2"/>
    </row>
    <row r="23" spans="1:16">
      <c r="A23" s="376">
        <v>36451</v>
      </c>
      <c r="B23" s="100">
        <v>44</v>
      </c>
      <c r="C23" s="100">
        <v>42.531199999999998</v>
      </c>
      <c r="D23" s="273">
        <f t="shared" si="2"/>
        <v>0.08</v>
      </c>
      <c r="E23" s="52">
        <f>MIN(C20:C23)</f>
        <v>42.531199999999998</v>
      </c>
      <c r="F23" s="52">
        <f>MAX(MAX(B21,B22),F22+D22*(E22-F22))</f>
        <v>47.210150195200001</v>
      </c>
      <c r="G23" s="28"/>
      <c r="H23" s="112"/>
      <c r="I23" s="377"/>
      <c r="J23" s="2"/>
      <c r="P23" s="2"/>
    </row>
    <row r="24" spans="1:16">
      <c r="A24" s="376">
        <v>36452</v>
      </c>
      <c r="B24" s="100">
        <v>44.625</v>
      </c>
      <c r="C24" s="100">
        <v>42.625</v>
      </c>
      <c r="D24" s="273">
        <f t="shared" si="2"/>
        <v>0.08</v>
      </c>
      <c r="E24" s="52">
        <f>MIN(C20:C24)</f>
        <v>42.531199999999998</v>
      </c>
      <c r="F24" s="52">
        <f>MAX(MAX(B22,B23),F23+D23*(E23-F23))</f>
        <v>46.835834179583998</v>
      </c>
      <c r="G24" s="28"/>
      <c r="H24" s="112"/>
      <c r="I24" s="377"/>
      <c r="J24" s="2"/>
      <c r="P24" s="2"/>
    </row>
    <row r="25" spans="1:16" ht="13" thickBot="1">
      <c r="A25" s="380">
        <v>36453</v>
      </c>
      <c r="B25" s="403">
        <v>46.1875</v>
      </c>
      <c r="C25" s="403">
        <v>45.125</v>
      </c>
      <c r="D25" s="404">
        <f t="shared" si="2"/>
        <v>0.08</v>
      </c>
      <c r="E25" s="405">
        <f>MIN(C20:C25)</f>
        <v>42.531199999999998</v>
      </c>
      <c r="F25" s="405">
        <f>MAX(MAX(B23,B24),F24+D24*(E24-F24))</f>
        <v>46.491463445217278</v>
      </c>
      <c r="G25" s="218"/>
      <c r="H25" s="406"/>
      <c r="I25" s="392"/>
      <c r="J25" s="2"/>
      <c r="P25" s="2"/>
    </row>
    <row r="26" spans="1:16" ht="13" thickBot="1">
      <c r="A26" s="407">
        <v>36454</v>
      </c>
      <c r="B26" s="408">
        <v>46.5625</v>
      </c>
      <c r="C26" s="408">
        <v>45.25</v>
      </c>
      <c r="D26" s="409">
        <f t="shared" si="2"/>
        <v>0.08</v>
      </c>
      <c r="E26" s="410">
        <f>MIN(C20:C26)</f>
        <v>42.531199999999998</v>
      </c>
      <c r="F26" s="410">
        <f>MAX(MAX(B24,B25),F25+D25*(E25-F25))</f>
        <v>46.1875</v>
      </c>
      <c r="G26" s="411" t="s">
        <v>23</v>
      </c>
      <c r="H26" s="412"/>
      <c r="I26" s="413"/>
      <c r="J26" s="2"/>
      <c r="P26" s="2"/>
    </row>
    <row r="27" spans="1:16">
      <c r="A27" s="382">
        <v>36454</v>
      </c>
      <c r="B27" s="400">
        <v>46.5625</v>
      </c>
      <c r="C27" s="400">
        <v>45.25</v>
      </c>
      <c r="D27" s="399">
        <f>E3</f>
        <v>0.02</v>
      </c>
      <c r="E27" s="400">
        <f>MAX(B27)</f>
        <v>46.5625</v>
      </c>
      <c r="F27" s="400">
        <f>MIN(MIN(C24,C25),MIN(C20:C26))</f>
        <v>42.531199999999998</v>
      </c>
      <c r="G27" s="414" t="s">
        <v>10</v>
      </c>
      <c r="H27" s="387"/>
      <c r="I27" s="375"/>
      <c r="J27" s="2"/>
      <c r="P27" s="2"/>
    </row>
    <row r="28" spans="1:16">
      <c r="A28" s="376">
        <v>36455</v>
      </c>
      <c r="B28" s="52">
        <v>46.9375</v>
      </c>
      <c r="C28" s="52">
        <v>45.875</v>
      </c>
      <c r="D28" s="273">
        <f>IF(E28&gt;E27,MIN($E$4,D27+E$3),D27)</f>
        <v>0.04</v>
      </c>
      <c r="E28" s="52">
        <f>MAX(B27:B28)</f>
        <v>46.9375</v>
      </c>
      <c r="F28" s="52">
        <f>MIN(MIN(C27,C25),F27+D27*(E27-F27))</f>
        <v>42.611826000000001</v>
      </c>
      <c r="G28" s="28"/>
      <c r="H28" s="28"/>
      <c r="I28" s="377"/>
      <c r="J28" s="2"/>
      <c r="P28" s="2"/>
    </row>
    <row r="29" spans="1:16">
      <c r="A29" s="378">
        <v>36458</v>
      </c>
      <c r="B29" s="55">
        <v>46.781199999999998</v>
      </c>
      <c r="C29" s="55">
        <v>45.5625</v>
      </c>
      <c r="D29" s="274">
        <f t="shared" ref="D29:D39" si="3">IF(E29&gt;E28,MIN($E$4,D28+E$3),D28)</f>
        <v>0.04</v>
      </c>
      <c r="E29" s="55">
        <f>MAX(B27:B29)</f>
        <v>46.9375</v>
      </c>
      <c r="F29" s="55">
        <f t="shared" ref="F29:F39" si="4">MIN(MIN(C27:C28),F28+D28*(E28-F28))</f>
        <v>42.784852960000002</v>
      </c>
      <c r="G29" s="29"/>
      <c r="H29" s="29"/>
      <c r="I29" s="379"/>
      <c r="J29" s="2"/>
      <c r="P29" s="2"/>
    </row>
    <row r="30" spans="1:16">
      <c r="A30" s="378">
        <v>36459</v>
      </c>
      <c r="B30" s="55">
        <v>47.625</v>
      </c>
      <c r="C30" s="55">
        <v>46.132800000000003</v>
      </c>
      <c r="D30" s="274">
        <f t="shared" si="3"/>
        <v>0.06</v>
      </c>
      <c r="E30" s="55">
        <f>MAX(B27:B30)</f>
        <v>47.625</v>
      </c>
      <c r="F30" s="55">
        <f t="shared" si="4"/>
        <v>42.950958841599999</v>
      </c>
      <c r="G30" s="29"/>
      <c r="H30" s="29"/>
      <c r="I30" s="379"/>
      <c r="J30" s="2"/>
      <c r="P30" s="2"/>
    </row>
    <row r="31" spans="1:16">
      <c r="A31" s="376">
        <v>36460</v>
      </c>
      <c r="B31" s="52">
        <v>45.8125</v>
      </c>
      <c r="C31" s="52">
        <v>44.843800000000002</v>
      </c>
      <c r="D31" s="273">
        <f t="shared" si="3"/>
        <v>0.06</v>
      </c>
      <c r="E31" s="52">
        <f>MAX(B27:B31)</f>
        <v>47.625</v>
      </c>
      <c r="F31" s="52">
        <f t="shared" si="4"/>
        <v>43.231401311104001</v>
      </c>
      <c r="G31" s="28"/>
      <c r="H31" s="28"/>
      <c r="I31" s="377"/>
      <c r="J31" s="2"/>
      <c r="P31" s="2"/>
    </row>
    <row r="32" spans="1:16">
      <c r="A32" s="376">
        <v>36461</v>
      </c>
      <c r="B32" s="52">
        <v>45.4375</v>
      </c>
      <c r="C32" s="52">
        <v>44.656199999999998</v>
      </c>
      <c r="D32" s="273">
        <f t="shared" si="3"/>
        <v>0.06</v>
      </c>
      <c r="E32" s="52">
        <f>MAX(B27:B32)</f>
        <v>47.625</v>
      </c>
      <c r="F32" s="52">
        <f t="shared" si="4"/>
        <v>43.49501723243776</v>
      </c>
      <c r="G32" s="28"/>
      <c r="H32" s="28"/>
      <c r="I32" s="377"/>
      <c r="J32" s="2"/>
      <c r="P32" s="2"/>
    </row>
    <row r="33" spans="1:16">
      <c r="A33" s="378">
        <v>36462</v>
      </c>
      <c r="B33" s="55">
        <v>47</v>
      </c>
      <c r="C33" s="55">
        <v>45.625</v>
      </c>
      <c r="D33" s="274">
        <f t="shared" si="3"/>
        <v>0.06</v>
      </c>
      <c r="E33" s="55">
        <f>MAX(B27:B33)</f>
        <v>47.625</v>
      </c>
      <c r="F33" s="55">
        <f t="shared" si="4"/>
        <v>43.742816198491496</v>
      </c>
      <c r="G33" s="29"/>
      <c r="H33" s="29"/>
      <c r="I33" s="379"/>
      <c r="J33" s="2"/>
      <c r="P33" s="2"/>
    </row>
    <row r="34" spans="1:16">
      <c r="A34" s="378">
        <v>36465</v>
      </c>
      <c r="B34" s="55">
        <v>47.093800000000002</v>
      </c>
      <c r="C34" s="55">
        <v>46.0625</v>
      </c>
      <c r="D34" s="274">
        <f t="shared" si="3"/>
        <v>0.06</v>
      </c>
      <c r="E34" s="55">
        <f>MAX(B27:B34)</f>
        <v>47.625</v>
      </c>
      <c r="F34" s="55">
        <f t="shared" si="4"/>
        <v>43.975747226582008</v>
      </c>
      <c r="G34" s="29"/>
      <c r="H34" s="29"/>
      <c r="I34" s="379"/>
      <c r="J34" s="2"/>
      <c r="P34" s="2"/>
    </row>
    <row r="35" spans="1:16">
      <c r="A35" s="376">
        <v>36466</v>
      </c>
      <c r="B35" s="52">
        <v>47.25</v>
      </c>
      <c r="C35" s="52">
        <v>45.968800000000002</v>
      </c>
      <c r="D35" s="273">
        <f t="shared" si="3"/>
        <v>0.06</v>
      </c>
      <c r="E35" s="52">
        <f>MAX(B27:B35)</f>
        <v>47.625</v>
      </c>
      <c r="F35" s="52">
        <f t="shared" si="4"/>
        <v>44.194702392987089</v>
      </c>
      <c r="G35" s="28"/>
      <c r="H35" s="28"/>
      <c r="I35" s="377"/>
      <c r="J35" s="2"/>
      <c r="P35" s="2"/>
    </row>
    <row r="36" spans="1:16">
      <c r="A36" s="376">
        <v>36467</v>
      </c>
      <c r="B36" s="52">
        <v>46.75</v>
      </c>
      <c r="C36" s="52">
        <v>45.75</v>
      </c>
      <c r="D36" s="273">
        <f t="shared" si="3"/>
        <v>0.06</v>
      </c>
      <c r="E36" s="52">
        <f>MAX(B27:B36)</f>
        <v>47.625</v>
      </c>
      <c r="F36" s="52">
        <f t="shared" si="4"/>
        <v>44.400520249407862</v>
      </c>
      <c r="G36" s="28"/>
      <c r="H36" s="28"/>
      <c r="I36" s="377"/>
      <c r="J36" s="2"/>
      <c r="P36" s="2"/>
    </row>
    <row r="37" spans="1:16">
      <c r="A37" s="378">
        <v>36468</v>
      </c>
      <c r="B37" s="55">
        <v>46.375</v>
      </c>
      <c r="C37" s="55">
        <v>45.156199999999998</v>
      </c>
      <c r="D37" s="274">
        <f t="shared" si="3"/>
        <v>0.06</v>
      </c>
      <c r="E37" s="55">
        <f>MAX(B27:B37)</f>
        <v>47.625</v>
      </c>
      <c r="F37" s="55">
        <f t="shared" si="4"/>
        <v>44.593989034443389</v>
      </c>
      <c r="G37" s="29"/>
      <c r="H37" s="29"/>
      <c r="I37" s="379"/>
      <c r="J37" s="2"/>
      <c r="P37" s="2"/>
    </row>
    <row r="38" spans="1:16" ht="13" thickBot="1">
      <c r="A38" s="380">
        <v>36469</v>
      </c>
      <c r="B38" s="405">
        <v>46.4375</v>
      </c>
      <c r="C38" s="405">
        <v>45.25</v>
      </c>
      <c r="D38" s="404">
        <f t="shared" si="3"/>
        <v>0.06</v>
      </c>
      <c r="E38" s="405">
        <f>MAX(B27:B38)</f>
        <v>47.625</v>
      </c>
      <c r="F38" s="405">
        <f t="shared" si="4"/>
        <v>44.775849692376788</v>
      </c>
      <c r="G38" s="391"/>
      <c r="H38" s="391"/>
      <c r="I38" s="392"/>
      <c r="J38" s="2"/>
      <c r="P38" s="2"/>
    </row>
    <row r="39" spans="1:16" ht="13" thickBot="1">
      <c r="A39" s="415">
        <v>36472</v>
      </c>
      <c r="B39" s="416">
        <v>45.375</v>
      </c>
      <c r="C39" s="416">
        <v>42.1875</v>
      </c>
      <c r="D39" s="417">
        <f t="shared" si="3"/>
        <v>0.06</v>
      </c>
      <c r="E39" s="418">
        <f>MAX(B27:B39)</f>
        <v>47.625</v>
      </c>
      <c r="F39" s="418">
        <f t="shared" si="4"/>
        <v>44.94679871083418</v>
      </c>
      <c r="G39" s="419" t="s">
        <v>11</v>
      </c>
      <c r="H39" s="416"/>
      <c r="I39" s="420"/>
      <c r="J39" s="2"/>
      <c r="P39" s="2"/>
    </row>
    <row r="40" spans="1:16">
      <c r="A40" s="376">
        <v>36472</v>
      </c>
      <c r="B40" s="52">
        <v>45.375</v>
      </c>
      <c r="C40" s="52">
        <v>42.1875</v>
      </c>
      <c r="D40" s="273">
        <f>E3</f>
        <v>0.02</v>
      </c>
      <c r="E40" s="52">
        <f>MIN(C40)</f>
        <v>42.1875</v>
      </c>
      <c r="F40" s="52">
        <f>MAX(MAX(B37,B38),MAX(B27:B39))</f>
        <v>47.625</v>
      </c>
      <c r="G40" s="421" t="s">
        <v>744</v>
      </c>
      <c r="H40" s="28"/>
      <c r="I40" s="377"/>
      <c r="J40" s="2"/>
      <c r="P40" s="2"/>
    </row>
    <row r="41" spans="1:16">
      <c r="A41" s="376">
        <v>36473</v>
      </c>
      <c r="B41" s="52">
        <v>44.9375</v>
      </c>
      <c r="C41" s="52">
        <v>43.218800000000002</v>
      </c>
      <c r="D41" s="273">
        <f>IF(E41&lt;E40,MIN($E$4,D40+E$3),D40)</f>
        <v>0.02</v>
      </c>
      <c r="E41" s="52">
        <f>MIN(C40:C41)</f>
        <v>42.1875</v>
      </c>
      <c r="F41" s="52">
        <f>F40+D40*(E40-F40)</f>
        <v>47.516249999999999</v>
      </c>
      <c r="G41" s="28"/>
      <c r="H41" s="28"/>
      <c r="I41" s="377"/>
      <c r="J41" s="2"/>
      <c r="P41" s="2"/>
    </row>
    <row r="42" spans="1:16">
      <c r="A42" s="378">
        <v>36474</v>
      </c>
      <c r="B42" s="55">
        <v>44.5625</v>
      </c>
      <c r="C42" s="55">
        <v>43.218800000000002</v>
      </c>
      <c r="D42" s="274">
        <f t="shared" ref="D42:D53" si="5">IF(E42&lt;E41,MIN($E$4,D41+E$3),D41)</f>
        <v>0.02</v>
      </c>
      <c r="E42" s="55">
        <f>MIN(C40:C42)</f>
        <v>42.1875</v>
      </c>
      <c r="F42" s="55">
        <f t="shared" ref="F42:F53" si="6">MAX(MAX(B40,B41),F41+D41*(E41-F41))</f>
        <v>47.409675</v>
      </c>
      <c r="G42" s="29"/>
      <c r="H42" s="29"/>
      <c r="I42" s="379"/>
      <c r="J42" s="2"/>
      <c r="P42" s="2"/>
    </row>
    <row r="43" spans="1:16">
      <c r="A43" s="378">
        <v>36475</v>
      </c>
      <c r="B43" s="55">
        <v>45.218800000000002</v>
      </c>
      <c r="C43" s="55">
        <v>44.125</v>
      </c>
      <c r="D43" s="274">
        <f t="shared" si="5"/>
        <v>0.02</v>
      </c>
      <c r="E43" s="55">
        <f>MIN(C40:C43)</f>
        <v>42.1875</v>
      </c>
      <c r="F43" s="55">
        <f t="shared" si="6"/>
        <v>47.305231499999998</v>
      </c>
      <c r="G43" s="29"/>
      <c r="H43" s="29"/>
      <c r="I43" s="379"/>
      <c r="J43" s="2"/>
      <c r="P43" s="2"/>
    </row>
    <row r="44" spans="1:16">
      <c r="A44" s="376">
        <v>36476</v>
      </c>
      <c r="B44" s="52">
        <v>45</v>
      </c>
      <c r="C44" s="52">
        <v>43.531199999999998</v>
      </c>
      <c r="D44" s="273">
        <f t="shared" si="5"/>
        <v>0.02</v>
      </c>
      <c r="E44" s="52">
        <f>MIN(C40:C44)</f>
        <v>42.1875</v>
      </c>
      <c r="F44" s="52">
        <f t="shared" si="6"/>
        <v>47.202876869999997</v>
      </c>
      <c r="G44" s="28"/>
      <c r="H44" s="28"/>
      <c r="I44" s="377"/>
      <c r="J44" s="2"/>
      <c r="P44" s="2"/>
    </row>
    <row r="45" spans="1:16">
      <c r="A45" s="376">
        <v>36479</v>
      </c>
      <c r="B45" s="52">
        <v>44.25</v>
      </c>
      <c r="C45" s="52">
        <v>43.468800000000002</v>
      </c>
      <c r="D45" s="273">
        <f t="shared" si="5"/>
        <v>0.02</v>
      </c>
      <c r="E45" s="52">
        <f>MIN(C40:C45)</f>
        <v>42.1875</v>
      </c>
      <c r="F45" s="52">
        <f t="shared" si="6"/>
        <v>47.102569332599998</v>
      </c>
      <c r="G45" s="28"/>
      <c r="H45" s="28"/>
      <c r="I45" s="377"/>
      <c r="J45" s="2"/>
      <c r="P45" s="2"/>
    </row>
    <row r="46" spans="1:16">
      <c r="A46" s="378">
        <v>36480</v>
      </c>
      <c r="B46" s="55">
        <v>43.875</v>
      </c>
      <c r="C46" s="55">
        <v>42.9375</v>
      </c>
      <c r="D46" s="274">
        <f t="shared" si="5"/>
        <v>0.02</v>
      </c>
      <c r="E46" s="55">
        <f>MIN(C40:C46)</f>
        <v>42.1875</v>
      </c>
      <c r="F46" s="55">
        <f t="shared" si="6"/>
        <v>47.004267945948001</v>
      </c>
      <c r="G46" s="29"/>
      <c r="H46" s="29"/>
      <c r="I46" s="379"/>
      <c r="J46" s="2"/>
      <c r="P46" s="2"/>
    </row>
    <row r="47" spans="1:16">
      <c r="A47" s="378">
        <v>36481</v>
      </c>
      <c r="B47" s="55">
        <v>43.531199999999998</v>
      </c>
      <c r="C47" s="55">
        <v>42.5</v>
      </c>
      <c r="D47" s="274">
        <f t="shared" si="5"/>
        <v>0.02</v>
      </c>
      <c r="E47" s="55">
        <f>MIN(C40:C47)</f>
        <v>42.1875</v>
      </c>
      <c r="F47" s="55">
        <f t="shared" si="6"/>
        <v>46.907932587029045</v>
      </c>
      <c r="G47" s="29"/>
      <c r="H47" s="29"/>
      <c r="I47" s="379"/>
      <c r="J47" s="2"/>
      <c r="P47" s="2"/>
    </row>
    <row r="48" spans="1:16">
      <c r="A48" s="376">
        <v>36482</v>
      </c>
      <c r="B48" s="52">
        <v>42.906199999999998</v>
      </c>
      <c r="C48" s="52">
        <v>42.25</v>
      </c>
      <c r="D48" s="273">
        <f t="shared" si="5"/>
        <v>0.02</v>
      </c>
      <c r="E48" s="52">
        <f>MIN(C40:C48)</f>
        <v>42.1875</v>
      </c>
      <c r="F48" s="52">
        <f t="shared" si="6"/>
        <v>46.813523935288465</v>
      </c>
      <c r="G48" s="28"/>
      <c r="H48" s="28"/>
      <c r="I48" s="377"/>
      <c r="J48" s="2"/>
      <c r="P48" s="2"/>
    </row>
    <row r="49" spans="1:16">
      <c r="A49" s="376">
        <v>36483</v>
      </c>
      <c r="B49" s="52">
        <v>43.281199999999998</v>
      </c>
      <c r="C49" s="52">
        <v>42.1875</v>
      </c>
      <c r="D49" s="273">
        <f t="shared" si="5"/>
        <v>0.02</v>
      </c>
      <c r="E49" s="52">
        <f>MIN(C40:C49)</f>
        <v>42.1875</v>
      </c>
      <c r="F49" s="52">
        <f t="shared" si="6"/>
        <v>46.721003456582693</v>
      </c>
      <c r="G49" s="28"/>
      <c r="H49" s="28"/>
      <c r="I49" s="377"/>
      <c r="J49" s="2"/>
      <c r="P49" s="2"/>
    </row>
    <row r="50" spans="1:16">
      <c r="A50" s="378">
        <v>36486</v>
      </c>
      <c r="B50" s="55">
        <v>45.1875</v>
      </c>
      <c r="C50" s="55">
        <v>44.218800000000002</v>
      </c>
      <c r="D50" s="274">
        <f t="shared" si="5"/>
        <v>0.02</v>
      </c>
      <c r="E50" s="55">
        <f>MIN(C40:C50)</f>
        <v>42.1875</v>
      </c>
      <c r="F50" s="55">
        <f t="shared" si="6"/>
        <v>46.630333387451039</v>
      </c>
      <c r="G50" s="29"/>
      <c r="H50" s="29"/>
      <c r="I50" s="379"/>
      <c r="J50" s="2"/>
      <c r="P50" s="2"/>
    </row>
    <row r="51" spans="1:16">
      <c r="A51" s="378">
        <v>36487</v>
      </c>
      <c r="B51" s="55">
        <v>45.6875</v>
      </c>
      <c r="C51" s="55">
        <v>44.1875</v>
      </c>
      <c r="D51" s="274">
        <f t="shared" si="5"/>
        <v>0.02</v>
      </c>
      <c r="E51" s="55">
        <f>MIN(C40:C51)</f>
        <v>42.1875</v>
      </c>
      <c r="F51" s="55">
        <f t="shared" si="6"/>
        <v>46.541476719702018</v>
      </c>
      <c r="G51" s="29"/>
      <c r="H51" s="29"/>
      <c r="I51" s="379"/>
      <c r="J51" s="2"/>
      <c r="P51" s="2"/>
    </row>
    <row r="52" spans="1:16" ht="13" thickBot="1">
      <c r="A52" s="422">
        <v>36488</v>
      </c>
      <c r="B52" s="423">
        <v>46.125</v>
      </c>
      <c r="C52" s="423">
        <v>44.75</v>
      </c>
      <c r="D52" s="424">
        <f t="shared" si="5"/>
        <v>0.02</v>
      </c>
      <c r="E52" s="423">
        <f>MIN(C40:C52)</f>
        <v>42.1875</v>
      </c>
      <c r="F52" s="423">
        <f t="shared" si="6"/>
        <v>46.454397185307975</v>
      </c>
      <c r="G52" s="425"/>
      <c r="H52" s="425"/>
      <c r="I52" s="426"/>
      <c r="J52" s="2"/>
      <c r="P52" s="2"/>
    </row>
    <row r="53" spans="1:16" ht="13" thickBot="1">
      <c r="A53" s="427">
        <v>36490</v>
      </c>
      <c r="B53" s="416">
        <v>46.6875</v>
      </c>
      <c r="C53" s="416">
        <v>45.5</v>
      </c>
      <c r="D53" s="417">
        <f t="shared" si="5"/>
        <v>0.02</v>
      </c>
      <c r="E53" s="418">
        <f>MIN(C40:C53)</f>
        <v>42.1875</v>
      </c>
      <c r="F53" s="418">
        <f t="shared" si="6"/>
        <v>46.369059241601818</v>
      </c>
      <c r="G53" s="419" t="s">
        <v>12</v>
      </c>
      <c r="H53" s="419"/>
      <c r="I53" s="419"/>
      <c r="J53" s="2"/>
      <c r="P53" s="2"/>
    </row>
    <row r="54" spans="1:16">
      <c r="A54" s="376">
        <v>36490</v>
      </c>
      <c r="B54" s="52">
        <v>46.6875</v>
      </c>
      <c r="C54" s="52">
        <v>45.5</v>
      </c>
      <c r="D54" s="273">
        <f>E3</f>
        <v>0.02</v>
      </c>
      <c r="E54" s="52">
        <f>MAX(B54)</f>
        <v>46.6875</v>
      </c>
      <c r="F54" s="52">
        <f>MIN(MIN(C51,C52),MIN(C40:C53))</f>
        <v>42.1875</v>
      </c>
      <c r="G54" s="421" t="s">
        <v>10</v>
      </c>
      <c r="H54" s="28"/>
      <c r="I54" s="377"/>
      <c r="J54" s="2"/>
      <c r="P54" s="2"/>
    </row>
    <row r="55" spans="1:16">
      <c r="A55" s="376">
        <v>36493</v>
      </c>
      <c r="B55" s="52">
        <v>46.031199999999998</v>
      </c>
      <c r="C55" s="52">
        <v>44.75</v>
      </c>
      <c r="D55" s="273">
        <f t="shared" ref="D55:D78" si="7">IF(E55&gt;E54,MIN($E$4,D54+E$3),D54)</f>
        <v>0.02</v>
      </c>
      <c r="E55" s="52">
        <f>MAX(B54:B55)</f>
        <v>46.6875</v>
      </c>
      <c r="F55" s="52">
        <f>MIN(MIN(C54,C52),F54+D54*(E54-F54))</f>
        <v>42.277500000000003</v>
      </c>
      <c r="G55" s="28"/>
      <c r="H55" s="28"/>
      <c r="I55" s="377"/>
      <c r="J55" s="2"/>
      <c r="P55" s="2"/>
    </row>
    <row r="56" spans="1:16">
      <c r="A56" s="378">
        <v>36494</v>
      </c>
      <c r="B56" s="55">
        <v>46.4375</v>
      </c>
      <c r="C56" s="55">
        <v>44.781199999999998</v>
      </c>
      <c r="D56" s="274">
        <f t="shared" si="7"/>
        <v>0.02</v>
      </c>
      <c r="E56" s="55">
        <f>MAX(B54:B56)</f>
        <v>46.6875</v>
      </c>
      <c r="F56" s="55">
        <f t="shared" ref="F56:F66" si="8">MIN(MIN(C54:C55),F55+D55*(E55-F55))</f>
        <v>42.365700000000004</v>
      </c>
      <c r="G56" s="29"/>
      <c r="H56" s="29"/>
      <c r="I56" s="379"/>
      <c r="J56" s="2"/>
      <c r="P56" s="2"/>
    </row>
    <row r="57" spans="1:16">
      <c r="A57" s="378">
        <v>36495</v>
      </c>
      <c r="B57" s="55">
        <v>46.968800000000002</v>
      </c>
      <c r="C57" s="55">
        <v>45.4375</v>
      </c>
      <c r="D57" s="274">
        <f t="shared" si="7"/>
        <v>0.04</v>
      </c>
      <c r="E57" s="55">
        <f>MAX(B54:B57)</f>
        <v>46.968800000000002</v>
      </c>
      <c r="F57" s="55">
        <f t="shared" si="8"/>
        <v>42.452136000000003</v>
      </c>
      <c r="G57" s="29"/>
      <c r="H57" s="29"/>
      <c r="I57" s="379"/>
      <c r="J57" s="2"/>
      <c r="P57" s="2"/>
    </row>
    <row r="58" spans="1:16">
      <c r="A58" s="376">
        <v>36496</v>
      </c>
      <c r="B58" s="52">
        <v>47.625</v>
      </c>
      <c r="C58" s="52">
        <v>46.4375</v>
      </c>
      <c r="D58" s="273">
        <f t="shared" si="7"/>
        <v>0.06</v>
      </c>
      <c r="E58" s="52">
        <f>MAX(B54:B58)</f>
        <v>47.625</v>
      </c>
      <c r="F58" s="52">
        <f t="shared" si="8"/>
        <v>42.632802560000002</v>
      </c>
      <c r="G58" s="28"/>
      <c r="H58" s="28"/>
      <c r="I58" s="377"/>
      <c r="J58" s="2"/>
      <c r="P58" s="2"/>
    </row>
    <row r="59" spans="1:16">
      <c r="A59" s="376">
        <v>36497</v>
      </c>
      <c r="B59" s="52">
        <v>48.5625</v>
      </c>
      <c r="C59" s="52">
        <v>47.867199999999997</v>
      </c>
      <c r="D59" s="273">
        <f t="shared" si="7"/>
        <v>0.08</v>
      </c>
      <c r="E59" s="52">
        <f>MAX(B54:B59)</f>
        <v>48.5625</v>
      </c>
      <c r="F59" s="52">
        <f t="shared" si="8"/>
        <v>42.932334406400003</v>
      </c>
      <c r="G59" s="28"/>
      <c r="H59" s="28"/>
      <c r="I59" s="377"/>
      <c r="J59" s="2"/>
      <c r="P59" s="2"/>
    </row>
    <row r="60" spans="1:16">
      <c r="A60" s="378">
        <v>36500</v>
      </c>
      <c r="B60" s="55">
        <v>48.593800000000002</v>
      </c>
      <c r="C60" s="55">
        <v>47.375</v>
      </c>
      <c r="D60" s="274">
        <f t="shared" si="7"/>
        <v>0.1</v>
      </c>
      <c r="E60" s="55">
        <f>MAX(B54:B60)</f>
        <v>48.593800000000002</v>
      </c>
      <c r="F60" s="55">
        <f t="shared" si="8"/>
        <v>43.382747653888003</v>
      </c>
      <c r="G60" s="29"/>
      <c r="H60" s="29"/>
      <c r="I60" s="379"/>
      <c r="J60" s="2"/>
      <c r="P60" s="2"/>
    </row>
    <row r="61" spans="1:16">
      <c r="A61" s="378">
        <v>36501</v>
      </c>
      <c r="B61" s="55">
        <v>47.4375</v>
      </c>
      <c r="C61" s="55">
        <v>46.4375</v>
      </c>
      <c r="D61" s="274">
        <f t="shared" si="7"/>
        <v>0.1</v>
      </c>
      <c r="E61" s="55">
        <f>MAX(B54:B61)</f>
        <v>48.593800000000002</v>
      </c>
      <c r="F61" s="55">
        <f t="shared" si="8"/>
        <v>43.903852888499202</v>
      </c>
      <c r="G61" s="29"/>
      <c r="H61" s="29"/>
      <c r="I61" s="379"/>
      <c r="J61" s="2"/>
      <c r="P61" s="2"/>
    </row>
    <row r="62" spans="1:16">
      <c r="A62" s="376">
        <v>36502</v>
      </c>
      <c r="B62" s="52">
        <v>47.156199999999998</v>
      </c>
      <c r="C62" s="52">
        <v>45.843800000000002</v>
      </c>
      <c r="D62" s="273">
        <f t="shared" si="7"/>
        <v>0.1</v>
      </c>
      <c r="E62" s="52">
        <f>MAX(B54:B62)</f>
        <v>48.593800000000002</v>
      </c>
      <c r="F62" s="52">
        <f t="shared" si="8"/>
        <v>44.372847599649283</v>
      </c>
      <c r="G62" s="28"/>
      <c r="H62" s="28"/>
      <c r="I62" s="377"/>
      <c r="J62" s="2"/>
      <c r="P62" s="2"/>
    </row>
    <row r="63" spans="1:16">
      <c r="A63" s="376">
        <v>36503</v>
      </c>
      <c r="B63" s="52">
        <v>46.656199999999998</v>
      </c>
      <c r="C63" s="52">
        <v>45.718800000000002</v>
      </c>
      <c r="D63" s="273">
        <f t="shared" si="7"/>
        <v>0.1</v>
      </c>
      <c r="E63" s="52">
        <f>MAX(B54:B63)</f>
        <v>48.593800000000002</v>
      </c>
      <c r="F63" s="52">
        <f t="shared" si="8"/>
        <v>44.794942839684353</v>
      </c>
      <c r="G63" s="28"/>
      <c r="H63" s="28"/>
      <c r="I63" s="377"/>
      <c r="J63" s="2"/>
      <c r="P63" s="2"/>
    </row>
    <row r="64" spans="1:16">
      <c r="A64" s="378">
        <v>36504</v>
      </c>
      <c r="B64" s="55">
        <v>47.0625</v>
      </c>
      <c r="C64" s="55">
        <v>46.125</v>
      </c>
      <c r="D64" s="274">
        <f t="shared" si="7"/>
        <v>0.1</v>
      </c>
      <c r="E64" s="55">
        <f>MAX(B54:B64)</f>
        <v>48.593800000000002</v>
      </c>
      <c r="F64" s="55">
        <f t="shared" si="8"/>
        <v>45.174828555715919</v>
      </c>
      <c r="G64" s="29"/>
      <c r="H64" s="29"/>
      <c r="I64" s="379"/>
      <c r="J64" s="2"/>
      <c r="P64" s="2"/>
    </row>
    <row r="65" spans="1:16">
      <c r="A65" s="378">
        <v>36507</v>
      </c>
      <c r="B65" s="55">
        <v>48.468800000000002</v>
      </c>
      <c r="C65" s="55">
        <v>46.375</v>
      </c>
      <c r="D65" s="274">
        <f t="shared" si="7"/>
        <v>0.1</v>
      </c>
      <c r="E65" s="55">
        <f>MAX(B54:B65)</f>
        <v>48.593800000000002</v>
      </c>
      <c r="F65" s="55">
        <f t="shared" si="8"/>
        <v>45.516725700144328</v>
      </c>
      <c r="G65" s="29"/>
      <c r="H65" s="29"/>
      <c r="I65" s="379"/>
      <c r="J65" s="2"/>
      <c r="P65" s="2"/>
    </row>
    <row r="66" spans="1:16" ht="13" thickBot="1">
      <c r="A66" s="376">
        <v>36508</v>
      </c>
      <c r="B66" s="52">
        <v>50.5625</v>
      </c>
      <c r="C66" s="52">
        <v>47.656199999999998</v>
      </c>
      <c r="D66" s="273">
        <f t="shared" si="7"/>
        <v>0.12000000000000001</v>
      </c>
      <c r="E66" s="52">
        <f>MAX(B54:B66)</f>
        <v>50.5625</v>
      </c>
      <c r="F66" s="52">
        <f t="shared" si="8"/>
        <v>45.824433130129897</v>
      </c>
      <c r="G66" s="28"/>
      <c r="H66" s="28"/>
      <c r="I66" s="377"/>
      <c r="J66" s="2"/>
      <c r="P66" s="2"/>
    </row>
    <row r="67" spans="1:16" ht="13" thickBot="1">
      <c r="A67" s="376">
        <v>36509</v>
      </c>
      <c r="B67" s="52">
        <v>54.375</v>
      </c>
      <c r="C67" s="52">
        <v>49.25</v>
      </c>
      <c r="D67" s="273">
        <f t="shared" si="7"/>
        <v>0.14000000000000001</v>
      </c>
      <c r="E67" s="64">
        <f>MAX(B54:B67)</f>
        <v>54.375</v>
      </c>
      <c r="F67" s="428">
        <f>MIN(MIN(C65:C66),F66+D66*(E66-F66))</f>
        <v>46.375</v>
      </c>
      <c r="G67" s="429" t="s">
        <v>13</v>
      </c>
      <c r="H67" s="28"/>
      <c r="I67" s="377"/>
      <c r="J67" s="2"/>
      <c r="P67" s="2"/>
    </row>
    <row r="68" spans="1:16">
      <c r="A68" s="378">
        <v>36510</v>
      </c>
      <c r="B68" s="55">
        <v>57.5</v>
      </c>
      <c r="C68" s="55">
        <v>54.468800000000002</v>
      </c>
      <c r="D68" s="274">
        <f t="shared" si="7"/>
        <v>0.16</v>
      </c>
      <c r="E68" s="55">
        <f>MAX(B54:B68)</f>
        <v>57.5</v>
      </c>
      <c r="F68" s="55">
        <f t="shared" ref="F68:F79" si="9">MIN(MIN(C66:C67),F67+D67*(E67-F67))</f>
        <v>47.494999999999997</v>
      </c>
      <c r="G68" s="29"/>
      <c r="H68" s="29"/>
      <c r="I68" s="379"/>
      <c r="J68" s="2"/>
      <c r="P68" s="2"/>
    </row>
    <row r="69" spans="1:16">
      <c r="A69" s="378">
        <v>36511</v>
      </c>
      <c r="B69" s="55">
        <v>58.5625</v>
      </c>
      <c r="C69" s="55">
        <v>56.8125</v>
      </c>
      <c r="D69" s="274">
        <f t="shared" si="7"/>
        <v>0.18</v>
      </c>
      <c r="E69" s="55">
        <f>MAX(B54:B69)</f>
        <v>58.5625</v>
      </c>
      <c r="F69" s="55">
        <f t="shared" si="9"/>
        <v>49.095799999999997</v>
      </c>
      <c r="G69" s="29"/>
      <c r="H69" s="29"/>
      <c r="I69" s="379"/>
      <c r="J69" s="2"/>
      <c r="P69" s="2"/>
    </row>
    <row r="70" spans="1:16">
      <c r="A70" s="376">
        <v>36514</v>
      </c>
      <c r="B70" s="52">
        <v>57.5</v>
      </c>
      <c r="C70" s="52">
        <v>55.593800000000002</v>
      </c>
      <c r="D70" s="273">
        <f t="shared" si="7"/>
        <v>0.18</v>
      </c>
      <c r="E70" s="52">
        <f>MAX(B54:B70)</f>
        <v>58.5625</v>
      </c>
      <c r="F70" s="52">
        <f t="shared" si="9"/>
        <v>50.799805999999997</v>
      </c>
      <c r="G70" s="28"/>
      <c r="H70" s="28"/>
      <c r="I70" s="377"/>
      <c r="J70" s="2"/>
      <c r="P70" s="2"/>
    </row>
    <row r="71" spans="1:16">
      <c r="A71" s="376">
        <v>36515</v>
      </c>
      <c r="B71" s="52">
        <v>58.3125</v>
      </c>
      <c r="C71" s="52">
        <v>55.3125</v>
      </c>
      <c r="D71" s="273">
        <f t="shared" si="7"/>
        <v>0.18</v>
      </c>
      <c r="E71" s="52">
        <f>MAX(B54:B71)</f>
        <v>58.5625</v>
      </c>
      <c r="F71" s="52">
        <f t="shared" si="9"/>
        <v>52.197090919999994</v>
      </c>
      <c r="G71" s="28"/>
      <c r="H71" s="28"/>
      <c r="I71" s="377"/>
      <c r="J71" s="2"/>
      <c r="P71" s="2"/>
    </row>
    <row r="72" spans="1:16">
      <c r="A72" s="378">
        <v>36516</v>
      </c>
      <c r="B72" s="55">
        <v>59</v>
      </c>
      <c r="C72" s="55">
        <v>57.5625</v>
      </c>
      <c r="D72" s="274">
        <f t="shared" si="7"/>
        <v>0.19999999999999998</v>
      </c>
      <c r="E72" s="55">
        <f>MAX(B54:B72)</f>
        <v>59</v>
      </c>
      <c r="F72" s="55">
        <f t="shared" si="9"/>
        <v>53.342864554399995</v>
      </c>
      <c r="G72" s="29"/>
      <c r="H72" s="29"/>
      <c r="I72" s="379"/>
      <c r="J72" s="2"/>
      <c r="P72" s="2"/>
    </row>
    <row r="73" spans="1:16">
      <c r="A73" s="378">
        <v>36517</v>
      </c>
      <c r="B73" s="55">
        <v>59.625</v>
      </c>
      <c r="C73" s="55">
        <v>58.375</v>
      </c>
      <c r="D73" s="274">
        <f t="shared" si="7"/>
        <v>0.2</v>
      </c>
      <c r="E73" s="55">
        <f>MAX(B54:B73)</f>
        <v>59.625</v>
      </c>
      <c r="F73" s="55">
        <f t="shared" si="9"/>
        <v>54.474291643519997</v>
      </c>
      <c r="G73" s="29"/>
      <c r="H73" s="29"/>
      <c r="I73" s="379"/>
      <c r="J73" s="2"/>
      <c r="P73" s="2"/>
    </row>
    <row r="74" spans="1:16">
      <c r="A74" s="376">
        <v>36521</v>
      </c>
      <c r="B74" s="52">
        <v>59.625</v>
      </c>
      <c r="C74" s="52">
        <v>58.0625</v>
      </c>
      <c r="D74" s="273">
        <f t="shared" si="7"/>
        <v>0.2</v>
      </c>
      <c r="E74" s="52">
        <f>MAX(B54:B74)</f>
        <v>59.625</v>
      </c>
      <c r="F74" s="52">
        <f t="shared" si="9"/>
        <v>55.504433314815998</v>
      </c>
      <c r="G74" s="28"/>
      <c r="H74" s="28"/>
      <c r="I74" s="377"/>
      <c r="J74" s="2"/>
      <c r="P74" s="2"/>
    </row>
    <row r="75" spans="1:16">
      <c r="A75" s="376">
        <v>36522</v>
      </c>
      <c r="B75" s="52">
        <v>59.406199999999998</v>
      </c>
      <c r="C75" s="52">
        <v>58.531199999999998</v>
      </c>
      <c r="D75" s="273">
        <f t="shared" si="7"/>
        <v>0.2</v>
      </c>
      <c r="E75" s="52">
        <f>MAX(B54:B75)</f>
        <v>59.625</v>
      </c>
      <c r="F75" s="52">
        <f t="shared" si="9"/>
        <v>56.328546651852797</v>
      </c>
      <c r="G75" s="28"/>
      <c r="H75" s="28"/>
      <c r="I75" s="377"/>
      <c r="J75" s="2"/>
      <c r="P75" s="2"/>
    </row>
    <row r="76" spans="1:16">
      <c r="A76" s="378">
        <v>36523</v>
      </c>
      <c r="B76" s="55">
        <v>59.1875</v>
      </c>
      <c r="C76" s="55">
        <v>58.406199999999998</v>
      </c>
      <c r="D76" s="274">
        <f t="shared" si="7"/>
        <v>0.2</v>
      </c>
      <c r="E76" s="55">
        <f>MAX(B54:B76)</f>
        <v>59.625</v>
      </c>
      <c r="F76" s="55">
        <f t="shared" si="9"/>
        <v>56.987837321482239</v>
      </c>
      <c r="G76" s="29"/>
      <c r="H76" s="29"/>
      <c r="I76" s="379"/>
      <c r="J76" s="2"/>
      <c r="P76" s="2"/>
    </row>
    <row r="77" spans="1:16">
      <c r="A77" s="378">
        <v>36524</v>
      </c>
      <c r="B77" s="55">
        <v>59.968800000000002</v>
      </c>
      <c r="C77" s="55">
        <v>58.5625</v>
      </c>
      <c r="D77" s="274">
        <f t="shared" si="7"/>
        <v>0.2</v>
      </c>
      <c r="E77" s="55">
        <f>MAX(B54:B77)</f>
        <v>59.968800000000002</v>
      </c>
      <c r="F77" s="55">
        <f t="shared" si="9"/>
        <v>57.515269857185793</v>
      </c>
      <c r="G77" s="29"/>
      <c r="H77" s="29"/>
      <c r="I77" s="379"/>
      <c r="J77" s="2"/>
      <c r="P77" s="2"/>
    </row>
    <row r="78" spans="1:16" ht="13" thickBot="1">
      <c r="A78" s="422">
        <v>36525</v>
      </c>
      <c r="B78" s="423">
        <v>58.875</v>
      </c>
      <c r="C78" s="423">
        <v>58.125</v>
      </c>
      <c r="D78" s="424">
        <f t="shared" si="7"/>
        <v>0.2</v>
      </c>
      <c r="E78" s="423">
        <f>MAX(B54:B78)</f>
        <v>59.968800000000002</v>
      </c>
      <c r="F78" s="423">
        <f t="shared" si="9"/>
        <v>58.005975885748633</v>
      </c>
      <c r="G78" s="425"/>
      <c r="H78" s="425"/>
      <c r="I78" s="426"/>
      <c r="J78" s="2"/>
      <c r="P78" s="2"/>
    </row>
    <row r="79" spans="1:16" ht="13" thickBot="1">
      <c r="A79" s="427">
        <v>36528</v>
      </c>
      <c r="B79" s="416">
        <v>59.3125</v>
      </c>
      <c r="C79" s="416">
        <v>56</v>
      </c>
      <c r="D79" s="417">
        <f>IF(E79&gt;E78,MIN($E$4,D78+E$3),D78)</f>
        <v>0.2</v>
      </c>
      <c r="E79" s="418">
        <f>MAX(B54:B79)</f>
        <v>59.968800000000002</v>
      </c>
      <c r="F79" s="418">
        <f t="shared" si="9"/>
        <v>58.125</v>
      </c>
      <c r="G79" s="419" t="s">
        <v>14</v>
      </c>
      <c r="H79" s="419"/>
      <c r="I79" s="419"/>
      <c r="J79" s="2"/>
      <c r="P79" s="2"/>
    </row>
    <row r="80" spans="1:16">
      <c r="A80" s="376">
        <v>36528</v>
      </c>
      <c r="B80" s="52">
        <v>59.3125</v>
      </c>
      <c r="C80" s="52">
        <v>56</v>
      </c>
      <c r="D80" s="273">
        <v>0.02</v>
      </c>
      <c r="E80" s="52">
        <f>MIN(C80)</f>
        <v>56</v>
      </c>
      <c r="F80" s="52">
        <f>MAX(MAX(B77,B78),MAX(B54:B79))</f>
        <v>59.968800000000002</v>
      </c>
      <c r="G80" s="421" t="s">
        <v>744</v>
      </c>
      <c r="H80" s="28"/>
      <c r="I80" s="377"/>
      <c r="J80" s="2"/>
      <c r="P80" s="2"/>
    </row>
    <row r="81" spans="1:16">
      <c r="A81" s="376">
        <v>36529</v>
      </c>
      <c r="B81" s="52">
        <v>58.5625</v>
      </c>
      <c r="C81" s="52">
        <v>56.125</v>
      </c>
      <c r="D81" s="273">
        <f t="shared" ref="D81:D89" si="10">IF(E81&lt;E80,MIN($E$4,D80+E$3),D80)</f>
        <v>0.02</v>
      </c>
      <c r="E81" s="52">
        <f>MIN(C80:C81)</f>
        <v>56</v>
      </c>
      <c r="F81" s="52">
        <f>F80+D80*(E80-F80)</f>
        <v>59.889423999999998</v>
      </c>
      <c r="G81" s="28"/>
      <c r="H81" s="28"/>
      <c r="I81" s="377"/>
      <c r="J81" s="2"/>
      <c r="P81" s="2"/>
    </row>
    <row r="82" spans="1:16">
      <c r="A82" s="378">
        <v>36530</v>
      </c>
      <c r="B82" s="55">
        <v>58.1875</v>
      </c>
      <c r="C82" s="55">
        <v>54.6875</v>
      </c>
      <c r="D82" s="274">
        <f t="shared" si="10"/>
        <v>0.04</v>
      </c>
      <c r="E82" s="55">
        <f>MIN(C80:C82)</f>
        <v>54.6875</v>
      </c>
      <c r="F82" s="55">
        <f t="shared" ref="F82:F89" si="11">MAX(MAX(B80,B81),F81+D81*(E81-F81))</f>
        <v>59.811635519999996</v>
      </c>
      <c r="G82" s="29"/>
      <c r="H82" s="29"/>
      <c r="I82" s="379"/>
      <c r="J82" s="2"/>
      <c r="P82" s="2"/>
    </row>
    <row r="83" spans="1:16">
      <c r="A83" s="378">
        <v>36531</v>
      </c>
      <c r="B83" s="55">
        <v>56.9375</v>
      </c>
      <c r="C83" s="55">
        <v>54.1875</v>
      </c>
      <c r="D83" s="274">
        <f t="shared" si="10"/>
        <v>0.06</v>
      </c>
      <c r="E83" s="55">
        <f>MIN(C80:C83)</f>
        <v>54.1875</v>
      </c>
      <c r="F83" s="55">
        <f t="shared" si="11"/>
        <v>59.606670099199995</v>
      </c>
      <c r="G83" s="29"/>
      <c r="H83" s="29"/>
      <c r="I83" s="379"/>
      <c r="J83" s="2"/>
      <c r="P83" s="2"/>
    </row>
    <row r="84" spans="1:16">
      <c r="A84" s="376">
        <v>36532</v>
      </c>
      <c r="B84" s="52">
        <v>56.125</v>
      </c>
      <c r="C84" s="52">
        <v>53.656199999999998</v>
      </c>
      <c r="D84" s="273">
        <f t="shared" si="10"/>
        <v>0.08</v>
      </c>
      <c r="E84" s="52">
        <f>MIN(C80:C84)</f>
        <v>53.656199999999998</v>
      </c>
      <c r="F84" s="52">
        <f t="shared" si="11"/>
        <v>59.281519893247996</v>
      </c>
      <c r="G84" s="28"/>
      <c r="H84" s="28"/>
      <c r="I84" s="377"/>
      <c r="J84" s="2"/>
      <c r="P84" s="2"/>
    </row>
    <row r="85" spans="1:16">
      <c r="A85" s="376">
        <v>36535</v>
      </c>
      <c r="B85" s="52">
        <v>56.843800000000002</v>
      </c>
      <c r="C85" s="52">
        <v>55.6875</v>
      </c>
      <c r="D85" s="273">
        <f t="shared" si="10"/>
        <v>0.08</v>
      </c>
      <c r="E85" s="52">
        <f>MIN(C80:C85)</f>
        <v>53.656199999999998</v>
      </c>
      <c r="F85" s="52">
        <f t="shared" si="11"/>
        <v>58.831494301788155</v>
      </c>
      <c r="G85" s="28"/>
      <c r="H85" s="28"/>
      <c r="I85" s="377"/>
      <c r="J85" s="2"/>
      <c r="P85" s="2"/>
    </row>
    <row r="86" spans="1:16">
      <c r="A86" s="378">
        <v>36536</v>
      </c>
      <c r="B86" s="55">
        <v>57.125</v>
      </c>
      <c r="C86" s="55">
        <v>54.343800000000002</v>
      </c>
      <c r="D86" s="274">
        <f t="shared" si="10"/>
        <v>0.08</v>
      </c>
      <c r="E86" s="55">
        <f>MIN(C80:C86)</f>
        <v>53.656199999999998</v>
      </c>
      <c r="F86" s="55">
        <f t="shared" si="11"/>
        <v>58.417470757645106</v>
      </c>
      <c r="G86" s="29"/>
      <c r="H86" s="29"/>
      <c r="I86" s="379"/>
      <c r="J86" s="2"/>
      <c r="P86" s="2"/>
    </row>
    <row r="87" spans="1:16">
      <c r="A87" s="378">
        <v>36537</v>
      </c>
      <c r="B87" s="55">
        <v>54.4375</v>
      </c>
      <c r="C87" s="55">
        <v>52.218800000000002</v>
      </c>
      <c r="D87" s="274">
        <f t="shared" si="10"/>
        <v>0.1</v>
      </c>
      <c r="E87" s="55">
        <f>MIN(C80:C87)</f>
        <v>52.218800000000002</v>
      </c>
      <c r="F87" s="55">
        <f t="shared" si="11"/>
        <v>58.0365690970335</v>
      </c>
      <c r="G87" s="29"/>
      <c r="H87" s="29"/>
      <c r="I87" s="379"/>
      <c r="J87" s="2"/>
      <c r="P87" s="2"/>
    </row>
    <row r="88" spans="1:16" ht="13" thickBot="1">
      <c r="A88" s="422">
        <v>36538</v>
      </c>
      <c r="B88" s="423">
        <v>54.3125</v>
      </c>
      <c r="C88" s="423">
        <v>50.75</v>
      </c>
      <c r="D88" s="424">
        <f t="shared" si="10"/>
        <v>0.12000000000000001</v>
      </c>
      <c r="E88" s="423">
        <f>MIN(C80:C88)</f>
        <v>50.75</v>
      </c>
      <c r="F88" s="423">
        <f t="shared" si="11"/>
        <v>57.454792187330149</v>
      </c>
      <c r="G88" s="425"/>
      <c r="H88" s="425"/>
      <c r="I88" s="426"/>
      <c r="J88" s="2"/>
      <c r="P88" s="2"/>
    </row>
    <row r="89" spans="1:16" ht="13" thickBot="1">
      <c r="A89" s="427">
        <v>36539</v>
      </c>
      <c r="B89" s="416">
        <v>56.968800000000002</v>
      </c>
      <c r="C89" s="416">
        <v>52.875</v>
      </c>
      <c r="D89" s="417">
        <f t="shared" si="10"/>
        <v>0.12000000000000001</v>
      </c>
      <c r="E89" s="418">
        <f>MIN(C80:C89)</f>
        <v>50.75</v>
      </c>
      <c r="F89" s="418">
        <f t="shared" si="11"/>
        <v>56.650217124850528</v>
      </c>
      <c r="G89" s="419" t="s">
        <v>15</v>
      </c>
      <c r="H89" s="419"/>
      <c r="I89" s="419"/>
      <c r="J89" s="2"/>
      <c r="P89" s="2"/>
    </row>
    <row r="90" spans="1:16" ht="13" thickBot="1">
      <c r="A90" s="376">
        <v>36539</v>
      </c>
      <c r="B90" s="52">
        <v>56.968800000000002</v>
      </c>
      <c r="C90" s="52">
        <v>52.875</v>
      </c>
      <c r="D90" s="273">
        <f>E3</f>
        <v>0.02</v>
      </c>
      <c r="E90" s="52">
        <f>MAX(B90)</f>
        <v>56.968800000000002</v>
      </c>
      <c r="F90" s="52">
        <f>MIN(MIN(C87,C88),MIN(C80:C89))</f>
        <v>50.75</v>
      </c>
      <c r="G90" s="421" t="s">
        <v>10</v>
      </c>
      <c r="H90" s="28"/>
      <c r="I90" s="377"/>
      <c r="J90" s="2"/>
      <c r="P90" s="2"/>
    </row>
    <row r="91" spans="1:16" ht="13" thickBot="1">
      <c r="A91" s="376">
        <v>36543</v>
      </c>
      <c r="B91" s="52">
        <v>58.031199999999998</v>
      </c>
      <c r="C91" s="52">
        <v>55.875</v>
      </c>
      <c r="D91" s="273">
        <f>IF(E91&gt;E90,MIN($E$4,D90+E$3),D90)</f>
        <v>0.04</v>
      </c>
      <c r="E91" s="64">
        <f>MAX(B90:B91)</f>
        <v>58.031199999999998</v>
      </c>
      <c r="F91" s="428">
        <f>MIN(MIN(C90,C88),F90+D90*(E90-F90))</f>
        <v>50.75</v>
      </c>
      <c r="G91" s="429" t="s">
        <v>13</v>
      </c>
      <c r="H91" s="28"/>
      <c r="I91" s="377"/>
      <c r="J91" s="2"/>
      <c r="P91" s="2"/>
    </row>
    <row r="92" spans="1:16">
      <c r="A92" s="378">
        <v>36544</v>
      </c>
      <c r="B92" s="55">
        <v>55.75</v>
      </c>
      <c r="C92" s="55">
        <v>53</v>
      </c>
      <c r="D92" s="274">
        <f>IF(E92&gt;E91,MIN($E$4,D91+E$3),D91)</f>
        <v>0.04</v>
      </c>
      <c r="E92" s="55">
        <f>MAX(B90:B92)</f>
        <v>58.031199999999998</v>
      </c>
      <c r="F92" s="55">
        <f>MIN(MIN(C90:C91),F91+D91*(E91-F91))</f>
        <v>51.041248000000003</v>
      </c>
      <c r="G92" s="29"/>
      <c r="H92" s="29"/>
      <c r="I92" s="379"/>
      <c r="J92" s="2"/>
      <c r="P92" s="2"/>
    </row>
    <row r="93" spans="1:16">
      <c r="A93" s="378">
        <v>36545</v>
      </c>
      <c r="B93" s="55">
        <v>54.843800000000002</v>
      </c>
      <c r="C93" s="55">
        <v>52.9375</v>
      </c>
      <c r="D93" s="274">
        <f>IF(E93&gt;E92,MIN($E$4,D92+E$3),D92)</f>
        <v>0.04</v>
      </c>
      <c r="E93" s="55">
        <f>MAX(B90:B93)</f>
        <v>58.031199999999998</v>
      </c>
      <c r="F93" s="55">
        <f>MIN(MIN(C91:C92),F92+D92*(E92-F92))</f>
        <v>51.320846080000003</v>
      </c>
      <c r="G93" s="29"/>
      <c r="H93" s="29"/>
      <c r="I93" s="379"/>
      <c r="J93" s="2"/>
      <c r="P93" s="2"/>
    </row>
    <row r="94" spans="1:16" ht="13" thickBot="1">
      <c r="A94" s="422">
        <v>36546</v>
      </c>
      <c r="B94" s="423">
        <v>53.625</v>
      </c>
      <c r="C94" s="423">
        <v>51.625</v>
      </c>
      <c r="D94" s="424">
        <f>IF(E94&gt;E93,MIN($E$4,D93+E$3),D93)</f>
        <v>0.04</v>
      </c>
      <c r="E94" s="423">
        <f>MAX(B90:B94)</f>
        <v>58.031199999999998</v>
      </c>
      <c r="F94" s="423">
        <f>MIN(MIN(C92:C93),F93+D93*(E93-F93))</f>
        <v>51.589260236800001</v>
      </c>
      <c r="G94" s="425"/>
      <c r="H94" s="425"/>
      <c r="I94" s="426"/>
      <c r="J94" s="2"/>
      <c r="P94" s="2"/>
    </row>
    <row r="95" spans="1:16" ht="13" thickBot="1">
      <c r="A95" s="427">
        <v>36549</v>
      </c>
      <c r="B95" s="416">
        <v>52.843800000000002</v>
      </c>
      <c r="C95" s="416">
        <v>50.406199999999998</v>
      </c>
      <c r="D95" s="417">
        <f>IF(E95&gt;E94,MIN($E$4,D94+E$3),D94)</f>
        <v>0.04</v>
      </c>
      <c r="E95" s="418">
        <f>MAX(B90:B95)</f>
        <v>58.031199999999998</v>
      </c>
      <c r="F95" s="418">
        <f>MIN(MIN(C93:C94),F94+D94*(E94-F94))</f>
        <v>51.625</v>
      </c>
      <c r="G95" s="419" t="s">
        <v>16</v>
      </c>
      <c r="H95" s="419"/>
      <c r="I95" s="419"/>
      <c r="J95" s="2"/>
      <c r="P95" s="2"/>
    </row>
    <row r="96" spans="1:16">
      <c r="A96" s="376">
        <v>36549</v>
      </c>
      <c r="B96" s="52">
        <v>52.843800000000002</v>
      </c>
      <c r="C96" s="52">
        <v>50.406199999999998</v>
      </c>
      <c r="D96" s="273">
        <f>E3</f>
        <v>0.02</v>
      </c>
      <c r="E96" s="52">
        <f>MIN(C96)</f>
        <v>50.406199999999998</v>
      </c>
      <c r="F96" s="52">
        <f>MAX(MAX(B93,B94),MAX(B90:B95))</f>
        <v>58.031199999999998</v>
      </c>
      <c r="G96" s="421" t="s">
        <v>744</v>
      </c>
      <c r="H96" s="28"/>
      <c r="I96" s="377"/>
      <c r="J96" s="2"/>
      <c r="P96" s="2"/>
    </row>
    <row r="97" spans="1:16">
      <c r="A97" s="376">
        <v>36550</v>
      </c>
      <c r="B97" s="52">
        <v>51.9375</v>
      </c>
      <c r="C97" s="52">
        <v>49.781199999999998</v>
      </c>
      <c r="D97" s="273">
        <f t="shared" ref="D97:D105" si="12">IF(E97&lt;E96,MIN($E$4,D96+E$3),D96)</f>
        <v>0.04</v>
      </c>
      <c r="E97" s="52">
        <f>MIN(C96:C97)</f>
        <v>49.781199999999998</v>
      </c>
      <c r="F97" s="52">
        <f>MAX(MAX(B94,B96),F96+D96*(E96-F96))</f>
        <v>57.878699999999995</v>
      </c>
      <c r="G97" s="28"/>
      <c r="H97" s="28"/>
      <c r="I97" s="377"/>
      <c r="J97" s="2"/>
      <c r="P97" s="2"/>
    </row>
    <row r="98" spans="1:16">
      <c r="A98" s="378">
        <v>36551</v>
      </c>
      <c r="B98" s="55">
        <v>51.75</v>
      </c>
      <c r="C98" s="55">
        <v>49.5625</v>
      </c>
      <c r="D98" s="274">
        <f t="shared" si="12"/>
        <v>0.06</v>
      </c>
      <c r="E98" s="55">
        <f>MIN(C96:C98)</f>
        <v>49.5625</v>
      </c>
      <c r="F98" s="55">
        <f t="shared" ref="F98:F105" si="13">MAX(MAX(B96,B97),F97+D97*(E97-F97))</f>
        <v>57.554799999999993</v>
      </c>
      <c r="G98" s="29"/>
      <c r="H98" s="29"/>
      <c r="I98" s="379"/>
      <c r="J98" s="2"/>
      <c r="P98" s="2"/>
    </row>
    <row r="99" spans="1:16">
      <c r="A99" s="378">
        <v>36552</v>
      </c>
      <c r="B99" s="55">
        <v>50.593800000000002</v>
      </c>
      <c r="C99" s="55">
        <v>48.625</v>
      </c>
      <c r="D99" s="274">
        <f t="shared" si="12"/>
        <v>0.08</v>
      </c>
      <c r="E99" s="55">
        <f>MIN(C96:C99)</f>
        <v>48.625</v>
      </c>
      <c r="F99" s="55">
        <f t="shared" si="13"/>
        <v>57.075261999999995</v>
      </c>
      <c r="G99" s="29"/>
      <c r="H99" s="29"/>
      <c r="I99" s="379"/>
      <c r="J99" s="2"/>
      <c r="P99" s="2"/>
    </row>
    <row r="100" spans="1:16">
      <c r="A100" s="376">
        <v>36553</v>
      </c>
      <c r="B100" s="52">
        <v>50.125</v>
      </c>
      <c r="C100" s="52">
        <v>48.625</v>
      </c>
      <c r="D100" s="273">
        <f t="shared" si="12"/>
        <v>0.08</v>
      </c>
      <c r="E100" s="52">
        <f>MIN(C96:C100)</f>
        <v>48.625</v>
      </c>
      <c r="F100" s="52">
        <f t="shared" si="13"/>
        <v>56.399241039999993</v>
      </c>
      <c r="G100" s="28"/>
      <c r="H100" s="28"/>
      <c r="I100" s="377"/>
      <c r="J100" s="2"/>
      <c r="P100" s="2"/>
    </row>
    <row r="101" spans="1:16">
      <c r="A101" s="376">
        <v>36556</v>
      </c>
      <c r="B101" s="52">
        <v>49.093800000000002</v>
      </c>
      <c r="C101" s="52">
        <v>47.4375</v>
      </c>
      <c r="D101" s="273">
        <f t="shared" si="12"/>
        <v>0.1</v>
      </c>
      <c r="E101" s="52">
        <f>MIN(C96:C101)</f>
        <v>47.4375</v>
      </c>
      <c r="F101" s="52">
        <f t="shared" si="13"/>
        <v>55.777301756799993</v>
      </c>
      <c r="G101" s="28"/>
      <c r="H101" s="28"/>
      <c r="I101" s="377"/>
      <c r="J101" s="2"/>
      <c r="P101" s="2"/>
    </row>
    <row r="102" spans="1:16">
      <c r="A102" s="378">
        <v>36557</v>
      </c>
      <c r="B102" s="55">
        <v>51.625</v>
      </c>
      <c r="C102" s="55">
        <v>48.843800000000002</v>
      </c>
      <c r="D102" s="274">
        <f t="shared" si="12"/>
        <v>0.1</v>
      </c>
      <c r="E102" s="55">
        <f>MIN(C96:C102)</f>
        <v>47.4375</v>
      </c>
      <c r="F102" s="55">
        <f t="shared" si="13"/>
        <v>54.943321581119996</v>
      </c>
      <c r="G102" s="29"/>
      <c r="H102" s="29"/>
      <c r="I102" s="379"/>
      <c r="J102" s="2"/>
      <c r="P102" s="2"/>
    </row>
    <row r="103" spans="1:16">
      <c r="A103" s="378">
        <v>36558</v>
      </c>
      <c r="B103" s="55">
        <v>51.968800000000002</v>
      </c>
      <c r="C103" s="55">
        <v>50.25</v>
      </c>
      <c r="D103" s="274">
        <f t="shared" si="12"/>
        <v>0.1</v>
      </c>
      <c r="E103" s="55">
        <f>MIN(C96:C103)</f>
        <v>47.4375</v>
      </c>
      <c r="F103" s="55">
        <f t="shared" si="13"/>
        <v>54.192739423007993</v>
      </c>
      <c r="G103" s="29"/>
      <c r="H103" s="29"/>
      <c r="I103" s="379"/>
      <c r="J103" s="2"/>
      <c r="P103" s="2"/>
    </row>
    <row r="104" spans="1:16" ht="13" thickBot="1">
      <c r="A104" s="422">
        <v>36559</v>
      </c>
      <c r="B104" s="423">
        <v>52.093800000000002</v>
      </c>
      <c r="C104" s="423">
        <v>50.0625</v>
      </c>
      <c r="D104" s="424">
        <f t="shared" si="12"/>
        <v>0.1</v>
      </c>
      <c r="E104" s="423">
        <f>MIN(C96:C104)</f>
        <v>47.4375</v>
      </c>
      <c r="F104" s="423">
        <f t="shared" si="13"/>
        <v>53.517215480707193</v>
      </c>
      <c r="G104" s="425"/>
      <c r="H104" s="425"/>
      <c r="I104" s="426"/>
      <c r="J104" s="2"/>
      <c r="P104" s="2"/>
    </row>
    <row r="105" spans="1:16" ht="13" thickBot="1">
      <c r="A105" s="427">
        <v>36560</v>
      </c>
      <c r="B105" s="416">
        <v>54</v>
      </c>
      <c r="C105" s="416">
        <v>52.070300000000003</v>
      </c>
      <c r="D105" s="417">
        <f t="shared" si="12"/>
        <v>0.1</v>
      </c>
      <c r="E105" s="418">
        <f>MIN(C96:C105)</f>
        <v>47.4375</v>
      </c>
      <c r="F105" s="418">
        <f t="shared" si="13"/>
        <v>52.909243932636471</v>
      </c>
      <c r="G105" s="419" t="s">
        <v>17</v>
      </c>
      <c r="H105" s="419"/>
      <c r="I105" s="419"/>
      <c r="J105" s="2"/>
      <c r="P105" s="2"/>
    </row>
    <row r="106" spans="1:16">
      <c r="A106" s="430"/>
      <c r="B106" s="431"/>
      <c r="C106" s="431"/>
      <c r="D106" s="432"/>
      <c r="E106" s="431"/>
      <c r="F106" s="431"/>
      <c r="G106" s="433"/>
      <c r="H106" s="433"/>
      <c r="I106" s="433"/>
      <c r="J106" s="2"/>
      <c r="P106" s="2"/>
    </row>
    <row r="107" spans="1:16">
      <c r="H107" s="4"/>
    </row>
    <row r="108" spans="1:16" ht="32.25" customHeight="1">
      <c r="A108" s="447" t="s">
        <v>537</v>
      </c>
      <c r="B108" s="447"/>
      <c r="C108" s="447"/>
      <c r="D108" s="447"/>
      <c r="E108" s="447"/>
      <c r="F108" s="447"/>
      <c r="G108" s="447"/>
      <c r="H108" s="447"/>
      <c r="I108" s="447"/>
    </row>
    <row r="109" spans="1:16" ht="15">
      <c r="A109" s="361" t="s">
        <v>545</v>
      </c>
      <c r="B109" s="370"/>
      <c r="C109" s="371"/>
      <c r="D109" s="370"/>
      <c r="E109" s="370"/>
      <c r="F109" s="370"/>
      <c r="G109" s="370"/>
      <c r="H109" s="370"/>
      <c r="I109" s="370"/>
    </row>
    <row r="110" spans="1:16" ht="14.25" customHeight="1">
      <c r="A110" s="447" t="s">
        <v>752</v>
      </c>
      <c r="B110" s="447"/>
      <c r="C110" s="447"/>
      <c r="D110" s="447"/>
      <c r="E110" s="447"/>
      <c r="F110" s="447"/>
      <c r="G110" s="447"/>
      <c r="H110" s="447"/>
      <c r="I110" s="447"/>
    </row>
    <row r="111" spans="1:16" ht="15">
      <c r="A111" s="447" t="s">
        <v>538</v>
      </c>
      <c r="B111" s="447"/>
      <c r="C111" s="447"/>
      <c r="D111" s="447"/>
      <c r="E111" s="447"/>
      <c r="F111" s="447"/>
      <c r="G111" s="447"/>
      <c r="H111" s="447"/>
      <c r="I111" s="447"/>
    </row>
    <row r="112" spans="1:16" ht="47.25" customHeight="1">
      <c r="A112" s="447" t="s">
        <v>544</v>
      </c>
      <c r="B112" s="447"/>
      <c r="C112" s="447"/>
      <c r="D112" s="447"/>
      <c r="E112" s="447"/>
      <c r="F112" s="447"/>
      <c r="G112" s="447"/>
      <c r="H112" s="447"/>
      <c r="I112" s="447"/>
    </row>
    <row r="113" spans="1:9" ht="15">
      <c r="A113" s="361" t="s">
        <v>543</v>
      </c>
      <c r="B113" s="370"/>
      <c r="C113" s="370"/>
      <c r="D113" s="370"/>
      <c r="E113" s="370"/>
      <c r="F113" s="370"/>
      <c r="G113" s="370"/>
      <c r="H113" s="370"/>
      <c r="I113" s="370"/>
    </row>
    <row r="114" spans="1:9" ht="38.25" customHeight="1">
      <c r="A114" s="447" t="s">
        <v>542</v>
      </c>
      <c r="B114" s="447"/>
      <c r="C114" s="447"/>
      <c r="D114" s="447"/>
      <c r="E114" s="447"/>
      <c r="F114" s="447"/>
      <c r="G114" s="447"/>
      <c r="H114" s="447"/>
      <c r="I114" s="447"/>
    </row>
    <row r="115" spans="1:9" ht="18" customHeight="1">
      <c r="A115" s="361" t="s">
        <v>20</v>
      </c>
      <c r="B115" s="370"/>
      <c r="C115" s="370"/>
      <c r="D115" s="370"/>
      <c r="E115" s="370"/>
      <c r="F115" s="370"/>
      <c r="G115" s="370"/>
      <c r="H115" s="370"/>
      <c r="I115" s="370"/>
    </row>
    <row r="116" spans="1:9" ht="49.5" customHeight="1">
      <c r="A116" s="447" t="s">
        <v>541</v>
      </c>
      <c r="B116" s="447"/>
      <c r="C116" s="447"/>
      <c r="D116" s="447"/>
      <c r="E116" s="447"/>
      <c r="F116" s="447"/>
      <c r="G116" s="447"/>
      <c r="H116" s="447"/>
      <c r="I116" s="447"/>
    </row>
    <row r="117" spans="1:9" ht="35.25" customHeight="1">
      <c r="A117" s="447" t="s">
        <v>540</v>
      </c>
      <c r="B117" s="447"/>
      <c r="C117" s="447"/>
      <c r="D117" s="447"/>
      <c r="E117" s="447"/>
      <c r="F117" s="447"/>
      <c r="G117" s="447"/>
      <c r="H117" s="447"/>
      <c r="I117" s="447"/>
    </row>
    <row r="118" spans="1:9" ht="36" customHeight="1">
      <c r="A118" s="447" t="s">
        <v>539</v>
      </c>
      <c r="B118" s="447"/>
      <c r="C118" s="447"/>
      <c r="D118" s="447"/>
      <c r="E118" s="447"/>
      <c r="F118" s="447"/>
      <c r="G118" s="447"/>
      <c r="H118" s="447"/>
      <c r="I118" s="447"/>
    </row>
    <row r="119" spans="1:9" ht="20.25" customHeight="1">
      <c r="A119" s="464" t="s">
        <v>18</v>
      </c>
      <c r="B119" s="464"/>
      <c r="C119" s="464"/>
      <c r="D119" s="464"/>
      <c r="E119" s="464"/>
      <c r="F119" s="464"/>
      <c r="G119" s="464"/>
      <c r="H119" s="464"/>
      <c r="I119" s="464"/>
    </row>
    <row r="120" spans="1:9" ht="15">
      <c r="A120" s="241" t="s">
        <v>21</v>
      </c>
    </row>
    <row r="121" spans="1:9" ht="15">
      <c r="A121" s="241" t="s">
        <v>22</v>
      </c>
    </row>
  </sheetData>
  <mergeCells count="9">
    <mergeCell ref="A119:I119"/>
    <mergeCell ref="A114:I114"/>
    <mergeCell ref="A116:I116"/>
    <mergeCell ref="A117:I117"/>
    <mergeCell ref="A118:I118"/>
    <mergeCell ref="A108:I108"/>
    <mergeCell ref="A110:I110"/>
    <mergeCell ref="A111:I111"/>
    <mergeCell ref="A112:I112"/>
  </mergeCells>
  <phoneticPr fontId="0"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89090"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89091"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89092"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89093" r:id="rId7" name="Button 5">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89094" r:id="rId8"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89095" r:id="rId9"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89096" r:id="rId10"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89097" r:id="rId11" name="Button 9">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89098" r:id="rId12" name="Button 10">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89099" r:id="rId13" name="Button 11">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89100" r:id="rId14" name="Button 12">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enableFormatConditionsCalculation="0"/>
  <dimension ref="A1:N65"/>
  <sheetViews>
    <sheetView workbookViewId="0"/>
  </sheetViews>
  <sheetFormatPr baseColWidth="10" defaultColWidth="8.83203125" defaultRowHeight="12" x14ac:dyDescent="0"/>
  <cols>
    <col min="1" max="1" width="11.1640625" customWidth="1"/>
    <col min="3" max="3" width="10.1640625" customWidth="1"/>
    <col min="4" max="4" width="10.3320312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1263</v>
      </c>
      <c r="C3" s="20"/>
      <c r="D3" s="20"/>
      <c r="E3" s="21"/>
      <c r="F3" s="21"/>
      <c r="G3" s="21"/>
      <c r="H3" s="21"/>
      <c r="I3" s="21"/>
      <c r="J3" s="21"/>
      <c r="K3" s="21"/>
    </row>
    <row r="4" spans="1:14">
      <c r="A4" s="19" t="s">
        <v>774</v>
      </c>
      <c r="B4" s="20" t="s">
        <v>820</v>
      </c>
      <c r="C4" s="20"/>
      <c r="D4" s="20"/>
      <c r="E4" s="21"/>
      <c r="F4" s="21"/>
      <c r="G4" s="21"/>
      <c r="H4" s="21"/>
      <c r="I4" s="21"/>
      <c r="J4" s="21"/>
      <c r="K4" s="21"/>
    </row>
    <row r="5" spans="1:14" ht="15">
      <c r="A5" s="118" t="s">
        <v>779</v>
      </c>
      <c r="B5" s="127" t="s">
        <v>547</v>
      </c>
      <c r="C5" s="20"/>
      <c r="D5" s="20"/>
      <c r="E5" s="21"/>
      <c r="F5" s="21"/>
      <c r="G5" s="21"/>
      <c r="H5" s="21"/>
      <c r="I5" s="21"/>
      <c r="J5" s="21"/>
      <c r="K5" s="21"/>
    </row>
    <row r="6" spans="1:14" ht="42.75" customHeight="1">
      <c r="A6" s="21"/>
      <c r="B6" s="21"/>
      <c r="C6" s="21"/>
      <c r="D6" s="21"/>
      <c r="E6" s="21"/>
      <c r="F6" s="21"/>
      <c r="G6" s="21"/>
      <c r="H6" s="21"/>
      <c r="I6" s="21"/>
      <c r="J6" s="21"/>
      <c r="K6" s="21"/>
    </row>
    <row r="7" spans="1:14" ht="50.25" customHeight="1">
      <c r="A7" s="22" t="s">
        <v>1090</v>
      </c>
      <c r="B7" s="22" t="s">
        <v>1098</v>
      </c>
      <c r="C7" s="31" t="s">
        <v>888</v>
      </c>
      <c r="D7" s="31" t="s">
        <v>889</v>
      </c>
      <c r="E7" s="22"/>
      <c r="F7" s="22"/>
      <c r="G7" s="22"/>
      <c r="H7" s="22"/>
      <c r="I7" s="22"/>
      <c r="J7" s="22"/>
      <c r="K7" s="22"/>
    </row>
    <row r="8" spans="1:14">
      <c r="A8" s="26">
        <v>36164</v>
      </c>
      <c r="B8" s="112">
        <v>26.5625</v>
      </c>
      <c r="C8" s="112"/>
      <c r="D8" s="112"/>
      <c r="E8" s="28"/>
      <c r="F8" s="28"/>
      <c r="G8" s="28"/>
      <c r="H8" s="28"/>
      <c r="I8" s="28"/>
      <c r="J8" s="28"/>
      <c r="K8" s="54"/>
    </row>
    <row r="9" spans="1:14">
      <c r="A9" s="26">
        <v>36165</v>
      </c>
      <c r="B9" s="112">
        <v>25.8125</v>
      </c>
      <c r="C9" s="100">
        <f>B9-$B$8</f>
        <v>-0.75</v>
      </c>
      <c r="D9" s="94">
        <f>C9/$B$8</f>
        <v>-2.823529411764706E-2</v>
      </c>
      <c r="E9" s="28"/>
      <c r="F9" s="28"/>
      <c r="G9" s="28"/>
      <c r="H9" s="28"/>
      <c r="I9" s="28"/>
      <c r="J9" s="28"/>
      <c r="K9" s="54"/>
    </row>
    <row r="10" spans="1:14">
      <c r="A10" s="27">
        <v>36166</v>
      </c>
      <c r="B10" s="111">
        <v>25.875</v>
      </c>
      <c r="C10" s="99">
        <f t="shared" ref="C10:C61" si="0">B10-$B$8</f>
        <v>-0.6875</v>
      </c>
      <c r="D10" s="95">
        <f t="shared" ref="D10:D61" si="1">C10/$B$8</f>
        <v>-2.5882352941176471E-2</v>
      </c>
      <c r="E10" s="29"/>
      <c r="F10" s="29"/>
      <c r="G10" s="29"/>
      <c r="H10" s="29"/>
      <c r="I10" s="29"/>
      <c r="J10" s="29"/>
      <c r="K10" s="57"/>
    </row>
    <row r="11" spans="1:14">
      <c r="A11" s="27">
        <v>36167</v>
      </c>
      <c r="B11" s="111">
        <v>27.5</v>
      </c>
      <c r="C11" s="99">
        <f t="shared" si="0"/>
        <v>0.9375</v>
      </c>
      <c r="D11" s="95">
        <f t="shared" si="1"/>
        <v>3.5294117647058823E-2</v>
      </c>
      <c r="E11" s="29"/>
      <c r="F11" s="29"/>
      <c r="G11" s="29"/>
      <c r="H11" s="29"/>
      <c r="I11" s="29"/>
      <c r="J11" s="29"/>
      <c r="K11" s="57"/>
    </row>
    <row r="12" spans="1:14">
      <c r="A12" s="26">
        <v>36168</v>
      </c>
      <c r="B12" s="112">
        <v>28.406199999999998</v>
      </c>
      <c r="C12" s="100">
        <f t="shared" si="0"/>
        <v>1.8436999999999983</v>
      </c>
      <c r="D12" s="94">
        <f t="shared" si="1"/>
        <v>6.9409882352941113E-2</v>
      </c>
      <c r="E12" s="28"/>
      <c r="F12" s="28"/>
      <c r="G12" s="28"/>
      <c r="H12" s="28"/>
      <c r="I12" s="28"/>
      <c r="J12" s="28"/>
      <c r="K12" s="54"/>
    </row>
    <row r="13" spans="1:14">
      <c r="A13" s="26">
        <v>36171</v>
      </c>
      <c r="B13" s="112">
        <v>27.531199999999998</v>
      </c>
      <c r="C13" s="100">
        <f t="shared" si="0"/>
        <v>0.96869999999999834</v>
      </c>
      <c r="D13" s="94">
        <f t="shared" si="1"/>
        <v>3.6468705882352875E-2</v>
      </c>
      <c r="E13" s="28"/>
      <c r="F13" s="28"/>
      <c r="G13" s="28"/>
      <c r="H13" s="28"/>
      <c r="I13" s="28"/>
      <c r="J13" s="28"/>
      <c r="K13" s="54"/>
    </row>
    <row r="14" spans="1:14">
      <c r="A14" s="27">
        <v>36172</v>
      </c>
      <c r="B14" s="111">
        <v>27.468800000000002</v>
      </c>
      <c r="C14" s="99">
        <f t="shared" si="0"/>
        <v>0.90630000000000166</v>
      </c>
      <c r="D14" s="95">
        <f t="shared" si="1"/>
        <v>3.4119529411764771E-2</v>
      </c>
      <c r="E14" s="29"/>
      <c r="F14" s="29"/>
      <c r="G14" s="29"/>
      <c r="H14" s="29"/>
      <c r="I14" s="29"/>
      <c r="J14" s="29"/>
      <c r="K14" s="57"/>
    </row>
    <row r="15" spans="1:14">
      <c r="A15" s="27">
        <v>36173</v>
      </c>
      <c r="B15" s="111">
        <v>26.75</v>
      </c>
      <c r="C15" s="99">
        <f t="shared" si="0"/>
        <v>0.1875</v>
      </c>
      <c r="D15" s="95">
        <f t="shared" si="1"/>
        <v>7.058823529411765E-3</v>
      </c>
      <c r="E15" s="29"/>
      <c r="F15" s="29"/>
      <c r="G15" s="29"/>
      <c r="H15" s="29"/>
      <c r="I15" s="29"/>
      <c r="J15" s="29"/>
      <c r="K15" s="57"/>
    </row>
    <row r="16" spans="1:14">
      <c r="A16" s="26">
        <v>36174</v>
      </c>
      <c r="B16" s="112">
        <v>25.6875</v>
      </c>
      <c r="C16" s="100">
        <f t="shared" si="0"/>
        <v>-0.875</v>
      </c>
      <c r="D16" s="94">
        <f t="shared" si="1"/>
        <v>-3.2941176470588238E-2</v>
      </c>
      <c r="E16" s="28"/>
      <c r="F16" s="28"/>
      <c r="G16" s="28"/>
      <c r="H16" s="28"/>
      <c r="I16" s="28"/>
      <c r="J16" s="28"/>
      <c r="K16" s="54"/>
    </row>
    <row r="17" spans="1:11">
      <c r="A17" s="26">
        <v>36175</v>
      </c>
      <c r="B17" s="112">
        <v>28.156199999999998</v>
      </c>
      <c r="C17" s="100">
        <f t="shared" si="0"/>
        <v>1.5936999999999983</v>
      </c>
      <c r="D17" s="94">
        <f t="shared" si="1"/>
        <v>5.9998117647058764E-2</v>
      </c>
      <c r="E17" s="28"/>
      <c r="F17" s="28"/>
      <c r="G17" s="28"/>
      <c r="H17" s="28"/>
      <c r="I17" s="28"/>
      <c r="J17" s="28"/>
      <c r="K17" s="54"/>
    </row>
    <row r="18" spans="1:11">
      <c r="A18" s="27">
        <v>36179</v>
      </c>
      <c r="B18" s="111">
        <v>29.593800000000002</v>
      </c>
      <c r="C18" s="99">
        <f t="shared" si="0"/>
        <v>3.0313000000000017</v>
      </c>
      <c r="D18" s="95">
        <f t="shared" si="1"/>
        <v>0.11411952941176477</v>
      </c>
      <c r="E18" s="29"/>
      <c r="F18" s="29"/>
      <c r="G18" s="29"/>
      <c r="H18" s="29"/>
      <c r="I18" s="29"/>
      <c r="J18" s="29"/>
      <c r="K18" s="57"/>
    </row>
    <row r="19" spans="1:11">
      <c r="A19" s="27">
        <v>36180</v>
      </c>
      <c r="B19" s="111">
        <v>30.125</v>
      </c>
      <c r="C19" s="99">
        <f t="shared" si="0"/>
        <v>3.5625</v>
      </c>
      <c r="D19" s="95">
        <f t="shared" si="1"/>
        <v>0.13411764705882354</v>
      </c>
      <c r="E19" s="29"/>
      <c r="F19" s="29"/>
      <c r="G19" s="29"/>
      <c r="H19" s="29"/>
      <c r="I19" s="29"/>
      <c r="J19" s="29"/>
      <c r="K19" s="57"/>
    </row>
    <row r="20" spans="1:11">
      <c r="A20" s="26">
        <v>36181</v>
      </c>
      <c r="B20" s="112">
        <v>29.6875</v>
      </c>
      <c r="C20" s="100">
        <f t="shared" si="0"/>
        <v>3.125</v>
      </c>
      <c r="D20" s="94">
        <f t="shared" si="1"/>
        <v>0.11764705882352941</v>
      </c>
      <c r="E20" s="28"/>
      <c r="F20" s="28"/>
      <c r="G20" s="28"/>
      <c r="H20" s="28"/>
      <c r="I20" s="28"/>
      <c r="J20" s="28"/>
      <c r="K20" s="54"/>
    </row>
    <row r="21" spans="1:11">
      <c r="A21" s="26">
        <v>36182</v>
      </c>
      <c r="B21" s="112">
        <v>30.0625</v>
      </c>
      <c r="C21" s="100">
        <f t="shared" si="0"/>
        <v>3.5</v>
      </c>
      <c r="D21" s="94">
        <f t="shared" si="1"/>
        <v>0.13176470588235295</v>
      </c>
      <c r="E21" s="28"/>
      <c r="F21" s="28"/>
      <c r="G21" s="28"/>
      <c r="H21" s="28"/>
      <c r="I21" s="28"/>
      <c r="J21" s="28"/>
      <c r="K21" s="54"/>
    </row>
    <row r="22" spans="1:11">
      <c r="A22" s="27">
        <v>36185</v>
      </c>
      <c r="B22" s="111">
        <v>29.343800000000002</v>
      </c>
      <c r="C22" s="99">
        <f t="shared" si="0"/>
        <v>2.7813000000000017</v>
      </c>
      <c r="D22" s="95">
        <f t="shared" si="1"/>
        <v>0.10470776470588242</v>
      </c>
      <c r="E22" s="29"/>
      <c r="F22" s="29"/>
      <c r="G22" s="29"/>
      <c r="H22" s="29"/>
      <c r="I22" s="29"/>
      <c r="J22" s="29"/>
      <c r="K22" s="57"/>
    </row>
    <row r="23" spans="1:11">
      <c r="A23" s="27">
        <v>36186</v>
      </c>
      <c r="B23" s="111">
        <v>28.0625</v>
      </c>
      <c r="C23" s="99">
        <f t="shared" si="0"/>
        <v>1.5</v>
      </c>
      <c r="D23" s="95">
        <f t="shared" si="1"/>
        <v>5.647058823529412E-2</v>
      </c>
      <c r="E23" s="29"/>
      <c r="F23" s="29"/>
      <c r="G23" s="29"/>
      <c r="H23" s="29"/>
      <c r="I23" s="29"/>
      <c r="J23" s="29"/>
      <c r="K23" s="57"/>
    </row>
    <row r="24" spans="1:11">
      <c r="A24" s="26">
        <v>36187</v>
      </c>
      <c r="B24" s="112">
        <v>28.9375</v>
      </c>
      <c r="C24" s="100">
        <f t="shared" si="0"/>
        <v>2.375</v>
      </c>
      <c r="D24" s="94">
        <f t="shared" si="1"/>
        <v>8.9411764705882357E-2</v>
      </c>
      <c r="E24" s="28"/>
      <c r="F24" s="28"/>
      <c r="G24" s="28"/>
      <c r="H24" s="28"/>
      <c r="I24" s="28"/>
      <c r="J24" s="28"/>
      <c r="K24" s="54"/>
    </row>
    <row r="25" spans="1:11">
      <c r="A25" s="26">
        <v>36188</v>
      </c>
      <c r="B25" s="112">
        <v>30.281199999999998</v>
      </c>
      <c r="C25" s="100">
        <f t="shared" si="0"/>
        <v>3.7186999999999983</v>
      </c>
      <c r="D25" s="94">
        <f t="shared" si="1"/>
        <v>0.13999811764705877</v>
      </c>
      <c r="E25" s="28"/>
      <c r="F25" s="28"/>
      <c r="G25" s="28"/>
      <c r="H25" s="28"/>
      <c r="I25" s="28"/>
      <c r="J25" s="28"/>
      <c r="K25" s="54"/>
    </row>
    <row r="26" spans="1:11">
      <c r="A26" s="27">
        <v>36189</v>
      </c>
      <c r="B26" s="111">
        <v>29.968800000000002</v>
      </c>
      <c r="C26" s="99">
        <f t="shared" si="0"/>
        <v>3.4063000000000017</v>
      </c>
      <c r="D26" s="95">
        <f t="shared" si="1"/>
        <v>0.1282371764705883</v>
      </c>
      <c r="E26" s="29"/>
      <c r="F26" s="29"/>
      <c r="G26" s="29"/>
      <c r="H26" s="29"/>
      <c r="I26" s="29"/>
      <c r="J26" s="29"/>
      <c r="K26" s="57"/>
    </row>
    <row r="27" spans="1:11">
      <c r="A27" s="27">
        <v>36192</v>
      </c>
      <c r="B27" s="111">
        <v>31.218800000000002</v>
      </c>
      <c r="C27" s="99">
        <f t="shared" si="0"/>
        <v>4.6563000000000017</v>
      </c>
      <c r="D27" s="95">
        <f t="shared" si="1"/>
        <v>0.17529600000000006</v>
      </c>
      <c r="E27" s="29"/>
      <c r="F27" s="29"/>
      <c r="G27" s="29"/>
      <c r="H27" s="29"/>
      <c r="I27" s="29"/>
      <c r="J27" s="29"/>
      <c r="K27" s="57"/>
    </row>
    <row r="28" spans="1:11">
      <c r="A28" s="26">
        <v>36193</v>
      </c>
      <c r="B28" s="112">
        <v>30.0625</v>
      </c>
      <c r="C28" s="100">
        <f t="shared" si="0"/>
        <v>3.5</v>
      </c>
      <c r="D28" s="94">
        <f t="shared" si="1"/>
        <v>0.13176470588235295</v>
      </c>
      <c r="E28" s="28"/>
      <c r="F28" s="28"/>
      <c r="G28" s="28"/>
      <c r="H28" s="28"/>
      <c r="I28" s="28"/>
      <c r="J28" s="28"/>
      <c r="K28" s="54"/>
    </row>
    <row r="29" spans="1:11">
      <c r="A29" s="26">
        <v>36194</v>
      </c>
      <c r="B29" s="112">
        <v>32</v>
      </c>
      <c r="C29" s="100">
        <f t="shared" si="0"/>
        <v>5.4375</v>
      </c>
      <c r="D29" s="94">
        <f t="shared" si="1"/>
        <v>0.20470588235294118</v>
      </c>
      <c r="E29" s="28"/>
      <c r="F29" s="28"/>
      <c r="G29" s="28"/>
      <c r="H29" s="28"/>
      <c r="I29" s="28"/>
      <c r="J29" s="28"/>
      <c r="K29" s="54"/>
    </row>
    <row r="30" spans="1:11">
      <c r="A30" s="27">
        <v>36195</v>
      </c>
      <c r="B30" s="111">
        <v>30.25</v>
      </c>
      <c r="C30" s="99">
        <f t="shared" si="0"/>
        <v>3.6875</v>
      </c>
      <c r="D30" s="95">
        <f t="shared" si="1"/>
        <v>0.13882352941176471</v>
      </c>
      <c r="E30" s="29"/>
      <c r="F30" s="29"/>
      <c r="G30" s="29"/>
      <c r="H30" s="29"/>
      <c r="I30" s="29"/>
      <c r="J30" s="29"/>
      <c r="K30" s="57"/>
    </row>
    <row r="31" spans="1:11">
      <c r="A31" s="27">
        <v>36196</v>
      </c>
      <c r="B31" s="111">
        <v>28.718800000000002</v>
      </c>
      <c r="C31" s="99">
        <f t="shared" si="0"/>
        <v>2.1563000000000017</v>
      </c>
      <c r="D31" s="95">
        <f t="shared" si="1"/>
        <v>8.1178352941176535E-2</v>
      </c>
      <c r="E31" s="29"/>
      <c r="F31" s="29"/>
      <c r="G31" s="29"/>
      <c r="H31" s="29"/>
      <c r="I31" s="29"/>
      <c r="J31" s="29"/>
      <c r="K31" s="57"/>
    </row>
    <row r="32" spans="1:11">
      <c r="A32" s="26">
        <v>36199</v>
      </c>
      <c r="B32" s="112">
        <v>29.468800000000002</v>
      </c>
      <c r="C32" s="100">
        <f t="shared" si="0"/>
        <v>2.9063000000000017</v>
      </c>
      <c r="D32" s="94">
        <f t="shared" si="1"/>
        <v>0.10941364705882359</v>
      </c>
      <c r="E32" s="28"/>
      <c r="F32" s="28"/>
      <c r="G32" s="28"/>
      <c r="H32" s="28"/>
      <c r="I32" s="28"/>
      <c r="J32" s="28"/>
      <c r="K32" s="54"/>
    </row>
    <row r="33" spans="1:11">
      <c r="A33" s="26">
        <v>36200</v>
      </c>
      <c r="B33" s="112">
        <v>27.531199999999998</v>
      </c>
      <c r="C33" s="100">
        <f t="shared" si="0"/>
        <v>0.96869999999999834</v>
      </c>
      <c r="D33" s="94">
        <f t="shared" si="1"/>
        <v>3.6468705882352875E-2</v>
      </c>
      <c r="E33" s="28"/>
      <c r="F33" s="28"/>
      <c r="G33" s="28"/>
      <c r="H33" s="28"/>
      <c r="I33" s="28"/>
      <c r="J33" s="28"/>
      <c r="K33" s="54"/>
    </row>
    <row r="34" spans="1:11">
      <c r="A34" s="27">
        <v>36201</v>
      </c>
      <c r="B34" s="111">
        <v>27.5</v>
      </c>
      <c r="C34" s="99">
        <f t="shared" si="0"/>
        <v>0.9375</v>
      </c>
      <c r="D34" s="95">
        <f t="shared" si="1"/>
        <v>3.5294117647058823E-2</v>
      </c>
      <c r="E34" s="29"/>
      <c r="F34" s="29"/>
      <c r="G34" s="29"/>
      <c r="H34" s="29"/>
      <c r="I34" s="29"/>
      <c r="J34" s="29"/>
      <c r="K34" s="57"/>
    </row>
    <row r="35" spans="1:11">
      <c r="A35" s="27">
        <v>36202</v>
      </c>
      <c r="B35" s="111">
        <v>29.5</v>
      </c>
      <c r="C35" s="99">
        <f t="shared" si="0"/>
        <v>2.9375</v>
      </c>
      <c r="D35" s="95">
        <f t="shared" si="1"/>
        <v>0.11058823529411765</v>
      </c>
      <c r="E35" s="29"/>
      <c r="F35" s="29"/>
      <c r="G35" s="29"/>
      <c r="H35" s="29"/>
      <c r="I35" s="29"/>
      <c r="J35" s="29"/>
      <c r="K35" s="57"/>
    </row>
    <row r="36" spans="1:11">
      <c r="A36" s="26">
        <v>36203</v>
      </c>
      <c r="B36" s="112">
        <v>27.875</v>
      </c>
      <c r="C36" s="100">
        <f t="shared" si="0"/>
        <v>1.3125</v>
      </c>
      <c r="D36" s="94">
        <f t="shared" si="1"/>
        <v>4.9411764705882349E-2</v>
      </c>
      <c r="E36" s="28"/>
      <c r="F36" s="28"/>
      <c r="G36" s="28"/>
      <c r="H36" s="28"/>
      <c r="I36" s="28"/>
      <c r="J36" s="28"/>
      <c r="K36" s="54"/>
    </row>
    <row r="37" spans="1:11">
      <c r="A37" s="26">
        <v>36207</v>
      </c>
      <c r="B37" s="112">
        <v>26.8125</v>
      </c>
      <c r="C37" s="100">
        <f t="shared" si="0"/>
        <v>0.25</v>
      </c>
      <c r="D37" s="94">
        <f t="shared" si="1"/>
        <v>9.4117647058823521E-3</v>
      </c>
      <c r="E37" s="28"/>
      <c r="F37" s="28"/>
      <c r="G37" s="28"/>
      <c r="H37" s="28"/>
      <c r="I37" s="28"/>
      <c r="J37" s="28"/>
      <c r="K37" s="54"/>
    </row>
    <row r="38" spans="1:11">
      <c r="A38" s="27">
        <v>36208</v>
      </c>
      <c r="B38" s="111">
        <v>25.625</v>
      </c>
      <c r="C38" s="99">
        <f t="shared" si="0"/>
        <v>-0.9375</v>
      </c>
      <c r="D38" s="95">
        <f t="shared" si="1"/>
        <v>-3.5294117647058823E-2</v>
      </c>
      <c r="E38" s="29"/>
      <c r="F38" s="29"/>
      <c r="G38" s="29"/>
      <c r="H38" s="29"/>
      <c r="I38" s="29"/>
      <c r="J38" s="29"/>
      <c r="K38" s="57"/>
    </row>
    <row r="39" spans="1:11">
      <c r="A39" s="27">
        <v>36209</v>
      </c>
      <c r="B39" s="111">
        <v>25.8125</v>
      </c>
      <c r="C39" s="99">
        <f t="shared" si="0"/>
        <v>-0.75</v>
      </c>
      <c r="D39" s="95">
        <f t="shared" si="1"/>
        <v>-2.823529411764706E-2</v>
      </c>
      <c r="E39" s="29"/>
      <c r="F39" s="29"/>
      <c r="G39" s="29"/>
      <c r="H39" s="29"/>
      <c r="I39" s="29"/>
      <c r="J39" s="29"/>
      <c r="K39" s="57"/>
    </row>
    <row r="40" spans="1:11">
      <c r="A40" s="26">
        <v>36210</v>
      </c>
      <c r="B40" s="112">
        <v>27.343800000000002</v>
      </c>
      <c r="C40" s="100">
        <f t="shared" si="0"/>
        <v>0.78130000000000166</v>
      </c>
      <c r="D40" s="94">
        <f t="shared" si="1"/>
        <v>2.9413647058823593E-2</v>
      </c>
      <c r="E40" s="28"/>
      <c r="F40" s="28"/>
      <c r="G40" s="28"/>
      <c r="H40" s="28"/>
      <c r="I40" s="28"/>
      <c r="J40" s="28"/>
      <c r="K40" s="54"/>
    </row>
    <row r="41" spans="1:11">
      <c r="A41" s="26">
        <v>36213</v>
      </c>
      <c r="B41" s="112">
        <v>28.5</v>
      </c>
      <c r="C41" s="100">
        <f t="shared" si="0"/>
        <v>1.9375</v>
      </c>
      <c r="D41" s="94">
        <f t="shared" si="1"/>
        <v>7.2941176470588232E-2</v>
      </c>
      <c r="E41" s="28"/>
      <c r="F41" s="28"/>
      <c r="G41" s="28"/>
      <c r="H41" s="28"/>
      <c r="I41" s="28"/>
      <c r="J41" s="28"/>
      <c r="K41" s="54"/>
    </row>
    <row r="42" spans="1:11">
      <c r="A42" s="27">
        <v>36214</v>
      </c>
      <c r="B42" s="111">
        <v>29.468800000000002</v>
      </c>
      <c r="C42" s="99">
        <f t="shared" si="0"/>
        <v>2.9063000000000017</v>
      </c>
      <c r="D42" s="95">
        <f t="shared" si="1"/>
        <v>0.10941364705882359</v>
      </c>
      <c r="E42" s="29"/>
      <c r="F42" s="29"/>
      <c r="G42" s="29"/>
      <c r="H42" s="29"/>
      <c r="I42" s="29"/>
      <c r="J42" s="29"/>
      <c r="K42" s="57"/>
    </row>
    <row r="43" spans="1:11">
      <c r="A43" s="27">
        <v>36215</v>
      </c>
      <c r="B43" s="111">
        <v>30.593800000000002</v>
      </c>
      <c r="C43" s="99">
        <f t="shared" si="0"/>
        <v>4.0313000000000017</v>
      </c>
      <c r="D43" s="95">
        <f t="shared" si="1"/>
        <v>0.15176658823529418</v>
      </c>
      <c r="E43" s="29"/>
      <c r="F43" s="29"/>
      <c r="G43" s="29"/>
      <c r="H43" s="29"/>
      <c r="I43" s="29"/>
      <c r="J43" s="29"/>
      <c r="K43" s="57"/>
    </row>
    <row r="44" spans="1:11">
      <c r="A44" s="26">
        <v>36216</v>
      </c>
      <c r="B44" s="112">
        <v>31.1875</v>
      </c>
      <c r="C44" s="100">
        <f t="shared" si="0"/>
        <v>4.625</v>
      </c>
      <c r="D44" s="94">
        <f t="shared" si="1"/>
        <v>0.17411764705882352</v>
      </c>
      <c r="E44" s="28"/>
      <c r="F44" s="28"/>
      <c r="G44" s="28"/>
      <c r="H44" s="28"/>
      <c r="I44" s="28"/>
      <c r="J44" s="28"/>
      <c r="K44" s="54"/>
    </row>
    <row r="45" spans="1:11">
      <c r="A45" s="26">
        <v>36217</v>
      </c>
      <c r="B45" s="112">
        <v>30.718800000000002</v>
      </c>
      <c r="C45" s="100">
        <f t="shared" si="0"/>
        <v>4.1563000000000017</v>
      </c>
      <c r="D45" s="94">
        <f t="shared" si="1"/>
        <v>0.15647247058823535</v>
      </c>
      <c r="E45" s="28"/>
      <c r="F45" s="28"/>
      <c r="G45" s="28"/>
      <c r="H45" s="28"/>
      <c r="I45" s="28"/>
      <c r="J45" s="28"/>
      <c r="K45" s="54"/>
    </row>
    <row r="46" spans="1:11">
      <c r="A46" s="27">
        <v>36220</v>
      </c>
      <c r="B46" s="111">
        <v>30.093800000000002</v>
      </c>
      <c r="C46" s="99">
        <f t="shared" si="0"/>
        <v>3.5313000000000017</v>
      </c>
      <c r="D46" s="95">
        <f t="shared" si="1"/>
        <v>0.13294305882352947</v>
      </c>
      <c r="E46" s="29"/>
      <c r="F46" s="29"/>
      <c r="G46" s="29"/>
      <c r="H46" s="29"/>
      <c r="I46" s="29"/>
      <c r="J46" s="29"/>
      <c r="K46" s="57"/>
    </row>
    <row r="47" spans="1:11">
      <c r="A47" s="27">
        <v>36221</v>
      </c>
      <c r="B47" s="111">
        <v>30.25</v>
      </c>
      <c r="C47" s="99">
        <f t="shared" si="0"/>
        <v>3.6875</v>
      </c>
      <c r="D47" s="95">
        <f t="shared" si="1"/>
        <v>0.13882352941176471</v>
      </c>
      <c r="E47" s="29"/>
      <c r="F47" s="29"/>
      <c r="G47" s="29"/>
      <c r="H47" s="29"/>
      <c r="I47" s="29"/>
      <c r="J47" s="29"/>
      <c r="K47" s="57"/>
    </row>
    <row r="48" spans="1:11">
      <c r="A48" s="26">
        <v>36222</v>
      </c>
      <c r="B48" s="112">
        <v>29.718800000000002</v>
      </c>
      <c r="C48" s="100">
        <f t="shared" si="0"/>
        <v>3.1563000000000017</v>
      </c>
      <c r="D48" s="94">
        <f t="shared" si="1"/>
        <v>0.11882541176470594</v>
      </c>
      <c r="E48" s="28"/>
      <c r="F48" s="28"/>
      <c r="G48" s="28"/>
      <c r="H48" s="28"/>
      <c r="I48" s="28"/>
      <c r="J48" s="28"/>
      <c r="K48" s="54"/>
    </row>
    <row r="49" spans="1:11">
      <c r="A49" s="26">
        <v>36223</v>
      </c>
      <c r="B49" s="112">
        <v>29.875</v>
      </c>
      <c r="C49" s="100">
        <f t="shared" si="0"/>
        <v>3.3125</v>
      </c>
      <c r="D49" s="94">
        <f t="shared" si="1"/>
        <v>0.12470588235294118</v>
      </c>
      <c r="E49" s="28"/>
      <c r="F49" s="28"/>
      <c r="G49" s="28"/>
      <c r="H49" s="28"/>
      <c r="I49" s="28"/>
      <c r="J49" s="28"/>
      <c r="K49" s="54"/>
    </row>
    <row r="50" spans="1:11">
      <c r="A50" s="27">
        <v>36224</v>
      </c>
      <c r="B50" s="111">
        <v>30.6875</v>
      </c>
      <c r="C50" s="99">
        <f t="shared" si="0"/>
        <v>4.125</v>
      </c>
      <c r="D50" s="95">
        <f t="shared" si="1"/>
        <v>0.15529411764705883</v>
      </c>
      <c r="E50" s="29"/>
      <c r="F50" s="29"/>
      <c r="G50" s="29"/>
      <c r="H50" s="29"/>
      <c r="I50" s="29"/>
      <c r="J50" s="29"/>
      <c r="K50" s="57"/>
    </row>
    <row r="51" spans="1:11">
      <c r="A51" s="27">
        <v>36227</v>
      </c>
      <c r="B51" s="111">
        <v>33.25</v>
      </c>
      <c r="C51" s="99">
        <f t="shared" si="0"/>
        <v>6.6875</v>
      </c>
      <c r="D51" s="95">
        <f t="shared" si="1"/>
        <v>0.25176470588235295</v>
      </c>
      <c r="E51" s="29"/>
      <c r="F51" s="29"/>
      <c r="G51" s="29"/>
      <c r="H51" s="29"/>
      <c r="I51" s="29"/>
      <c r="J51" s="29"/>
      <c r="K51" s="57"/>
    </row>
    <row r="52" spans="1:11">
      <c r="A52" s="26">
        <v>36228</v>
      </c>
      <c r="B52" s="112">
        <v>32.8125</v>
      </c>
      <c r="C52" s="100">
        <f t="shared" si="0"/>
        <v>6.25</v>
      </c>
      <c r="D52" s="94">
        <f t="shared" si="1"/>
        <v>0.23529411764705882</v>
      </c>
      <c r="E52" s="28"/>
      <c r="F52" s="28"/>
      <c r="G52" s="28"/>
      <c r="H52" s="28"/>
      <c r="I52" s="28"/>
      <c r="J52" s="28"/>
      <c r="K52" s="54"/>
    </row>
    <row r="53" spans="1:11">
      <c r="A53" s="26">
        <v>36229</v>
      </c>
      <c r="B53" s="112">
        <v>34.5</v>
      </c>
      <c r="C53" s="100">
        <f t="shared" si="0"/>
        <v>7.9375</v>
      </c>
      <c r="D53" s="94">
        <f t="shared" si="1"/>
        <v>0.29882352941176471</v>
      </c>
      <c r="E53" s="28"/>
      <c r="F53" s="28"/>
      <c r="G53" s="28"/>
      <c r="H53" s="28"/>
      <c r="I53" s="28"/>
      <c r="J53" s="28"/>
      <c r="K53" s="54"/>
    </row>
    <row r="54" spans="1:11">
      <c r="A54" s="27">
        <v>36230</v>
      </c>
      <c r="B54" s="111">
        <v>34.75</v>
      </c>
      <c r="C54" s="99">
        <f t="shared" si="0"/>
        <v>8.1875</v>
      </c>
      <c r="D54" s="95">
        <f t="shared" si="1"/>
        <v>0.30823529411764705</v>
      </c>
      <c r="E54" s="29"/>
      <c r="F54" s="29"/>
      <c r="G54" s="29"/>
      <c r="H54" s="29"/>
      <c r="I54" s="29"/>
      <c r="J54" s="29"/>
      <c r="K54" s="57"/>
    </row>
    <row r="55" spans="1:11">
      <c r="A55" s="27">
        <v>36231</v>
      </c>
      <c r="B55" s="111">
        <v>34.8125</v>
      </c>
      <c r="C55" s="99">
        <f t="shared" si="0"/>
        <v>8.25</v>
      </c>
      <c r="D55" s="95">
        <f t="shared" si="1"/>
        <v>0.31058823529411766</v>
      </c>
      <c r="E55" s="29"/>
      <c r="F55" s="29"/>
      <c r="G55" s="29"/>
      <c r="H55" s="29"/>
      <c r="I55" s="29"/>
      <c r="J55" s="29"/>
      <c r="K55" s="57"/>
    </row>
    <row r="56" spans="1:11">
      <c r="A56" s="26">
        <v>36234</v>
      </c>
      <c r="B56" s="112">
        <v>37.281199999999998</v>
      </c>
      <c r="C56" s="100">
        <f t="shared" si="0"/>
        <v>10.718699999999998</v>
      </c>
      <c r="D56" s="94">
        <f t="shared" si="1"/>
        <v>0.40352752941176462</v>
      </c>
      <c r="E56" s="28"/>
      <c r="F56" s="28"/>
      <c r="G56" s="28"/>
      <c r="H56" s="28"/>
      <c r="I56" s="28"/>
      <c r="J56" s="28"/>
      <c r="K56" s="54"/>
    </row>
    <row r="57" spans="1:11">
      <c r="A57" s="26">
        <v>36235</v>
      </c>
      <c r="B57" s="112">
        <v>37.1875</v>
      </c>
      <c r="C57" s="100">
        <f t="shared" si="0"/>
        <v>10.625</v>
      </c>
      <c r="D57" s="94">
        <f t="shared" si="1"/>
        <v>0.4</v>
      </c>
      <c r="E57" s="28"/>
      <c r="F57" s="28"/>
      <c r="G57" s="28"/>
      <c r="H57" s="28"/>
      <c r="I57" s="28"/>
      <c r="J57" s="28"/>
      <c r="K57" s="54"/>
    </row>
    <row r="58" spans="1:11">
      <c r="A58" s="27">
        <v>36236</v>
      </c>
      <c r="B58" s="111">
        <v>37.375</v>
      </c>
      <c r="C58" s="99">
        <f t="shared" si="0"/>
        <v>10.8125</v>
      </c>
      <c r="D58" s="95">
        <f t="shared" si="1"/>
        <v>0.40705882352941175</v>
      </c>
      <c r="E58" s="29"/>
      <c r="F58" s="29"/>
      <c r="G58" s="29"/>
      <c r="H58" s="29"/>
      <c r="I58" s="29"/>
      <c r="J58" s="29"/>
      <c r="K58" s="57"/>
    </row>
    <row r="59" spans="1:11">
      <c r="A59" s="27">
        <v>36237</v>
      </c>
      <c r="B59" s="111">
        <v>37</v>
      </c>
      <c r="C59" s="99">
        <f t="shared" si="0"/>
        <v>10.4375</v>
      </c>
      <c r="D59" s="95">
        <f t="shared" si="1"/>
        <v>0.39294117647058824</v>
      </c>
      <c r="E59" s="29"/>
      <c r="F59" s="29"/>
      <c r="G59" s="29"/>
      <c r="H59" s="29"/>
      <c r="I59" s="29"/>
      <c r="J59" s="29"/>
      <c r="K59" s="57"/>
    </row>
    <row r="60" spans="1:11">
      <c r="A60" s="26">
        <v>36238</v>
      </c>
      <c r="B60" s="112">
        <v>36.031199999999998</v>
      </c>
      <c r="C60" s="100">
        <f t="shared" si="0"/>
        <v>9.4686999999999983</v>
      </c>
      <c r="D60" s="94">
        <f t="shared" si="1"/>
        <v>0.35646870588235285</v>
      </c>
      <c r="E60" s="28"/>
      <c r="F60" s="28"/>
      <c r="G60" s="28"/>
      <c r="H60" s="28"/>
      <c r="I60" s="28"/>
      <c r="J60" s="28"/>
      <c r="K60" s="54"/>
    </row>
    <row r="61" spans="1:11">
      <c r="A61" s="26">
        <v>36241</v>
      </c>
      <c r="B61" s="112">
        <v>35.5</v>
      </c>
      <c r="C61" s="100">
        <f t="shared" si="0"/>
        <v>8.9375</v>
      </c>
      <c r="D61" s="94">
        <f t="shared" si="1"/>
        <v>0.33647058823529413</v>
      </c>
      <c r="E61" s="28"/>
      <c r="F61" s="28"/>
      <c r="G61" s="28"/>
      <c r="H61" s="28"/>
      <c r="I61" s="28"/>
      <c r="J61" s="28"/>
      <c r="K61" s="54"/>
    </row>
    <row r="64" spans="1:11" ht="32.25" customHeight="1">
      <c r="A64" s="447" t="s">
        <v>890</v>
      </c>
      <c r="B64" s="447"/>
      <c r="C64" s="447"/>
      <c r="D64" s="447"/>
      <c r="E64" s="447"/>
      <c r="F64" s="447"/>
      <c r="G64" s="447"/>
      <c r="H64" s="447"/>
      <c r="I64" s="447"/>
      <c r="J64" s="447"/>
      <c r="K64" s="447"/>
    </row>
    <row r="65" spans="1:1" ht="15">
      <c r="A65" s="241" t="s">
        <v>891</v>
      </c>
    </row>
  </sheetData>
  <mergeCells count="1">
    <mergeCell ref="A64:K64"/>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43012" r:id="rId3" name="Button 4">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43013"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43014" r:id="rId5" name="Button 6">
              <controlPr defaultSize="0" print="0" autoFill="0" autoPict="0" macro="[0]!Previous_Button_Click">
                <anchor moveWithCells="1" sizeWithCells="1">
                  <from>
                    <xdr:col>3</xdr:col>
                    <xdr:colOff>203200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43015"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enableFormatConditionsCalculation="0"/>
  <dimension ref="A1:N190"/>
  <sheetViews>
    <sheetView workbookViewId="0"/>
  </sheetViews>
  <sheetFormatPr baseColWidth="10" defaultColWidth="8.83203125" defaultRowHeight="12" x14ac:dyDescent="0"/>
  <cols>
    <col min="1" max="1" width="9.6640625" customWidth="1"/>
    <col min="2" max="2" width="12.1640625" customWidth="1"/>
    <col min="3" max="3" width="11.33203125" bestFit="1" customWidth="1"/>
    <col min="4" max="4" width="11" customWidth="1"/>
    <col min="5" max="6" width="13.1640625" customWidth="1"/>
    <col min="7" max="7" width="13" customWidth="1"/>
  </cols>
  <sheetData>
    <row r="1" spans="1:14">
      <c r="A1" s="21"/>
      <c r="B1" s="21"/>
      <c r="C1" s="21" t="s">
        <v>846</v>
      </c>
      <c r="D1" s="21"/>
      <c r="E1" s="21"/>
      <c r="F1" s="21"/>
      <c r="G1" s="21"/>
      <c r="H1" s="21"/>
      <c r="I1" s="21"/>
    </row>
    <row r="2" spans="1:14" ht="21" customHeight="1">
      <c r="A2" s="21"/>
      <c r="B2" s="21"/>
      <c r="C2" s="21"/>
      <c r="D2" s="374"/>
      <c r="E2" s="374"/>
      <c r="F2" s="374"/>
      <c r="G2" s="374"/>
      <c r="H2" s="374"/>
      <c r="I2" s="374"/>
      <c r="J2" s="372"/>
      <c r="K2" s="372"/>
      <c r="L2" s="372"/>
      <c r="M2" s="372"/>
      <c r="N2" s="372"/>
    </row>
    <row r="3" spans="1:14">
      <c r="A3" s="19" t="s">
        <v>1045</v>
      </c>
      <c r="B3" s="20" t="s">
        <v>1048</v>
      </c>
      <c r="C3" s="21"/>
      <c r="D3" s="21"/>
      <c r="E3" s="21"/>
      <c r="F3" s="21"/>
      <c r="G3" s="21"/>
      <c r="H3" s="21"/>
      <c r="I3" s="21"/>
    </row>
    <row r="4" spans="1:14" ht="32.25" customHeight="1">
      <c r="A4" s="118" t="s">
        <v>779</v>
      </c>
      <c r="B4" s="446" t="s">
        <v>892</v>
      </c>
      <c r="C4" s="446"/>
      <c r="D4" s="446"/>
      <c r="E4" s="446"/>
      <c r="F4" s="446"/>
      <c r="G4" s="446"/>
      <c r="H4" s="446"/>
      <c r="I4" s="446"/>
    </row>
    <row r="5" spans="1:14" ht="15">
      <c r="A5" s="19"/>
      <c r="B5" s="127" t="s">
        <v>894</v>
      </c>
      <c r="C5" s="21"/>
      <c r="D5" s="21"/>
      <c r="E5" s="21"/>
      <c r="F5" s="21"/>
      <c r="G5" s="21"/>
      <c r="H5" s="21"/>
      <c r="I5" s="21"/>
    </row>
    <row r="6" spans="1:14" ht="15">
      <c r="A6" s="19"/>
      <c r="B6" s="127"/>
      <c r="C6" s="21"/>
      <c r="D6" s="21"/>
      <c r="E6" s="21"/>
      <c r="F6" s="21"/>
      <c r="G6" s="21"/>
      <c r="H6" s="21"/>
      <c r="I6" s="21"/>
    </row>
    <row r="7" spans="1:14">
      <c r="A7" s="19"/>
      <c r="B7" s="357"/>
      <c r="C7" s="21"/>
      <c r="D7" s="21"/>
      <c r="E7" s="21"/>
      <c r="F7" s="21"/>
      <c r="G7" s="21"/>
      <c r="H7" s="21"/>
      <c r="I7" s="21"/>
    </row>
    <row r="8" spans="1:14">
      <c r="A8" s="19"/>
      <c r="B8" s="21"/>
      <c r="C8" s="21"/>
      <c r="D8" s="21"/>
      <c r="E8" s="21"/>
      <c r="F8" s="21"/>
      <c r="G8" s="21"/>
      <c r="H8" s="21"/>
      <c r="I8" s="21"/>
    </row>
    <row r="9" spans="1:14" ht="15">
      <c r="A9" s="19"/>
      <c r="B9" s="127" t="s">
        <v>895</v>
      </c>
      <c r="C9" s="21"/>
      <c r="D9" s="21"/>
      <c r="E9" s="21"/>
      <c r="F9" s="21"/>
      <c r="G9" s="21"/>
      <c r="H9" s="21"/>
      <c r="I9" s="21"/>
    </row>
    <row r="10" spans="1:14" ht="15">
      <c r="A10" s="19"/>
      <c r="B10" s="21"/>
      <c r="C10" s="189" t="s">
        <v>893</v>
      </c>
      <c r="D10" s="21"/>
      <c r="E10" s="21"/>
      <c r="F10" s="21"/>
      <c r="G10" s="21"/>
      <c r="H10" s="21"/>
      <c r="I10" s="21"/>
    </row>
    <row r="11" spans="1:14" ht="51" customHeight="1">
      <c r="A11" s="22" t="s">
        <v>1090</v>
      </c>
      <c r="B11" s="22" t="s">
        <v>1098</v>
      </c>
      <c r="C11" s="22" t="s">
        <v>1099</v>
      </c>
      <c r="D11" s="31" t="s">
        <v>858</v>
      </c>
      <c r="E11" s="31" t="s">
        <v>859</v>
      </c>
      <c r="F11" s="31" t="s">
        <v>860</v>
      </c>
      <c r="G11" s="31" t="s">
        <v>901</v>
      </c>
      <c r="H11" s="22"/>
      <c r="I11" s="22"/>
    </row>
    <row r="12" spans="1:14">
      <c r="A12" s="26">
        <v>32146</v>
      </c>
      <c r="B12" s="112">
        <v>6.5312999999999999</v>
      </c>
      <c r="C12" s="77">
        <v>10500</v>
      </c>
      <c r="D12" s="52"/>
      <c r="E12" s="52"/>
      <c r="F12" s="52"/>
      <c r="G12" s="276">
        <v>1000</v>
      </c>
      <c r="H12" s="28"/>
      <c r="I12" s="54"/>
      <c r="J12" s="2"/>
    </row>
    <row r="13" spans="1:14">
      <c r="A13" s="26">
        <v>32147</v>
      </c>
      <c r="B13" s="112">
        <v>6.5625</v>
      </c>
      <c r="C13" s="77">
        <v>6492</v>
      </c>
      <c r="D13" s="52">
        <f>B13-B12</f>
        <v>3.1200000000000117E-2</v>
      </c>
      <c r="E13" s="52">
        <f>D13/B12</f>
        <v>4.7769969225116161E-3</v>
      </c>
      <c r="F13" s="52">
        <f>E13*G12</f>
        <v>4.776996922511616</v>
      </c>
      <c r="G13" s="276">
        <f>IF(C13&gt;C12,F13+G12,G12)</f>
        <v>1000</v>
      </c>
      <c r="H13" s="28"/>
      <c r="I13" s="54"/>
      <c r="J13" s="2"/>
    </row>
    <row r="14" spans="1:14">
      <c r="A14" s="27">
        <v>32148</v>
      </c>
      <c r="B14" s="111">
        <v>6.4687999999999999</v>
      </c>
      <c r="C14" s="79">
        <v>6540</v>
      </c>
      <c r="D14" s="55">
        <f t="shared" ref="D14:D65" si="0">B14-B13</f>
        <v>-9.3700000000000117E-2</v>
      </c>
      <c r="E14" s="55">
        <f t="shared" ref="E14:E65" si="1">D14/B13</f>
        <v>-1.4278095238095256E-2</v>
      </c>
      <c r="F14" s="55">
        <f t="shared" ref="F14:F65" si="2">E14*G13</f>
        <v>-14.278095238095256</v>
      </c>
      <c r="G14" s="289">
        <f t="shared" ref="G14:G65" si="3">IF(C14&gt;C13,F14+G13,G13)</f>
        <v>985.72190476190474</v>
      </c>
      <c r="H14" s="29"/>
      <c r="I14" s="57"/>
      <c r="J14" s="2"/>
    </row>
    <row r="15" spans="1:14">
      <c r="A15" s="27">
        <v>32149</v>
      </c>
      <c r="B15" s="111">
        <v>6.4375</v>
      </c>
      <c r="C15" s="79">
        <v>8924</v>
      </c>
      <c r="D15" s="55">
        <f t="shared" si="0"/>
        <v>-3.1299999999999883E-2</v>
      </c>
      <c r="E15" s="55">
        <f t="shared" si="1"/>
        <v>-4.8386099431115331E-3</v>
      </c>
      <c r="F15" s="55">
        <f t="shared" si="2"/>
        <v>-4.7695238095237915</v>
      </c>
      <c r="G15" s="289">
        <f t="shared" si="3"/>
        <v>980.95238095238096</v>
      </c>
      <c r="H15" s="29"/>
      <c r="I15" s="57"/>
      <c r="J15" s="2"/>
    </row>
    <row r="16" spans="1:14">
      <c r="A16" s="26">
        <v>32150</v>
      </c>
      <c r="B16" s="112">
        <v>6.2187999999999999</v>
      </c>
      <c r="C16" s="77">
        <v>5416</v>
      </c>
      <c r="D16" s="52">
        <f t="shared" si="0"/>
        <v>-0.21870000000000012</v>
      </c>
      <c r="E16" s="52">
        <f t="shared" si="1"/>
        <v>-3.3972815533980599E-2</v>
      </c>
      <c r="F16" s="52">
        <f t="shared" si="2"/>
        <v>-33.325714285714305</v>
      </c>
      <c r="G16" s="276">
        <f t="shared" si="3"/>
        <v>980.95238095238096</v>
      </c>
      <c r="H16" s="28"/>
      <c r="I16" s="54"/>
      <c r="J16" s="2"/>
    </row>
    <row r="17" spans="1:10">
      <c r="A17" s="26">
        <v>32153</v>
      </c>
      <c r="B17" s="112">
        <v>6.25</v>
      </c>
      <c r="C17" s="77">
        <v>4588</v>
      </c>
      <c r="D17" s="52">
        <f t="shared" si="0"/>
        <v>3.1200000000000117E-2</v>
      </c>
      <c r="E17" s="52">
        <f t="shared" si="1"/>
        <v>5.0170450890847295E-3</v>
      </c>
      <c r="F17" s="52">
        <f t="shared" si="2"/>
        <v>4.9214823254831153</v>
      </c>
      <c r="G17" s="276">
        <f t="shared" si="3"/>
        <v>980.95238095238096</v>
      </c>
      <c r="H17" s="28"/>
      <c r="I17" s="54"/>
      <c r="J17" s="2"/>
    </row>
    <row r="18" spans="1:10">
      <c r="A18" s="27">
        <v>32154</v>
      </c>
      <c r="B18" s="111">
        <v>6.125</v>
      </c>
      <c r="C18" s="79">
        <v>16236</v>
      </c>
      <c r="D18" s="55">
        <f t="shared" si="0"/>
        <v>-0.125</v>
      </c>
      <c r="E18" s="55">
        <f t="shared" si="1"/>
        <v>-0.02</v>
      </c>
      <c r="F18" s="55">
        <f t="shared" si="2"/>
        <v>-19.61904761904762</v>
      </c>
      <c r="G18" s="289">
        <f t="shared" si="3"/>
        <v>961.33333333333337</v>
      </c>
      <c r="H18" s="29"/>
      <c r="I18" s="57"/>
      <c r="J18" s="2"/>
    </row>
    <row r="19" spans="1:10">
      <c r="A19" s="27">
        <v>32155</v>
      </c>
      <c r="B19" s="111">
        <v>6.1562999999999999</v>
      </c>
      <c r="C19" s="79">
        <v>2864</v>
      </c>
      <c r="D19" s="55">
        <f t="shared" si="0"/>
        <v>3.1299999999999883E-2</v>
      </c>
      <c r="E19" s="55">
        <f t="shared" si="1"/>
        <v>5.1102040816326339E-3</v>
      </c>
      <c r="F19" s="55">
        <f t="shared" si="2"/>
        <v>4.9126095238095058</v>
      </c>
      <c r="G19" s="289">
        <f t="shared" si="3"/>
        <v>961.33333333333337</v>
      </c>
      <c r="H19" s="29"/>
      <c r="I19" s="57"/>
      <c r="J19" s="2"/>
    </row>
    <row r="20" spans="1:10">
      <c r="A20" s="26">
        <v>32156</v>
      </c>
      <c r="B20" s="112">
        <v>6.25</v>
      </c>
      <c r="C20" s="77">
        <v>3080</v>
      </c>
      <c r="D20" s="52">
        <f t="shared" si="0"/>
        <v>9.3700000000000117E-2</v>
      </c>
      <c r="E20" s="52">
        <f t="shared" si="1"/>
        <v>1.5220180952845072E-2</v>
      </c>
      <c r="F20" s="52">
        <f t="shared" si="2"/>
        <v>14.631667289335063</v>
      </c>
      <c r="G20" s="276">
        <f t="shared" si="3"/>
        <v>975.96500062266841</v>
      </c>
      <c r="H20" s="28"/>
      <c r="I20" s="54"/>
      <c r="J20" s="2"/>
    </row>
    <row r="21" spans="1:10">
      <c r="A21" s="26">
        <v>32157</v>
      </c>
      <c r="B21" s="112">
        <v>6.3125</v>
      </c>
      <c r="C21" s="77">
        <v>5312</v>
      </c>
      <c r="D21" s="52">
        <f t="shared" si="0"/>
        <v>6.25E-2</v>
      </c>
      <c r="E21" s="52">
        <f t="shared" si="1"/>
        <v>0.01</v>
      </c>
      <c r="F21" s="52">
        <f t="shared" si="2"/>
        <v>9.7596500062266838</v>
      </c>
      <c r="G21" s="276">
        <f t="shared" si="3"/>
        <v>985.72465062889512</v>
      </c>
      <c r="H21" s="28"/>
      <c r="I21" s="54"/>
      <c r="J21" s="2"/>
    </row>
    <row r="22" spans="1:10">
      <c r="A22" s="27">
        <v>32160</v>
      </c>
      <c r="B22" s="111">
        <v>6.4687999999999999</v>
      </c>
      <c r="C22" s="79">
        <v>12456</v>
      </c>
      <c r="D22" s="55">
        <f t="shared" si="0"/>
        <v>0.15629999999999988</v>
      </c>
      <c r="E22" s="55">
        <f t="shared" si="1"/>
        <v>2.4760396039603942E-2</v>
      </c>
      <c r="F22" s="55">
        <f t="shared" si="2"/>
        <v>24.406932735571676</v>
      </c>
      <c r="G22" s="289">
        <f t="shared" si="3"/>
        <v>1010.1315833644668</v>
      </c>
      <c r="H22" s="29"/>
      <c r="I22" s="57"/>
      <c r="J22" s="2"/>
    </row>
    <row r="23" spans="1:10">
      <c r="A23" s="27">
        <v>32161</v>
      </c>
      <c r="B23" s="111">
        <v>6.2812999999999999</v>
      </c>
      <c r="C23" s="79">
        <v>3020</v>
      </c>
      <c r="D23" s="55">
        <f t="shared" si="0"/>
        <v>-0.1875</v>
      </c>
      <c r="E23" s="55">
        <f t="shared" si="1"/>
        <v>-2.8985283205540439E-2</v>
      </c>
      <c r="F23" s="55">
        <f t="shared" si="2"/>
        <v>-29.278950018680053</v>
      </c>
      <c r="G23" s="289">
        <f t="shared" si="3"/>
        <v>1010.1315833644668</v>
      </c>
      <c r="H23" s="29"/>
      <c r="I23" s="57"/>
      <c r="J23" s="2"/>
    </row>
    <row r="24" spans="1:10">
      <c r="A24" s="26">
        <v>32162</v>
      </c>
      <c r="B24" s="112">
        <v>6.125</v>
      </c>
      <c r="C24" s="77">
        <v>12228</v>
      </c>
      <c r="D24" s="52">
        <f t="shared" si="0"/>
        <v>-0.15629999999999988</v>
      </c>
      <c r="E24" s="52">
        <f t="shared" si="1"/>
        <v>-2.4883384012863562E-2</v>
      </c>
      <c r="F24" s="52">
        <f t="shared" si="2"/>
        <v>-25.135492092379931</v>
      </c>
      <c r="G24" s="276">
        <f t="shared" si="3"/>
        <v>984.99609127208691</v>
      </c>
      <c r="H24" s="28"/>
      <c r="I24" s="54"/>
      <c r="J24" s="2"/>
    </row>
    <row r="25" spans="1:10">
      <c r="A25" s="26">
        <v>32163</v>
      </c>
      <c r="B25" s="112">
        <v>6.1875</v>
      </c>
      <c r="C25" s="77">
        <v>5248</v>
      </c>
      <c r="D25" s="52">
        <f t="shared" si="0"/>
        <v>6.25E-2</v>
      </c>
      <c r="E25" s="52">
        <f t="shared" si="1"/>
        <v>1.020408163265306E-2</v>
      </c>
      <c r="F25" s="52">
        <f t="shared" si="2"/>
        <v>10.05098052318456</v>
      </c>
      <c r="G25" s="276">
        <f t="shared" si="3"/>
        <v>984.99609127208691</v>
      </c>
      <c r="H25" s="28"/>
      <c r="I25" s="54"/>
      <c r="J25" s="2"/>
    </row>
    <row r="26" spans="1:10">
      <c r="A26" s="27">
        <v>32164</v>
      </c>
      <c r="B26" s="111">
        <v>6.1562999999999999</v>
      </c>
      <c r="C26" s="79">
        <v>6632</v>
      </c>
      <c r="D26" s="55">
        <f t="shared" si="0"/>
        <v>-3.1200000000000117E-2</v>
      </c>
      <c r="E26" s="55">
        <f t="shared" si="1"/>
        <v>-5.0424242424242614E-3</v>
      </c>
      <c r="F26" s="55">
        <f t="shared" si="2"/>
        <v>-4.9667681693235117</v>
      </c>
      <c r="G26" s="289">
        <f t="shared" si="3"/>
        <v>980.02932310276344</v>
      </c>
      <c r="H26" s="29"/>
      <c r="I26" s="57"/>
      <c r="J26" s="2"/>
    </row>
    <row r="27" spans="1:10">
      <c r="A27" s="27">
        <v>32167</v>
      </c>
      <c r="B27" s="111">
        <v>6.2812999999999999</v>
      </c>
      <c r="C27" s="79">
        <v>4104</v>
      </c>
      <c r="D27" s="55">
        <f t="shared" si="0"/>
        <v>0.125</v>
      </c>
      <c r="E27" s="55">
        <f t="shared" si="1"/>
        <v>2.0304403619056902E-2</v>
      </c>
      <c r="F27" s="55">
        <f t="shared" si="2"/>
        <v>19.898910934789637</v>
      </c>
      <c r="G27" s="289">
        <f t="shared" si="3"/>
        <v>980.02932310276344</v>
      </c>
      <c r="H27" s="29"/>
      <c r="I27" s="57"/>
      <c r="J27" s="2"/>
    </row>
    <row r="28" spans="1:10">
      <c r="A28" s="26">
        <v>32168</v>
      </c>
      <c r="B28" s="112">
        <v>6.2187999999999999</v>
      </c>
      <c r="C28" s="77">
        <v>4464</v>
      </c>
      <c r="D28" s="52">
        <f t="shared" si="0"/>
        <v>-6.25E-2</v>
      </c>
      <c r="E28" s="52">
        <f t="shared" si="1"/>
        <v>-9.9501695508891468E-3</v>
      </c>
      <c r="F28" s="52">
        <f t="shared" si="2"/>
        <v>-9.7514579297156185</v>
      </c>
      <c r="G28" s="276">
        <f t="shared" si="3"/>
        <v>970.27786517304787</v>
      </c>
      <c r="H28" s="28"/>
      <c r="I28" s="54"/>
      <c r="J28" s="2"/>
    </row>
    <row r="29" spans="1:10">
      <c r="A29" s="26">
        <v>32169</v>
      </c>
      <c r="B29" s="112">
        <v>6.1562999999999999</v>
      </c>
      <c r="C29" s="77">
        <v>6212</v>
      </c>
      <c r="D29" s="52">
        <f t="shared" si="0"/>
        <v>-6.25E-2</v>
      </c>
      <c r="E29" s="52">
        <f t="shared" si="1"/>
        <v>-1.0050170450890848E-2</v>
      </c>
      <c r="F29" s="52">
        <f t="shared" si="2"/>
        <v>-9.7514579297156203</v>
      </c>
      <c r="G29" s="276">
        <f t="shared" si="3"/>
        <v>960.5264072433323</v>
      </c>
      <c r="H29" s="28"/>
      <c r="I29" s="54"/>
      <c r="J29" s="2"/>
    </row>
    <row r="30" spans="1:10">
      <c r="A30" s="27">
        <v>32170</v>
      </c>
      <c r="B30" s="111">
        <v>6.1875</v>
      </c>
      <c r="C30" s="79">
        <v>3836</v>
      </c>
      <c r="D30" s="55">
        <f t="shared" si="0"/>
        <v>3.1200000000000117E-2</v>
      </c>
      <c r="E30" s="55">
        <f t="shared" si="1"/>
        <v>5.0679791433166218E-3</v>
      </c>
      <c r="F30" s="55">
        <f t="shared" si="2"/>
        <v>4.8679277985140557</v>
      </c>
      <c r="G30" s="289">
        <f t="shared" si="3"/>
        <v>960.5264072433323</v>
      </c>
      <c r="H30" s="29"/>
      <c r="I30" s="57"/>
      <c r="J30" s="2"/>
    </row>
    <row r="31" spans="1:10">
      <c r="A31" s="27">
        <v>32171</v>
      </c>
      <c r="B31" s="111">
        <v>6.375</v>
      </c>
      <c r="C31" s="79">
        <v>7640</v>
      </c>
      <c r="D31" s="55">
        <f t="shared" si="0"/>
        <v>0.1875</v>
      </c>
      <c r="E31" s="55">
        <f t="shared" si="1"/>
        <v>3.0303030303030304E-2</v>
      </c>
      <c r="F31" s="55">
        <f t="shared" si="2"/>
        <v>29.106860825555525</v>
      </c>
      <c r="G31" s="289">
        <f t="shared" si="3"/>
        <v>989.63326806888779</v>
      </c>
      <c r="H31" s="29"/>
      <c r="I31" s="57"/>
      <c r="J31" s="2"/>
    </row>
    <row r="32" spans="1:10">
      <c r="A32" s="26">
        <v>32174</v>
      </c>
      <c r="B32" s="112">
        <v>6.2812999999999999</v>
      </c>
      <c r="C32" s="77">
        <v>3544</v>
      </c>
      <c r="D32" s="52">
        <f t="shared" si="0"/>
        <v>-9.3700000000000117E-2</v>
      </c>
      <c r="E32" s="52">
        <f t="shared" si="1"/>
        <v>-1.4698039215686293E-2</v>
      </c>
      <c r="F32" s="52">
        <f t="shared" si="2"/>
        <v>-14.545668583224298</v>
      </c>
      <c r="G32" s="276">
        <f t="shared" si="3"/>
        <v>989.63326806888779</v>
      </c>
      <c r="H32" s="28"/>
      <c r="I32" s="54"/>
      <c r="J32" s="2"/>
    </row>
    <row r="33" spans="1:10">
      <c r="A33" s="26">
        <v>32175</v>
      </c>
      <c r="B33" s="112">
        <v>6.2812999999999999</v>
      </c>
      <c r="C33" s="77">
        <v>4660</v>
      </c>
      <c r="D33" s="52">
        <f t="shared" si="0"/>
        <v>0</v>
      </c>
      <c r="E33" s="52">
        <f t="shared" si="1"/>
        <v>0</v>
      </c>
      <c r="F33" s="52">
        <f t="shared" si="2"/>
        <v>0</v>
      </c>
      <c r="G33" s="276">
        <f t="shared" si="3"/>
        <v>989.63326806888779</v>
      </c>
      <c r="H33" s="28"/>
      <c r="I33" s="54"/>
      <c r="J33" s="2"/>
    </row>
    <row r="34" spans="1:10">
      <c r="A34" s="27">
        <v>32176</v>
      </c>
      <c r="B34" s="111">
        <v>6.3125</v>
      </c>
      <c r="C34" s="79">
        <v>4700</v>
      </c>
      <c r="D34" s="55">
        <f t="shared" si="0"/>
        <v>3.1200000000000117E-2</v>
      </c>
      <c r="E34" s="55">
        <f t="shared" si="1"/>
        <v>4.9671246398038807E-3</v>
      </c>
      <c r="F34" s="55">
        <f t="shared" si="2"/>
        <v>4.9156317901946114</v>
      </c>
      <c r="G34" s="289">
        <f t="shared" si="3"/>
        <v>994.54889985908244</v>
      </c>
      <c r="H34" s="29"/>
      <c r="I34" s="57"/>
      <c r="J34" s="2"/>
    </row>
    <row r="35" spans="1:10">
      <c r="A35" s="27">
        <v>32177</v>
      </c>
      <c r="B35" s="111">
        <v>6.2812999999999999</v>
      </c>
      <c r="C35" s="79">
        <v>9020</v>
      </c>
      <c r="D35" s="55">
        <f t="shared" si="0"/>
        <v>-3.1200000000000117E-2</v>
      </c>
      <c r="E35" s="55">
        <f t="shared" si="1"/>
        <v>-4.9425742574257612E-3</v>
      </c>
      <c r="F35" s="55">
        <f t="shared" si="2"/>
        <v>-4.9156317901946123</v>
      </c>
      <c r="G35" s="289">
        <f t="shared" si="3"/>
        <v>989.63326806888779</v>
      </c>
      <c r="H35" s="29"/>
      <c r="I35" s="57"/>
      <c r="J35" s="2"/>
    </row>
    <row r="36" spans="1:10">
      <c r="A36" s="26">
        <v>32178</v>
      </c>
      <c r="B36" s="112">
        <v>5.9687999999999999</v>
      </c>
      <c r="C36" s="77">
        <v>20964</v>
      </c>
      <c r="D36" s="52">
        <f t="shared" si="0"/>
        <v>-0.3125</v>
      </c>
      <c r="E36" s="52">
        <f t="shared" si="1"/>
        <v>-4.9750847754445736E-2</v>
      </c>
      <c r="F36" s="52">
        <f t="shared" si="2"/>
        <v>-49.235094052429822</v>
      </c>
      <c r="G36" s="276">
        <f t="shared" si="3"/>
        <v>940.39817401645792</v>
      </c>
      <c r="H36" s="28"/>
      <c r="I36" s="54"/>
      <c r="J36" s="2"/>
    </row>
    <row r="37" spans="1:10">
      <c r="A37" s="26">
        <v>32181</v>
      </c>
      <c r="B37" s="112">
        <v>6</v>
      </c>
      <c r="C37" s="77">
        <v>308040</v>
      </c>
      <c r="D37" s="52">
        <f t="shared" si="0"/>
        <v>3.1200000000000117E-2</v>
      </c>
      <c r="E37" s="52">
        <f t="shared" si="1"/>
        <v>5.227181342983534E-3</v>
      </c>
      <c r="F37" s="52">
        <f t="shared" si="2"/>
        <v>4.9156317901946114</v>
      </c>
      <c r="G37" s="276">
        <f t="shared" si="3"/>
        <v>945.31380580665257</v>
      </c>
      <c r="H37" s="28"/>
      <c r="I37" s="54"/>
      <c r="J37" s="2"/>
    </row>
    <row r="38" spans="1:10">
      <c r="A38" s="27">
        <v>32182</v>
      </c>
      <c r="B38" s="111">
        <v>6</v>
      </c>
      <c r="C38" s="79">
        <v>292100</v>
      </c>
      <c r="D38" s="55">
        <f t="shared" si="0"/>
        <v>0</v>
      </c>
      <c r="E38" s="55">
        <f t="shared" si="1"/>
        <v>0</v>
      </c>
      <c r="F38" s="55">
        <f t="shared" si="2"/>
        <v>0</v>
      </c>
      <c r="G38" s="289">
        <f t="shared" si="3"/>
        <v>945.31380580665257</v>
      </c>
      <c r="H38" s="29"/>
      <c r="I38" s="57"/>
      <c r="J38" s="2"/>
    </row>
    <row r="39" spans="1:10">
      <c r="A39" s="27">
        <v>32183</v>
      </c>
      <c r="B39" s="111">
        <v>6</v>
      </c>
      <c r="C39" s="79">
        <v>13612</v>
      </c>
      <c r="D39" s="55">
        <f t="shared" si="0"/>
        <v>0</v>
      </c>
      <c r="E39" s="55">
        <f t="shared" si="1"/>
        <v>0</v>
      </c>
      <c r="F39" s="55">
        <f t="shared" si="2"/>
        <v>0</v>
      </c>
      <c r="G39" s="289">
        <f t="shared" si="3"/>
        <v>945.31380580665257</v>
      </c>
      <c r="H39" s="29"/>
      <c r="I39" s="57"/>
      <c r="J39" s="2"/>
    </row>
    <row r="40" spans="1:10">
      <c r="A40" s="26">
        <v>32184</v>
      </c>
      <c r="B40" s="112">
        <v>6</v>
      </c>
      <c r="C40" s="77">
        <v>10216</v>
      </c>
      <c r="D40" s="52">
        <f t="shared" si="0"/>
        <v>0</v>
      </c>
      <c r="E40" s="52">
        <f t="shared" si="1"/>
        <v>0</v>
      </c>
      <c r="F40" s="52">
        <f t="shared" si="2"/>
        <v>0</v>
      </c>
      <c r="G40" s="276">
        <f t="shared" si="3"/>
        <v>945.31380580665257</v>
      </c>
      <c r="H40" s="28"/>
      <c r="I40" s="54"/>
      <c r="J40" s="2"/>
    </row>
    <row r="41" spans="1:10">
      <c r="A41" s="26">
        <v>32185</v>
      </c>
      <c r="B41" s="112">
        <v>6.0312999999999999</v>
      </c>
      <c r="C41" s="77">
        <v>621256</v>
      </c>
      <c r="D41" s="52">
        <f t="shared" si="0"/>
        <v>3.1299999999999883E-2</v>
      </c>
      <c r="E41" s="52">
        <f t="shared" si="1"/>
        <v>5.2166666666666472E-3</v>
      </c>
      <c r="F41" s="52">
        <f t="shared" si="2"/>
        <v>4.9313870202913526</v>
      </c>
      <c r="G41" s="276">
        <f t="shared" si="3"/>
        <v>950.24519282694393</v>
      </c>
      <c r="H41" s="28"/>
      <c r="I41" s="54"/>
      <c r="J41" s="2"/>
    </row>
    <row r="42" spans="1:10">
      <c r="A42" s="27">
        <v>32189</v>
      </c>
      <c r="B42" s="111">
        <v>6.0312999999999999</v>
      </c>
      <c r="C42" s="79">
        <v>8468</v>
      </c>
      <c r="D42" s="55">
        <f t="shared" si="0"/>
        <v>0</v>
      </c>
      <c r="E42" s="55">
        <f t="shared" si="1"/>
        <v>0</v>
      </c>
      <c r="F42" s="55">
        <f t="shared" si="2"/>
        <v>0</v>
      </c>
      <c r="G42" s="289">
        <f t="shared" si="3"/>
        <v>950.24519282694393</v>
      </c>
      <c r="H42" s="29"/>
      <c r="I42" s="57"/>
      <c r="J42" s="2"/>
    </row>
    <row r="43" spans="1:10">
      <c r="A43" s="27">
        <v>32190</v>
      </c>
      <c r="B43" s="111">
        <v>5.9687999999999999</v>
      </c>
      <c r="C43" s="79">
        <v>5624</v>
      </c>
      <c r="D43" s="55">
        <f t="shared" si="0"/>
        <v>-6.25E-2</v>
      </c>
      <c r="E43" s="55">
        <f t="shared" si="1"/>
        <v>-1.036260839288379E-2</v>
      </c>
      <c r="F43" s="55">
        <f t="shared" si="2"/>
        <v>-9.8470188104859648</v>
      </c>
      <c r="G43" s="289">
        <f t="shared" si="3"/>
        <v>950.24519282694393</v>
      </c>
      <c r="H43" s="29"/>
      <c r="I43" s="57"/>
      <c r="J43" s="2"/>
    </row>
    <row r="44" spans="1:10">
      <c r="A44" s="26">
        <v>32191</v>
      </c>
      <c r="B44" s="112">
        <v>6.0312999999999999</v>
      </c>
      <c r="C44" s="77">
        <v>6052</v>
      </c>
      <c r="D44" s="52">
        <f t="shared" si="0"/>
        <v>6.25E-2</v>
      </c>
      <c r="E44" s="52">
        <f t="shared" si="1"/>
        <v>1.0471116472322746E-2</v>
      </c>
      <c r="F44" s="52">
        <f t="shared" si="2"/>
        <v>9.9501280913557171</v>
      </c>
      <c r="G44" s="276">
        <f t="shared" si="3"/>
        <v>960.19532091829967</v>
      </c>
      <c r="H44" s="28"/>
      <c r="I44" s="54"/>
      <c r="J44" s="2"/>
    </row>
    <row r="45" spans="1:10">
      <c r="A45" s="26">
        <v>32192</v>
      </c>
      <c r="B45" s="112">
        <v>6.0937999999999999</v>
      </c>
      <c r="C45" s="77">
        <v>8984</v>
      </c>
      <c r="D45" s="52">
        <f t="shared" si="0"/>
        <v>6.25E-2</v>
      </c>
      <c r="E45" s="52">
        <f t="shared" si="1"/>
        <v>1.036260839288379E-2</v>
      </c>
      <c r="F45" s="52">
        <f t="shared" si="2"/>
        <v>9.9501280913557171</v>
      </c>
      <c r="G45" s="276">
        <f t="shared" si="3"/>
        <v>970.14544900965541</v>
      </c>
      <c r="H45" s="28"/>
      <c r="I45" s="54"/>
      <c r="J45" s="2"/>
    </row>
    <row r="46" spans="1:10">
      <c r="A46" s="27">
        <v>32195</v>
      </c>
      <c r="B46" s="111">
        <v>6.1875</v>
      </c>
      <c r="C46" s="79">
        <v>7220</v>
      </c>
      <c r="D46" s="55">
        <f t="shared" si="0"/>
        <v>9.3700000000000117E-2</v>
      </c>
      <c r="E46" s="55">
        <f t="shared" si="1"/>
        <v>1.5376284092027983E-2</v>
      </c>
      <c r="F46" s="55">
        <f t="shared" si="2"/>
        <v>14.917232034560509</v>
      </c>
      <c r="G46" s="289">
        <f t="shared" si="3"/>
        <v>970.14544900965541</v>
      </c>
      <c r="H46" s="29"/>
      <c r="I46" s="57"/>
      <c r="J46" s="2"/>
    </row>
    <row r="47" spans="1:10">
      <c r="A47" s="27">
        <v>32196</v>
      </c>
      <c r="B47" s="111">
        <v>6.125</v>
      </c>
      <c r="C47" s="79">
        <v>7272</v>
      </c>
      <c r="D47" s="55">
        <f t="shared" si="0"/>
        <v>-6.25E-2</v>
      </c>
      <c r="E47" s="55">
        <f t="shared" si="1"/>
        <v>-1.0101010101010102E-2</v>
      </c>
      <c r="F47" s="55">
        <f t="shared" si="2"/>
        <v>-9.7994489798955104</v>
      </c>
      <c r="G47" s="289">
        <f t="shared" si="3"/>
        <v>960.34600002975992</v>
      </c>
      <c r="H47" s="29"/>
      <c r="I47" s="57"/>
      <c r="J47" s="2"/>
    </row>
    <row r="48" spans="1:10">
      <c r="A48" s="26">
        <v>32197</v>
      </c>
      <c r="B48" s="112">
        <v>6.25</v>
      </c>
      <c r="C48" s="77">
        <v>15656</v>
      </c>
      <c r="D48" s="52">
        <f t="shared" si="0"/>
        <v>0.125</v>
      </c>
      <c r="E48" s="52">
        <f t="shared" si="1"/>
        <v>2.0408163265306121E-2</v>
      </c>
      <c r="F48" s="52">
        <f t="shared" si="2"/>
        <v>19.598897959791017</v>
      </c>
      <c r="G48" s="276">
        <f t="shared" si="3"/>
        <v>979.9448979895509</v>
      </c>
      <c r="H48" s="28"/>
      <c r="I48" s="54"/>
      <c r="J48" s="2"/>
    </row>
    <row r="49" spans="1:10">
      <c r="A49" s="26">
        <v>32198</v>
      </c>
      <c r="B49" s="112">
        <v>6.2187999999999999</v>
      </c>
      <c r="C49" s="77">
        <v>9976</v>
      </c>
      <c r="D49" s="52">
        <f t="shared" si="0"/>
        <v>-3.1200000000000117E-2</v>
      </c>
      <c r="E49" s="52">
        <f t="shared" si="1"/>
        <v>-4.992000000000019E-3</v>
      </c>
      <c r="F49" s="52">
        <f t="shared" si="2"/>
        <v>-4.8918849307638563</v>
      </c>
      <c r="G49" s="276">
        <f t="shared" si="3"/>
        <v>979.9448979895509</v>
      </c>
      <c r="H49" s="28"/>
      <c r="I49" s="54"/>
      <c r="J49" s="2"/>
    </row>
    <row r="50" spans="1:10">
      <c r="A50" s="27">
        <v>32199</v>
      </c>
      <c r="B50" s="111">
        <v>6.125</v>
      </c>
      <c r="C50" s="79">
        <v>5552</v>
      </c>
      <c r="D50" s="55">
        <f t="shared" si="0"/>
        <v>-9.3799999999999883E-2</v>
      </c>
      <c r="E50" s="55">
        <f t="shared" si="1"/>
        <v>-1.5083295812696965E-2</v>
      </c>
      <c r="F50" s="55">
        <f t="shared" si="2"/>
        <v>-14.780798776519548</v>
      </c>
      <c r="G50" s="289">
        <f t="shared" si="3"/>
        <v>979.9448979895509</v>
      </c>
      <c r="H50" s="29"/>
      <c r="I50" s="57"/>
      <c r="J50" s="2"/>
    </row>
    <row r="51" spans="1:10">
      <c r="A51" s="27">
        <v>32202</v>
      </c>
      <c r="B51" s="111">
        <v>6.0312999999999999</v>
      </c>
      <c r="C51" s="79">
        <v>6728</v>
      </c>
      <c r="D51" s="55">
        <f t="shared" si="0"/>
        <v>-9.3700000000000117E-2</v>
      </c>
      <c r="E51" s="55">
        <f t="shared" si="1"/>
        <v>-1.5297959183673488E-2</v>
      </c>
      <c r="F51" s="55">
        <f t="shared" si="2"/>
        <v>-14.991157051693229</v>
      </c>
      <c r="G51" s="289">
        <f t="shared" si="3"/>
        <v>964.95374093785767</v>
      </c>
      <c r="H51" s="29"/>
      <c r="I51" s="57"/>
      <c r="J51" s="2"/>
    </row>
    <row r="52" spans="1:10">
      <c r="A52" s="26">
        <v>32203</v>
      </c>
      <c r="B52" s="112">
        <v>6.0312999999999999</v>
      </c>
      <c r="C52" s="77">
        <v>24504</v>
      </c>
      <c r="D52" s="52">
        <f t="shared" si="0"/>
        <v>0</v>
      </c>
      <c r="E52" s="52">
        <f t="shared" si="1"/>
        <v>0</v>
      </c>
      <c r="F52" s="52">
        <f t="shared" si="2"/>
        <v>0</v>
      </c>
      <c r="G52" s="276">
        <f t="shared" si="3"/>
        <v>964.95374093785767</v>
      </c>
      <c r="H52" s="28"/>
      <c r="I52" s="54"/>
      <c r="J52" s="2"/>
    </row>
    <row r="53" spans="1:10">
      <c r="A53" s="26">
        <v>32204</v>
      </c>
      <c r="B53" s="112">
        <v>6</v>
      </c>
      <c r="C53" s="77">
        <v>14116</v>
      </c>
      <c r="D53" s="52">
        <f t="shared" si="0"/>
        <v>-3.1299999999999883E-2</v>
      </c>
      <c r="E53" s="52">
        <f t="shared" si="1"/>
        <v>-5.1895942831561822E-3</v>
      </c>
      <c r="F53" s="52">
        <f t="shared" si="2"/>
        <v>-5.0077184174812777</v>
      </c>
      <c r="G53" s="276">
        <f t="shared" si="3"/>
        <v>964.95374093785767</v>
      </c>
      <c r="H53" s="28"/>
      <c r="I53" s="54"/>
      <c r="J53" s="2"/>
    </row>
    <row r="54" spans="1:10">
      <c r="A54" s="27">
        <v>32205</v>
      </c>
      <c r="B54" s="111">
        <v>6</v>
      </c>
      <c r="C54" s="79">
        <v>8308</v>
      </c>
      <c r="D54" s="55">
        <f t="shared" si="0"/>
        <v>0</v>
      </c>
      <c r="E54" s="55">
        <f t="shared" si="1"/>
        <v>0</v>
      </c>
      <c r="F54" s="55">
        <f t="shared" si="2"/>
        <v>0</v>
      </c>
      <c r="G54" s="289">
        <f t="shared" si="3"/>
        <v>964.95374093785767</v>
      </c>
      <c r="H54" s="29"/>
      <c r="I54" s="57"/>
      <c r="J54" s="2"/>
    </row>
    <row r="55" spans="1:10">
      <c r="A55" s="27">
        <v>32206</v>
      </c>
      <c r="B55" s="111">
        <v>6</v>
      </c>
      <c r="C55" s="79">
        <v>6368</v>
      </c>
      <c r="D55" s="55">
        <f t="shared" si="0"/>
        <v>0</v>
      </c>
      <c r="E55" s="55">
        <f t="shared" si="1"/>
        <v>0</v>
      </c>
      <c r="F55" s="55">
        <f t="shared" si="2"/>
        <v>0</v>
      </c>
      <c r="G55" s="289">
        <f t="shared" si="3"/>
        <v>964.95374093785767</v>
      </c>
      <c r="H55" s="29"/>
      <c r="I55" s="57"/>
      <c r="J55" s="2"/>
    </row>
    <row r="56" spans="1:10">
      <c r="A56" s="26">
        <v>32209</v>
      </c>
      <c r="B56" s="112">
        <v>5.875</v>
      </c>
      <c r="C56" s="77">
        <v>6188</v>
      </c>
      <c r="D56" s="52">
        <f t="shared" si="0"/>
        <v>-0.125</v>
      </c>
      <c r="E56" s="52">
        <f t="shared" si="1"/>
        <v>-2.0833333333333332E-2</v>
      </c>
      <c r="F56" s="52">
        <f t="shared" si="2"/>
        <v>-20.103202936205367</v>
      </c>
      <c r="G56" s="276">
        <f t="shared" si="3"/>
        <v>964.95374093785767</v>
      </c>
      <c r="H56" s="28"/>
      <c r="I56" s="54"/>
      <c r="J56" s="2"/>
    </row>
    <row r="57" spans="1:10">
      <c r="A57" s="26">
        <v>32210</v>
      </c>
      <c r="B57" s="112">
        <v>5.9375</v>
      </c>
      <c r="C57" s="77">
        <v>16008</v>
      </c>
      <c r="D57" s="52">
        <f t="shared" si="0"/>
        <v>6.25E-2</v>
      </c>
      <c r="E57" s="52">
        <f t="shared" si="1"/>
        <v>1.0638297872340425E-2</v>
      </c>
      <c r="F57" s="52">
        <f t="shared" si="2"/>
        <v>10.265465329126146</v>
      </c>
      <c r="G57" s="276">
        <f t="shared" si="3"/>
        <v>975.21920626698386</v>
      </c>
      <c r="H57" s="28"/>
      <c r="I57" s="54"/>
      <c r="J57" s="2"/>
    </row>
    <row r="58" spans="1:10">
      <c r="A58" s="27">
        <v>32211</v>
      </c>
      <c r="B58" s="111">
        <v>6</v>
      </c>
      <c r="C58" s="79">
        <v>15000</v>
      </c>
      <c r="D58" s="55">
        <f t="shared" si="0"/>
        <v>6.25E-2</v>
      </c>
      <c r="E58" s="55">
        <f t="shared" si="1"/>
        <v>1.0526315789473684E-2</v>
      </c>
      <c r="F58" s="55">
        <f t="shared" si="2"/>
        <v>10.265465329126146</v>
      </c>
      <c r="G58" s="289">
        <f t="shared" si="3"/>
        <v>975.21920626698386</v>
      </c>
      <c r="H58" s="29"/>
      <c r="I58" s="57"/>
      <c r="J58" s="2"/>
    </row>
    <row r="59" spans="1:10">
      <c r="A59" s="27">
        <v>32212</v>
      </c>
      <c r="B59" s="111">
        <v>5.9687999999999999</v>
      </c>
      <c r="C59" s="79">
        <v>16164</v>
      </c>
      <c r="D59" s="55">
        <f t="shared" si="0"/>
        <v>-3.1200000000000117E-2</v>
      </c>
      <c r="E59" s="55">
        <f t="shared" si="1"/>
        <v>-5.2000000000000197E-3</v>
      </c>
      <c r="F59" s="55">
        <f t="shared" si="2"/>
        <v>-5.0711398725883354</v>
      </c>
      <c r="G59" s="289">
        <f t="shared" si="3"/>
        <v>970.14806639439553</v>
      </c>
      <c r="H59" s="29"/>
      <c r="I59" s="57"/>
      <c r="J59" s="2"/>
    </row>
    <row r="60" spans="1:10">
      <c r="A60" s="26">
        <v>32213</v>
      </c>
      <c r="B60" s="112">
        <v>5.9375</v>
      </c>
      <c r="C60" s="77">
        <v>4476</v>
      </c>
      <c r="D60" s="52">
        <f t="shared" si="0"/>
        <v>-3.1299999999999883E-2</v>
      </c>
      <c r="E60" s="52">
        <f t="shared" si="1"/>
        <v>-5.2439351293392111E-3</v>
      </c>
      <c r="F60" s="52">
        <f t="shared" si="2"/>
        <v>-5.0873935260260801</v>
      </c>
      <c r="G60" s="276">
        <f t="shared" si="3"/>
        <v>970.14806639439553</v>
      </c>
      <c r="H60" s="28"/>
      <c r="I60" s="54"/>
      <c r="J60" s="2"/>
    </row>
    <row r="61" spans="1:10">
      <c r="A61" s="26">
        <v>32216</v>
      </c>
      <c r="B61" s="112">
        <v>5.9062999999999999</v>
      </c>
      <c r="C61" s="77">
        <v>5512</v>
      </c>
      <c r="D61" s="52">
        <f t="shared" si="0"/>
        <v>-3.1200000000000117E-2</v>
      </c>
      <c r="E61" s="52">
        <f t="shared" si="1"/>
        <v>-5.2547368421052825E-3</v>
      </c>
      <c r="F61" s="52">
        <f t="shared" si="2"/>
        <v>-5.0978727867798321</v>
      </c>
      <c r="G61" s="276">
        <f t="shared" si="3"/>
        <v>965.05019360761571</v>
      </c>
      <c r="H61" s="28"/>
      <c r="I61" s="54"/>
      <c r="J61" s="2"/>
    </row>
    <row r="62" spans="1:10">
      <c r="A62" s="27">
        <v>32217</v>
      </c>
      <c r="B62" s="111">
        <v>5.8437999999999999</v>
      </c>
      <c r="C62" s="79">
        <v>3516</v>
      </c>
      <c r="D62" s="55">
        <f t="shared" si="0"/>
        <v>-6.25E-2</v>
      </c>
      <c r="E62" s="55">
        <f t="shared" si="1"/>
        <v>-1.0581920999610585E-2</v>
      </c>
      <c r="F62" s="55">
        <f t="shared" si="2"/>
        <v>-10.21208490941469</v>
      </c>
      <c r="G62" s="289">
        <f t="shared" si="3"/>
        <v>965.05019360761571</v>
      </c>
      <c r="H62" s="29"/>
      <c r="I62" s="57"/>
      <c r="J62" s="2"/>
    </row>
    <row r="63" spans="1:10">
      <c r="A63" s="27">
        <v>32218</v>
      </c>
      <c r="B63" s="111">
        <v>5.8437999999999999</v>
      </c>
      <c r="C63" s="79">
        <v>6104</v>
      </c>
      <c r="D63" s="55">
        <f t="shared" si="0"/>
        <v>0</v>
      </c>
      <c r="E63" s="55">
        <f t="shared" si="1"/>
        <v>0</v>
      </c>
      <c r="F63" s="55">
        <f t="shared" si="2"/>
        <v>0</v>
      </c>
      <c r="G63" s="289">
        <f t="shared" si="3"/>
        <v>965.05019360761571</v>
      </c>
      <c r="H63" s="29"/>
      <c r="I63" s="57"/>
      <c r="J63" s="2"/>
    </row>
    <row r="64" spans="1:10">
      <c r="A64" s="26">
        <v>32219</v>
      </c>
      <c r="B64" s="112">
        <v>5.8437999999999999</v>
      </c>
      <c r="C64" s="77">
        <v>15576</v>
      </c>
      <c r="D64" s="52">
        <f t="shared" si="0"/>
        <v>0</v>
      </c>
      <c r="E64" s="52">
        <f t="shared" si="1"/>
        <v>0</v>
      </c>
      <c r="F64" s="52">
        <f t="shared" si="2"/>
        <v>0</v>
      </c>
      <c r="G64" s="276">
        <f t="shared" si="3"/>
        <v>965.05019360761571</v>
      </c>
      <c r="H64" s="28"/>
      <c r="I64" s="54"/>
      <c r="J64" s="2"/>
    </row>
    <row r="65" spans="1:10">
      <c r="A65" s="26">
        <v>32220</v>
      </c>
      <c r="B65" s="112">
        <v>5.75</v>
      </c>
      <c r="C65" s="77">
        <v>16152</v>
      </c>
      <c r="D65" s="52">
        <f t="shared" si="0"/>
        <v>-9.3799999999999883E-2</v>
      </c>
      <c r="E65" s="52">
        <f t="shared" si="1"/>
        <v>-1.6051199561928863E-2</v>
      </c>
      <c r="F65" s="52">
        <f t="shared" si="2"/>
        <v>-15.490213244873926</v>
      </c>
      <c r="G65" s="276">
        <f t="shared" si="3"/>
        <v>949.55998036274184</v>
      </c>
      <c r="H65" s="28"/>
      <c r="I65" s="54"/>
      <c r="J65" s="2"/>
    </row>
    <row r="66" spans="1:10">
      <c r="J66" s="2"/>
    </row>
    <row r="67" spans="1:10">
      <c r="J67" s="2"/>
    </row>
    <row r="68" spans="1:10" ht="30.75" customHeight="1">
      <c r="A68" s="447" t="s">
        <v>896</v>
      </c>
      <c r="B68" s="447"/>
      <c r="C68" s="447"/>
      <c r="D68" s="447"/>
      <c r="E68" s="447"/>
      <c r="F68" s="447"/>
      <c r="G68" s="447"/>
      <c r="H68" s="447"/>
      <c r="I68" s="447"/>
      <c r="J68" s="2"/>
    </row>
    <row r="69" spans="1:10" ht="34.5" customHeight="1">
      <c r="A69" s="447" t="s">
        <v>897</v>
      </c>
      <c r="B69" s="447"/>
      <c r="C69" s="447"/>
      <c r="D69" s="447"/>
      <c r="E69" s="447"/>
      <c r="F69" s="447"/>
      <c r="G69" s="447"/>
      <c r="H69" s="447"/>
      <c r="I69" s="447"/>
      <c r="J69" s="2"/>
    </row>
    <row r="70" spans="1:10" ht="32.25" customHeight="1">
      <c r="A70" s="447" t="s">
        <v>898</v>
      </c>
      <c r="B70" s="447"/>
      <c r="C70" s="447"/>
      <c r="D70" s="447"/>
      <c r="E70" s="447"/>
      <c r="F70" s="447"/>
      <c r="G70" s="447"/>
      <c r="H70" s="447"/>
      <c r="I70" s="447"/>
      <c r="J70" s="2"/>
    </row>
    <row r="71" spans="1:10" ht="15">
      <c r="A71" s="447" t="s">
        <v>899</v>
      </c>
      <c r="B71" s="447"/>
      <c r="C71" s="447"/>
      <c r="D71" s="447"/>
      <c r="E71" s="447"/>
      <c r="F71" s="447"/>
      <c r="G71" s="447"/>
      <c r="H71" s="447"/>
      <c r="I71" s="447"/>
      <c r="J71" s="2"/>
    </row>
    <row r="72" spans="1:10" ht="81" customHeight="1">
      <c r="A72" s="447" t="s">
        <v>900</v>
      </c>
      <c r="B72" s="447"/>
      <c r="C72" s="447"/>
      <c r="D72" s="447"/>
      <c r="E72" s="447"/>
      <c r="F72" s="447"/>
      <c r="G72" s="447"/>
      <c r="H72" s="447"/>
      <c r="I72" s="447"/>
      <c r="J72" s="2"/>
    </row>
    <row r="73" spans="1:10">
      <c r="J73" s="2"/>
    </row>
    <row r="74" spans="1:10">
      <c r="J74" s="2"/>
    </row>
    <row r="75" spans="1:10">
      <c r="J75" s="2"/>
    </row>
    <row r="76" spans="1:10">
      <c r="J76" s="2"/>
    </row>
    <row r="77" spans="1:10">
      <c r="J77" s="2"/>
    </row>
    <row r="78" spans="1:10">
      <c r="J78" s="2"/>
    </row>
    <row r="79" spans="1:10">
      <c r="J79" s="2"/>
    </row>
    <row r="80" spans="1:10">
      <c r="J80" s="2"/>
    </row>
    <row r="81" spans="10:10">
      <c r="J81" s="2"/>
    </row>
    <row r="82" spans="10:10">
      <c r="J82" s="2"/>
    </row>
    <row r="83" spans="10:10">
      <c r="J83" s="2"/>
    </row>
    <row r="84" spans="10:10">
      <c r="J84" s="2"/>
    </row>
    <row r="85" spans="10:10">
      <c r="J85" s="2"/>
    </row>
    <row r="86" spans="10:10">
      <c r="J86" s="2"/>
    </row>
    <row r="87" spans="10:10">
      <c r="J87" s="2"/>
    </row>
    <row r="88" spans="10:10">
      <c r="J88" s="2"/>
    </row>
    <row r="89" spans="10:10">
      <c r="J89" s="2"/>
    </row>
    <row r="90" spans="10:10">
      <c r="J90" s="2"/>
    </row>
    <row r="91" spans="10:10">
      <c r="J91" s="2"/>
    </row>
    <row r="92" spans="10:10">
      <c r="J92" s="2"/>
    </row>
    <row r="93" spans="10:10">
      <c r="J93" s="2"/>
    </row>
    <row r="94" spans="10:10">
      <c r="J94" s="2"/>
    </row>
    <row r="95" spans="10:10">
      <c r="J95" s="2"/>
    </row>
    <row r="96" spans="10:10">
      <c r="J96" s="2"/>
    </row>
    <row r="97" spans="10:10">
      <c r="J97" s="2"/>
    </row>
    <row r="98" spans="10:10">
      <c r="J98" s="2"/>
    </row>
    <row r="99" spans="10:10">
      <c r="J99" s="2"/>
    </row>
    <row r="100" spans="10:10">
      <c r="J100" s="2"/>
    </row>
    <row r="101" spans="10:10">
      <c r="J101" s="2"/>
    </row>
    <row r="102" spans="10:10">
      <c r="J102" s="2"/>
    </row>
    <row r="103" spans="10:10">
      <c r="J103" s="2"/>
    </row>
    <row r="104" spans="10:10">
      <c r="J104" s="2"/>
    </row>
    <row r="105" spans="10:10">
      <c r="J105" s="2"/>
    </row>
    <row r="106" spans="10:10">
      <c r="J106" s="2"/>
    </row>
    <row r="107" spans="10:10">
      <c r="J107" s="2"/>
    </row>
    <row r="108" spans="10:10">
      <c r="J108" s="2"/>
    </row>
    <row r="109" spans="10:10">
      <c r="J109" s="2"/>
    </row>
    <row r="110" spans="10:10">
      <c r="J110" s="2"/>
    </row>
    <row r="111" spans="10:10">
      <c r="J111" s="2"/>
    </row>
    <row r="112" spans="10:10">
      <c r="J112" s="2"/>
    </row>
    <row r="113" spans="10:10">
      <c r="J113" s="2"/>
    </row>
    <row r="114" spans="10:10">
      <c r="J114" s="2"/>
    </row>
    <row r="115" spans="10:10">
      <c r="J115" s="2"/>
    </row>
    <row r="116" spans="10:10">
      <c r="J116" s="2"/>
    </row>
    <row r="117" spans="10:10">
      <c r="J117" s="2"/>
    </row>
    <row r="118" spans="10:10">
      <c r="J118" s="2"/>
    </row>
    <row r="119" spans="10:10">
      <c r="J119" s="2"/>
    </row>
    <row r="120" spans="10:10">
      <c r="J120" s="2"/>
    </row>
    <row r="121" spans="10:10">
      <c r="J121" s="2"/>
    </row>
    <row r="122" spans="10:10">
      <c r="J122" s="2"/>
    </row>
    <row r="123" spans="10:10">
      <c r="J123" s="2"/>
    </row>
    <row r="124" spans="10:10">
      <c r="J124" s="2"/>
    </row>
    <row r="125" spans="10:10">
      <c r="J125" s="2"/>
    </row>
    <row r="126" spans="10:10">
      <c r="J126" s="2"/>
    </row>
    <row r="127" spans="10:10">
      <c r="J127" s="2"/>
    </row>
    <row r="128" spans="10:10">
      <c r="J128" s="2"/>
    </row>
    <row r="129" spans="10:10">
      <c r="J129" s="2"/>
    </row>
    <row r="130" spans="10:10">
      <c r="J130" s="2"/>
    </row>
    <row r="131" spans="10:10">
      <c r="J131" s="2"/>
    </row>
    <row r="132" spans="10:10">
      <c r="J132" s="2"/>
    </row>
    <row r="133" spans="10:10">
      <c r="J133" s="2"/>
    </row>
    <row r="134" spans="10:10">
      <c r="J134" s="2"/>
    </row>
    <row r="135" spans="10:10">
      <c r="J135" s="2"/>
    </row>
    <row r="136" spans="10:10">
      <c r="J136" s="2"/>
    </row>
    <row r="137" spans="10:10">
      <c r="J137" s="2"/>
    </row>
    <row r="138" spans="10:10">
      <c r="J138" s="2"/>
    </row>
    <row r="139" spans="10:10">
      <c r="J139" s="2"/>
    </row>
    <row r="140" spans="10:10">
      <c r="J140" s="2"/>
    </row>
    <row r="141" spans="10:10">
      <c r="J141" s="2"/>
    </row>
    <row r="142" spans="10:10">
      <c r="J142" s="2"/>
    </row>
    <row r="143" spans="10:10">
      <c r="J143" s="2"/>
    </row>
    <row r="144" spans="10:10">
      <c r="J144" s="2"/>
    </row>
    <row r="145" spans="10:10">
      <c r="J145" s="2"/>
    </row>
    <row r="146" spans="10:10">
      <c r="J146" s="2"/>
    </row>
    <row r="147" spans="10:10">
      <c r="J147" s="2"/>
    </row>
    <row r="148" spans="10:10">
      <c r="J148" s="2"/>
    </row>
    <row r="149" spans="10:10">
      <c r="J149" s="2"/>
    </row>
    <row r="150" spans="10:10">
      <c r="J150" s="2"/>
    </row>
    <row r="151" spans="10:10">
      <c r="J151" s="2"/>
    </row>
    <row r="152" spans="10:10">
      <c r="J152" s="2"/>
    </row>
    <row r="153" spans="10:10">
      <c r="J153" s="2"/>
    </row>
    <row r="154" spans="10:10">
      <c r="J154" s="2"/>
    </row>
    <row r="155" spans="10:10">
      <c r="J155" s="2"/>
    </row>
    <row r="156" spans="10:10">
      <c r="J156" s="2"/>
    </row>
    <row r="157" spans="10:10">
      <c r="J157" s="2"/>
    </row>
    <row r="158" spans="10:10">
      <c r="J158" s="2"/>
    </row>
    <row r="159" spans="10:10">
      <c r="J159" s="2"/>
    </row>
    <row r="160" spans="10:10">
      <c r="J160" s="2"/>
    </row>
    <row r="161" spans="10:10">
      <c r="J161" s="2"/>
    </row>
    <row r="162" spans="10:10">
      <c r="J162" s="2"/>
    </row>
    <row r="163" spans="10:10">
      <c r="J163" s="2"/>
    </row>
    <row r="164" spans="10:10">
      <c r="J164" s="2"/>
    </row>
    <row r="165" spans="10:10">
      <c r="J165" s="2"/>
    </row>
    <row r="166" spans="10:10">
      <c r="J166" s="2"/>
    </row>
    <row r="167" spans="10:10">
      <c r="J167" s="2"/>
    </row>
    <row r="168" spans="10:10">
      <c r="J168" s="2"/>
    </row>
    <row r="169" spans="10:10">
      <c r="J169" s="2"/>
    </row>
    <row r="170" spans="10:10">
      <c r="J170" s="2"/>
    </row>
    <row r="171" spans="10:10">
      <c r="J171" s="2"/>
    </row>
    <row r="172" spans="10:10">
      <c r="J172" s="2"/>
    </row>
    <row r="173" spans="10:10">
      <c r="J173" s="2"/>
    </row>
    <row r="174" spans="10:10">
      <c r="J174" s="2"/>
    </row>
    <row r="175" spans="10:10">
      <c r="J175" s="2"/>
    </row>
    <row r="176" spans="10:10">
      <c r="J176" s="2"/>
    </row>
    <row r="177" spans="10:10">
      <c r="J177" s="2"/>
    </row>
    <row r="178" spans="10:10">
      <c r="J178" s="2"/>
    </row>
    <row r="179" spans="10:10">
      <c r="J179" s="2"/>
    </row>
    <row r="180" spans="10:10">
      <c r="J180" s="2"/>
    </row>
    <row r="181" spans="10:10">
      <c r="J181" s="2"/>
    </row>
    <row r="182" spans="10:10">
      <c r="J182" s="2"/>
    </row>
    <row r="183" spans="10:10">
      <c r="J183" s="2"/>
    </row>
    <row r="184" spans="10:10">
      <c r="J184" s="2"/>
    </row>
    <row r="185" spans="10:10">
      <c r="J185" s="2"/>
    </row>
    <row r="186" spans="10:10">
      <c r="J186" s="2"/>
    </row>
    <row r="187" spans="10:10">
      <c r="J187" s="2"/>
    </row>
    <row r="188" spans="10:10">
      <c r="J188" s="2"/>
    </row>
    <row r="189" spans="10:10">
      <c r="J189" s="2"/>
    </row>
    <row r="190" spans="10:10">
      <c r="J190" s="2"/>
    </row>
  </sheetData>
  <mergeCells count="6">
    <mergeCell ref="A71:I71"/>
    <mergeCell ref="A72:I72"/>
    <mergeCell ref="B4:I4"/>
    <mergeCell ref="A68:I68"/>
    <mergeCell ref="A69:I69"/>
    <mergeCell ref="A70:I70"/>
  </mergeCells>
  <phoneticPr fontId="0" type="noConversion"/>
  <pageMargins left="0.75" right="0.75" top="1" bottom="1" header="0.5" footer="0.5"/>
  <pageSetup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0180" r:id="rId3" name="Button 4">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50181"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50182"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50183"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enableFormatConditionsCalculation="0"/>
  <dimension ref="A1:N244"/>
  <sheetViews>
    <sheetView workbookViewId="0"/>
  </sheetViews>
  <sheetFormatPr baseColWidth="10" defaultColWidth="8.83203125" defaultRowHeight="12" x14ac:dyDescent="0"/>
  <cols>
    <col min="1" max="1" width="14.6640625" customWidth="1"/>
    <col min="4" max="4" width="14.5" customWidth="1"/>
    <col min="5" max="5" width="14.33203125" customWidth="1"/>
    <col min="6" max="6" width="12"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821</v>
      </c>
      <c r="C3" s="21"/>
      <c r="D3" s="21"/>
      <c r="E3" s="21"/>
      <c r="F3" s="21"/>
      <c r="G3" s="21"/>
      <c r="H3" s="21"/>
      <c r="I3" s="21"/>
      <c r="J3" s="21"/>
    </row>
    <row r="4" spans="1:14">
      <c r="A4" s="19" t="s">
        <v>774</v>
      </c>
      <c r="B4" s="20" t="s">
        <v>822</v>
      </c>
      <c r="C4" s="21"/>
      <c r="D4" s="21"/>
      <c r="E4" s="21"/>
      <c r="F4" s="74"/>
      <c r="G4" s="21"/>
      <c r="H4" s="21"/>
      <c r="I4" s="21"/>
      <c r="J4" s="21"/>
    </row>
    <row r="5" spans="1:14" s="1" customFormat="1" ht="29.25" customHeight="1">
      <c r="A5" s="195" t="s">
        <v>779</v>
      </c>
      <c r="B5" s="452" t="s">
        <v>902</v>
      </c>
      <c r="C5" s="453"/>
      <c r="D5" s="453"/>
      <c r="E5" s="453"/>
      <c r="F5" s="453"/>
      <c r="G5" s="453"/>
      <c r="H5" s="453"/>
      <c r="I5" s="453"/>
      <c r="J5" s="453"/>
    </row>
    <row r="6" spans="1:14" s="1" customFormat="1">
      <c r="A6" s="156" t="s">
        <v>635</v>
      </c>
      <c r="B6" s="96" t="s">
        <v>750</v>
      </c>
      <c r="C6" s="96"/>
      <c r="D6" s="96"/>
      <c r="E6" s="96"/>
      <c r="F6" s="97"/>
      <c r="G6" s="98"/>
      <c r="H6" s="98"/>
      <c r="I6" s="98"/>
      <c r="J6" s="98"/>
    </row>
    <row r="7" spans="1:14" s="1" customFormat="1" ht="52.5" customHeight="1">
      <c r="A7" s="22" t="s">
        <v>1090</v>
      </c>
      <c r="B7" s="22" t="s">
        <v>1096</v>
      </c>
      <c r="C7" s="22" t="s">
        <v>1097</v>
      </c>
      <c r="D7" s="31" t="s">
        <v>903</v>
      </c>
      <c r="E7" s="31" t="s">
        <v>904</v>
      </c>
      <c r="F7" s="22"/>
      <c r="G7" s="22"/>
      <c r="H7" s="22"/>
      <c r="I7" s="22"/>
      <c r="J7" s="22"/>
    </row>
    <row r="8" spans="1:14">
      <c r="A8" s="26">
        <v>30889</v>
      </c>
      <c r="B8" s="52">
        <v>2.8906999999999998</v>
      </c>
      <c r="C8" s="52">
        <v>2.8437000000000001</v>
      </c>
      <c r="D8" s="52"/>
      <c r="E8" s="100"/>
      <c r="F8" s="28"/>
      <c r="G8" s="28"/>
      <c r="H8" s="28"/>
      <c r="I8" s="28"/>
      <c r="J8" s="54"/>
    </row>
    <row r="9" spans="1:14">
      <c r="A9" s="27">
        <v>30890</v>
      </c>
      <c r="B9" s="55">
        <v>2.9062999999999999</v>
      </c>
      <c r="C9" s="55">
        <v>2.8542999999999998</v>
      </c>
      <c r="D9" s="55"/>
      <c r="E9" s="99"/>
      <c r="F9" s="29"/>
      <c r="G9" s="29"/>
      <c r="H9" s="29"/>
      <c r="I9" s="29"/>
      <c r="J9" s="57"/>
    </row>
    <row r="10" spans="1:14">
      <c r="A10" s="27">
        <v>30893</v>
      </c>
      <c r="B10" s="55">
        <v>2.875</v>
      </c>
      <c r="C10" s="55">
        <v>2.8332999999999999</v>
      </c>
      <c r="D10" s="55"/>
      <c r="E10" s="99"/>
      <c r="F10" s="29"/>
      <c r="G10" s="29"/>
      <c r="H10" s="29"/>
      <c r="I10" s="29"/>
      <c r="J10" s="57"/>
    </row>
    <row r="11" spans="1:14">
      <c r="A11" s="26">
        <v>30894</v>
      </c>
      <c r="B11" s="52">
        <v>2.8542999999999998</v>
      </c>
      <c r="C11" s="52">
        <v>2.8127</v>
      </c>
      <c r="D11" s="52"/>
      <c r="E11" s="100"/>
      <c r="F11" s="28"/>
      <c r="G11" s="28"/>
      <c r="H11" s="28"/>
      <c r="I11" s="28"/>
      <c r="J11" s="54"/>
    </row>
    <row r="12" spans="1:14">
      <c r="A12" s="26">
        <v>30895</v>
      </c>
      <c r="B12" s="52">
        <v>2.9740000000000002</v>
      </c>
      <c r="C12" s="52">
        <v>2.8647</v>
      </c>
      <c r="D12" s="52"/>
      <c r="E12" s="100"/>
      <c r="F12" s="28"/>
      <c r="G12" s="28"/>
      <c r="H12" s="28"/>
      <c r="I12" s="28"/>
      <c r="J12" s="54"/>
    </row>
    <row r="13" spans="1:14">
      <c r="A13" s="27">
        <v>30896</v>
      </c>
      <c r="B13" s="55">
        <v>3.073</v>
      </c>
      <c r="C13" s="55">
        <v>2.9792999999999998</v>
      </c>
      <c r="D13" s="55">
        <f>MAX(B8:B12)</f>
        <v>2.9740000000000002</v>
      </c>
      <c r="E13" s="99">
        <f>MIN(C8:C12)</f>
        <v>2.8127</v>
      </c>
      <c r="F13" s="29"/>
      <c r="G13" s="29"/>
      <c r="H13" s="29"/>
      <c r="I13" s="29"/>
      <c r="J13" s="57"/>
    </row>
    <row r="14" spans="1:14">
      <c r="A14" s="27">
        <v>30897</v>
      </c>
      <c r="B14" s="55">
        <v>3.1562999999999999</v>
      </c>
      <c r="C14" s="55">
        <v>3.0937000000000001</v>
      </c>
      <c r="D14" s="55">
        <f t="shared" ref="D14:D34" si="0">MAX(B9:B13)</f>
        <v>3.073</v>
      </c>
      <c r="E14" s="99">
        <f t="shared" ref="E14:E34" si="1">MIN(C9:C13)</f>
        <v>2.8127</v>
      </c>
      <c r="F14" s="29"/>
      <c r="G14" s="29"/>
      <c r="H14" s="29"/>
      <c r="I14" s="29"/>
      <c r="J14" s="57"/>
    </row>
    <row r="15" spans="1:14">
      <c r="A15" s="26">
        <v>30900</v>
      </c>
      <c r="B15" s="52">
        <v>3.1617000000000002</v>
      </c>
      <c r="C15" s="52">
        <v>3.0676999999999999</v>
      </c>
      <c r="D15" s="52">
        <f t="shared" si="0"/>
        <v>3.1562999999999999</v>
      </c>
      <c r="E15" s="100">
        <f t="shared" si="1"/>
        <v>2.8127</v>
      </c>
      <c r="F15" s="28"/>
      <c r="G15" s="28"/>
      <c r="H15" s="28"/>
      <c r="I15" s="28"/>
      <c r="J15" s="54"/>
    </row>
    <row r="16" spans="1:14">
      <c r="A16" s="26">
        <v>30901</v>
      </c>
      <c r="B16" s="52">
        <v>3.1147</v>
      </c>
      <c r="C16" s="52">
        <v>3.052</v>
      </c>
      <c r="D16" s="52">
        <f t="shared" si="0"/>
        <v>3.1617000000000002</v>
      </c>
      <c r="E16" s="100">
        <f t="shared" si="1"/>
        <v>2.8127</v>
      </c>
      <c r="F16" s="28"/>
      <c r="G16" s="28"/>
      <c r="H16" s="28"/>
      <c r="I16" s="28"/>
      <c r="J16" s="54"/>
    </row>
    <row r="17" spans="1:10">
      <c r="A17" s="27">
        <v>30902</v>
      </c>
      <c r="B17" s="55">
        <v>3.1617000000000002</v>
      </c>
      <c r="C17" s="55">
        <v>3.052</v>
      </c>
      <c r="D17" s="55">
        <f t="shared" si="0"/>
        <v>3.1617000000000002</v>
      </c>
      <c r="E17" s="99">
        <f t="shared" si="1"/>
        <v>2.8647</v>
      </c>
      <c r="F17" s="29"/>
      <c r="G17" s="29"/>
      <c r="H17" s="29"/>
      <c r="I17" s="29"/>
      <c r="J17" s="57"/>
    </row>
    <row r="18" spans="1:10">
      <c r="A18" s="27">
        <v>30903</v>
      </c>
      <c r="B18" s="55">
        <v>3.1877</v>
      </c>
      <c r="C18" s="55">
        <v>3.0573000000000001</v>
      </c>
      <c r="D18" s="55">
        <f t="shared" si="0"/>
        <v>3.1617000000000002</v>
      </c>
      <c r="E18" s="99">
        <f t="shared" si="1"/>
        <v>2.9792999999999998</v>
      </c>
      <c r="F18" s="29"/>
      <c r="G18" s="29"/>
      <c r="H18" s="29"/>
      <c r="I18" s="29"/>
      <c r="J18" s="57"/>
    </row>
    <row r="19" spans="1:10">
      <c r="A19" s="26">
        <v>30904</v>
      </c>
      <c r="B19" s="52">
        <v>3.2292999999999998</v>
      </c>
      <c r="C19" s="52">
        <v>3.1353</v>
      </c>
      <c r="D19" s="52">
        <f t="shared" si="0"/>
        <v>3.1877</v>
      </c>
      <c r="E19" s="100">
        <f t="shared" si="1"/>
        <v>3.052</v>
      </c>
      <c r="F19" s="28"/>
      <c r="G19" s="28"/>
      <c r="H19" s="28"/>
      <c r="I19" s="28"/>
      <c r="J19" s="54"/>
    </row>
    <row r="20" spans="1:10">
      <c r="A20" s="26">
        <v>30907</v>
      </c>
      <c r="B20" s="52">
        <v>3.1667000000000001</v>
      </c>
      <c r="C20" s="52">
        <v>3.1303000000000001</v>
      </c>
      <c r="D20" s="52">
        <f t="shared" si="0"/>
        <v>3.2292999999999998</v>
      </c>
      <c r="E20" s="100">
        <f t="shared" si="1"/>
        <v>3.052</v>
      </c>
      <c r="F20" s="28"/>
      <c r="G20" s="28"/>
      <c r="H20" s="28"/>
      <c r="I20" s="28"/>
      <c r="J20" s="54"/>
    </row>
    <row r="21" spans="1:10">
      <c r="A21" s="27">
        <v>30908</v>
      </c>
      <c r="B21" s="55">
        <v>3.1823000000000001</v>
      </c>
      <c r="C21" s="55">
        <v>3.12</v>
      </c>
      <c r="D21" s="55">
        <f t="shared" si="0"/>
        <v>3.2292999999999998</v>
      </c>
      <c r="E21" s="99">
        <f t="shared" si="1"/>
        <v>3.052</v>
      </c>
      <c r="F21" s="29"/>
      <c r="G21" s="29"/>
      <c r="H21" s="29"/>
      <c r="I21" s="29"/>
      <c r="J21" s="57"/>
    </row>
    <row r="22" spans="1:10">
      <c r="A22" s="27">
        <v>30909</v>
      </c>
      <c r="B22" s="55">
        <v>3.1147</v>
      </c>
      <c r="C22" s="55">
        <v>3.0470000000000002</v>
      </c>
      <c r="D22" s="55">
        <f t="shared" si="0"/>
        <v>3.2292999999999998</v>
      </c>
      <c r="E22" s="99">
        <f t="shared" si="1"/>
        <v>3.052</v>
      </c>
      <c r="F22" s="29"/>
      <c r="G22" s="29"/>
      <c r="H22" s="29"/>
      <c r="I22" s="29"/>
      <c r="J22" s="57"/>
    </row>
    <row r="23" spans="1:10">
      <c r="A23" s="26">
        <v>30910</v>
      </c>
      <c r="B23" s="52">
        <v>3.1303000000000001</v>
      </c>
      <c r="C23" s="52">
        <v>3.052</v>
      </c>
      <c r="D23" s="52">
        <f t="shared" si="0"/>
        <v>3.2292999999999998</v>
      </c>
      <c r="E23" s="100">
        <f t="shared" si="1"/>
        <v>3.0470000000000002</v>
      </c>
      <c r="F23" s="28"/>
      <c r="G23" s="28"/>
      <c r="H23" s="28"/>
      <c r="I23" s="28"/>
      <c r="J23" s="54"/>
    </row>
    <row r="24" spans="1:10">
      <c r="A24" s="26">
        <v>30911</v>
      </c>
      <c r="B24" s="52">
        <v>3.1093000000000002</v>
      </c>
      <c r="C24" s="52">
        <v>3.0417000000000001</v>
      </c>
      <c r="D24" s="52">
        <f t="shared" si="0"/>
        <v>3.2292999999999998</v>
      </c>
      <c r="E24" s="100">
        <f t="shared" si="1"/>
        <v>3.0470000000000002</v>
      </c>
      <c r="F24" s="28"/>
      <c r="G24" s="28"/>
      <c r="H24" s="28"/>
      <c r="I24" s="28"/>
      <c r="J24" s="54"/>
    </row>
    <row r="25" spans="1:10">
      <c r="A25" s="27">
        <v>30914</v>
      </c>
      <c r="B25" s="55">
        <v>3.0832999999999999</v>
      </c>
      <c r="C25" s="55">
        <v>3.0209999999999999</v>
      </c>
      <c r="D25" s="55">
        <f t="shared" si="0"/>
        <v>3.1823000000000001</v>
      </c>
      <c r="E25" s="99">
        <f t="shared" si="1"/>
        <v>3.0417000000000001</v>
      </c>
      <c r="F25" s="29"/>
      <c r="G25" s="29"/>
      <c r="H25" s="29"/>
      <c r="I25" s="29"/>
      <c r="J25" s="57"/>
    </row>
    <row r="26" spans="1:10">
      <c r="A26" s="27">
        <v>30915</v>
      </c>
      <c r="B26" s="55">
        <v>3.1617000000000002</v>
      </c>
      <c r="C26" s="55">
        <v>3.125</v>
      </c>
      <c r="D26" s="55">
        <f t="shared" si="0"/>
        <v>3.1823000000000001</v>
      </c>
      <c r="E26" s="99">
        <f t="shared" si="1"/>
        <v>3.0209999999999999</v>
      </c>
      <c r="F26" s="29"/>
      <c r="G26" s="29"/>
      <c r="H26" s="29"/>
      <c r="I26" s="29"/>
      <c r="J26" s="57"/>
    </row>
    <row r="27" spans="1:10">
      <c r="A27" s="26">
        <v>30916</v>
      </c>
      <c r="B27" s="52">
        <v>3.2187000000000001</v>
      </c>
      <c r="C27" s="52">
        <v>3.1617000000000002</v>
      </c>
      <c r="D27" s="52">
        <f t="shared" si="0"/>
        <v>3.1617000000000002</v>
      </c>
      <c r="E27" s="100">
        <f t="shared" si="1"/>
        <v>3.0209999999999999</v>
      </c>
      <c r="F27" s="28"/>
      <c r="G27" s="28"/>
      <c r="H27" s="28"/>
      <c r="I27" s="28"/>
      <c r="J27" s="54"/>
    </row>
    <row r="28" spans="1:10">
      <c r="A28" s="26">
        <v>30917</v>
      </c>
      <c r="B28" s="52">
        <v>3.1926999999999999</v>
      </c>
      <c r="C28" s="52">
        <v>3.1562999999999999</v>
      </c>
      <c r="D28" s="52">
        <f t="shared" si="0"/>
        <v>3.2187000000000001</v>
      </c>
      <c r="E28" s="100">
        <f t="shared" si="1"/>
        <v>3.0209999999999999</v>
      </c>
      <c r="F28" s="28"/>
      <c r="G28" s="28"/>
      <c r="H28" s="28"/>
      <c r="I28" s="28"/>
      <c r="J28" s="54"/>
    </row>
    <row r="29" spans="1:10">
      <c r="A29" s="27">
        <v>30918</v>
      </c>
      <c r="B29" s="55">
        <v>3.198</v>
      </c>
      <c r="C29" s="55">
        <v>3.1562999999999999</v>
      </c>
      <c r="D29" s="55">
        <f t="shared" si="0"/>
        <v>3.2187000000000001</v>
      </c>
      <c r="E29" s="99">
        <f t="shared" si="1"/>
        <v>3.0209999999999999</v>
      </c>
      <c r="F29" s="29"/>
      <c r="G29" s="29"/>
      <c r="H29" s="29"/>
      <c r="I29" s="29"/>
      <c r="J29" s="57"/>
    </row>
    <row r="30" spans="1:10">
      <c r="A30" s="27">
        <v>30921</v>
      </c>
      <c r="B30" s="55">
        <v>3.1562999999999999</v>
      </c>
      <c r="C30" s="55">
        <v>3.0832999999999999</v>
      </c>
      <c r="D30" s="55">
        <f t="shared" si="0"/>
        <v>3.2187000000000001</v>
      </c>
      <c r="E30" s="99">
        <f t="shared" si="1"/>
        <v>3.0209999999999999</v>
      </c>
      <c r="F30" s="29"/>
      <c r="G30" s="29"/>
      <c r="H30" s="29"/>
      <c r="I30" s="29"/>
      <c r="J30" s="57"/>
    </row>
    <row r="31" spans="1:10">
      <c r="A31" s="26">
        <v>30922</v>
      </c>
      <c r="B31" s="52">
        <v>3.2033</v>
      </c>
      <c r="C31" s="52">
        <v>3.1093000000000002</v>
      </c>
      <c r="D31" s="52">
        <f t="shared" si="0"/>
        <v>3.2187000000000001</v>
      </c>
      <c r="E31" s="100">
        <f t="shared" si="1"/>
        <v>3.0832999999999999</v>
      </c>
      <c r="F31" s="28"/>
      <c r="G31" s="28"/>
      <c r="H31" s="28"/>
      <c r="I31" s="28"/>
      <c r="J31" s="54"/>
    </row>
    <row r="32" spans="1:10">
      <c r="A32" s="26">
        <v>30923</v>
      </c>
      <c r="B32" s="52">
        <v>3.25</v>
      </c>
      <c r="C32" s="52">
        <v>3.2033</v>
      </c>
      <c r="D32" s="52">
        <f t="shared" si="0"/>
        <v>3.2187000000000001</v>
      </c>
      <c r="E32" s="100">
        <f t="shared" si="1"/>
        <v>3.0832999999999999</v>
      </c>
      <c r="F32" s="28"/>
      <c r="G32" s="28"/>
      <c r="H32" s="28"/>
      <c r="I32" s="28"/>
      <c r="J32" s="54"/>
    </row>
    <row r="33" spans="1:10">
      <c r="A33" s="27">
        <v>30924</v>
      </c>
      <c r="B33" s="55">
        <v>3.2292999999999998</v>
      </c>
      <c r="C33" s="55">
        <v>3.1926999999999999</v>
      </c>
      <c r="D33" s="55">
        <f t="shared" si="0"/>
        <v>3.25</v>
      </c>
      <c r="E33" s="99">
        <f t="shared" si="1"/>
        <v>3.0832999999999999</v>
      </c>
      <c r="F33" s="29"/>
      <c r="G33" s="29"/>
      <c r="H33" s="29"/>
      <c r="I33" s="29"/>
      <c r="J33" s="57"/>
    </row>
    <row r="34" spans="1:10">
      <c r="A34" s="27">
        <v>30925</v>
      </c>
      <c r="B34" s="55">
        <v>3.1823000000000001</v>
      </c>
      <c r="C34" s="55">
        <v>3.1353</v>
      </c>
      <c r="D34" s="55">
        <f t="shared" si="0"/>
        <v>3.25</v>
      </c>
      <c r="E34" s="99">
        <f t="shared" si="1"/>
        <v>3.0832999999999999</v>
      </c>
      <c r="F34" s="29"/>
      <c r="G34" s="29"/>
      <c r="H34" s="29"/>
      <c r="I34" s="29"/>
      <c r="J34" s="57"/>
    </row>
    <row r="35" spans="1:10">
      <c r="E35" s="8"/>
    </row>
    <row r="36" spans="1:10">
      <c r="E36" s="8"/>
    </row>
    <row r="37" spans="1:10" ht="32.25" customHeight="1">
      <c r="A37" s="447" t="s">
        <v>905</v>
      </c>
      <c r="B37" s="447"/>
      <c r="C37" s="447"/>
      <c r="D37" s="447"/>
      <c r="E37" s="447"/>
      <c r="F37" s="447"/>
      <c r="G37" s="447"/>
      <c r="H37" s="447"/>
      <c r="I37" s="447"/>
      <c r="J37" s="447"/>
    </row>
    <row r="38" spans="1:10">
      <c r="F38" s="8"/>
    </row>
    <row r="39" spans="1:10">
      <c r="F39" s="8"/>
    </row>
    <row r="40" spans="1:10">
      <c r="F40" s="8"/>
    </row>
    <row r="41" spans="1:10">
      <c r="F41" s="8"/>
    </row>
    <row r="42" spans="1:10">
      <c r="F42" s="8"/>
    </row>
    <row r="43" spans="1:10">
      <c r="F43" s="8"/>
    </row>
    <row r="44" spans="1:10">
      <c r="F44" s="8"/>
    </row>
    <row r="45" spans="1:10">
      <c r="F45" s="8"/>
    </row>
    <row r="46" spans="1:10">
      <c r="F46" s="8"/>
    </row>
    <row r="47" spans="1:10">
      <c r="F47" s="8"/>
    </row>
    <row r="48" spans="1:10">
      <c r="F48" s="8"/>
    </row>
    <row r="49" spans="6:6">
      <c r="F49" s="8"/>
    </row>
    <row r="50" spans="6:6">
      <c r="F50" s="8"/>
    </row>
    <row r="51" spans="6:6">
      <c r="F51" s="8"/>
    </row>
    <row r="52" spans="6:6">
      <c r="F52" s="8"/>
    </row>
    <row r="53" spans="6:6">
      <c r="F53" s="8"/>
    </row>
    <row r="54" spans="6:6">
      <c r="F54" s="8"/>
    </row>
    <row r="55" spans="6:6">
      <c r="F55" s="8"/>
    </row>
    <row r="56" spans="6:6">
      <c r="F56" s="8"/>
    </row>
    <row r="57" spans="6:6">
      <c r="F57" s="8"/>
    </row>
    <row r="58" spans="6:6">
      <c r="F58" s="8"/>
    </row>
    <row r="59" spans="6:6">
      <c r="F59" s="8"/>
    </row>
    <row r="60" spans="6:6">
      <c r="F60" s="8"/>
    </row>
    <row r="61" spans="6:6">
      <c r="F61" s="8"/>
    </row>
    <row r="62" spans="6:6">
      <c r="F62" s="8"/>
    </row>
    <row r="63" spans="6:6">
      <c r="F63" s="8"/>
    </row>
    <row r="64" spans="6:6">
      <c r="F64" s="8"/>
    </row>
    <row r="65" spans="6:6">
      <c r="F65" s="8"/>
    </row>
    <row r="66" spans="6:6">
      <c r="F66" s="8"/>
    </row>
    <row r="67" spans="6:6">
      <c r="F67" s="8"/>
    </row>
    <row r="68" spans="6:6">
      <c r="F68" s="8"/>
    </row>
    <row r="69" spans="6:6">
      <c r="F69" s="8"/>
    </row>
    <row r="70" spans="6:6">
      <c r="F70" s="8"/>
    </row>
    <row r="71" spans="6:6">
      <c r="F71" s="8"/>
    </row>
    <row r="72" spans="6:6">
      <c r="F72" s="8"/>
    </row>
    <row r="73" spans="6:6">
      <c r="F73" s="8"/>
    </row>
    <row r="74" spans="6:6">
      <c r="F74" s="8"/>
    </row>
    <row r="75" spans="6:6">
      <c r="F75" s="8"/>
    </row>
    <row r="76" spans="6:6">
      <c r="F76" s="8"/>
    </row>
    <row r="77" spans="6:6">
      <c r="F77" s="8"/>
    </row>
    <row r="78" spans="6:6">
      <c r="F78" s="8"/>
    </row>
    <row r="79" spans="6:6">
      <c r="F79" s="8"/>
    </row>
    <row r="80" spans="6:6">
      <c r="F80" s="8"/>
    </row>
    <row r="81" spans="6:6">
      <c r="F81" s="8"/>
    </row>
    <row r="82" spans="6:6">
      <c r="F82" s="8"/>
    </row>
    <row r="83" spans="6:6">
      <c r="F83" s="8"/>
    </row>
    <row r="84" spans="6:6">
      <c r="F84" s="8"/>
    </row>
    <row r="85" spans="6:6">
      <c r="F85" s="8"/>
    </row>
    <row r="86" spans="6:6">
      <c r="F86" s="8"/>
    </row>
    <row r="87" spans="6:6">
      <c r="F87" s="8"/>
    </row>
    <row r="88" spans="6:6">
      <c r="F88" s="8"/>
    </row>
    <row r="89" spans="6:6">
      <c r="F89" s="8"/>
    </row>
    <row r="90" spans="6:6">
      <c r="F90" s="8"/>
    </row>
    <row r="91" spans="6:6">
      <c r="F91" s="8"/>
    </row>
    <row r="92" spans="6:6">
      <c r="F92" s="8"/>
    </row>
    <row r="93" spans="6:6">
      <c r="F93" s="8"/>
    </row>
    <row r="94" spans="6:6">
      <c r="F94" s="8"/>
    </row>
    <row r="95" spans="6:6">
      <c r="F95" s="8"/>
    </row>
    <row r="96" spans="6:6">
      <c r="F96" s="8"/>
    </row>
    <row r="97" spans="6:6">
      <c r="F97" s="8"/>
    </row>
    <row r="98" spans="6:6">
      <c r="F98" s="8"/>
    </row>
    <row r="99" spans="6:6">
      <c r="F99" s="8"/>
    </row>
    <row r="100" spans="6:6">
      <c r="F100" s="8"/>
    </row>
    <row r="101" spans="6:6">
      <c r="F101" s="8"/>
    </row>
    <row r="102" spans="6:6">
      <c r="F102" s="8"/>
    </row>
    <row r="103" spans="6:6">
      <c r="F103" s="8"/>
    </row>
    <row r="104" spans="6:6">
      <c r="F104" s="8"/>
    </row>
    <row r="105" spans="6:6">
      <c r="F105" s="8"/>
    </row>
    <row r="106" spans="6:6">
      <c r="F106" s="8"/>
    </row>
    <row r="107" spans="6:6">
      <c r="F107" s="8"/>
    </row>
    <row r="108" spans="6:6">
      <c r="F108" s="8"/>
    </row>
    <row r="109" spans="6:6">
      <c r="F109" s="8"/>
    </row>
    <row r="110" spans="6:6">
      <c r="F110" s="8"/>
    </row>
    <row r="111" spans="6:6">
      <c r="F111" s="8"/>
    </row>
    <row r="112" spans="6:6">
      <c r="F112" s="8"/>
    </row>
    <row r="113" spans="6:6">
      <c r="F113" s="8"/>
    </row>
    <row r="114" spans="6:6">
      <c r="F114" s="8"/>
    </row>
    <row r="115" spans="6:6">
      <c r="F115" s="8"/>
    </row>
    <row r="116" spans="6:6">
      <c r="F116" s="8"/>
    </row>
    <row r="117" spans="6:6">
      <c r="F117" s="8"/>
    </row>
    <row r="118" spans="6:6">
      <c r="F118" s="8"/>
    </row>
    <row r="119" spans="6:6">
      <c r="F119" s="8"/>
    </row>
    <row r="120" spans="6:6">
      <c r="F120" s="8"/>
    </row>
    <row r="121" spans="6:6">
      <c r="F121" s="8"/>
    </row>
    <row r="122" spans="6:6">
      <c r="F122" s="8"/>
    </row>
    <row r="123" spans="6:6">
      <c r="F123" s="8"/>
    </row>
    <row r="124" spans="6:6">
      <c r="F124" s="8"/>
    </row>
    <row r="125" spans="6:6">
      <c r="F125" s="8"/>
    </row>
    <row r="126" spans="6:6">
      <c r="F126" s="8"/>
    </row>
    <row r="127" spans="6:6">
      <c r="F127" s="8"/>
    </row>
    <row r="128" spans="6:6">
      <c r="F128" s="8"/>
    </row>
    <row r="129" spans="6:6">
      <c r="F129" s="8"/>
    </row>
    <row r="130" spans="6:6">
      <c r="F130" s="8"/>
    </row>
    <row r="131" spans="6:6">
      <c r="F131" s="8"/>
    </row>
    <row r="132" spans="6:6">
      <c r="F132" s="8"/>
    </row>
    <row r="133" spans="6:6">
      <c r="F133" s="8"/>
    </row>
    <row r="134" spans="6:6">
      <c r="F134" s="8"/>
    </row>
    <row r="135" spans="6:6">
      <c r="F135" s="8"/>
    </row>
    <row r="136" spans="6:6">
      <c r="F136" s="8"/>
    </row>
    <row r="137" spans="6:6">
      <c r="F137" s="8"/>
    </row>
    <row r="138" spans="6:6">
      <c r="F138" s="8"/>
    </row>
    <row r="139" spans="6:6">
      <c r="F139" s="8"/>
    </row>
    <row r="140" spans="6:6">
      <c r="F140" s="8"/>
    </row>
    <row r="141" spans="6:6">
      <c r="F141" s="8"/>
    </row>
    <row r="142" spans="6:6">
      <c r="F142" s="8"/>
    </row>
    <row r="143" spans="6:6">
      <c r="F143" s="8"/>
    </row>
    <row r="144" spans="6:6">
      <c r="F144" s="8"/>
    </row>
    <row r="145" spans="6:6">
      <c r="F145" s="8"/>
    </row>
    <row r="146" spans="6:6">
      <c r="F146" s="8"/>
    </row>
    <row r="147" spans="6:6">
      <c r="F147" s="8"/>
    </row>
    <row r="148" spans="6:6">
      <c r="F148" s="8"/>
    </row>
    <row r="149" spans="6:6">
      <c r="F149" s="8"/>
    </row>
    <row r="150" spans="6:6">
      <c r="F150" s="8"/>
    </row>
    <row r="151" spans="6:6">
      <c r="F151" s="8"/>
    </row>
    <row r="152" spans="6:6">
      <c r="F152" s="8"/>
    </row>
    <row r="153" spans="6:6">
      <c r="F153" s="8"/>
    </row>
    <row r="154" spans="6:6">
      <c r="F154" s="8"/>
    </row>
    <row r="155" spans="6:6">
      <c r="F155" s="8"/>
    </row>
    <row r="156" spans="6:6">
      <c r="F156" s="8"/>
    </row>
    <row r="157" spans="6:6">
      <c r="F157" s="8"/>
    </row>
    <row r="158" spans="6:6">
      <c r="F158" s="8"/>
    </row>
    <row r="159" spans="6:6">
      <c r="F159" s="8"/>
    </row>
    <row r="160" spans="6:6">
      <c r="F160" s="8"/>
    </row>
    <row r="161" spans="6:6">
      <c r="F161" s="8"/>
    </row>
    <row r="162" spans="6:6">
      <c r="F162" s="8"/>
    </row>
    <row r="163" spans="6:6">
      <c r="F163" s="8"/>
    </row>
    <row r="164" spans="6:6">
      <c r="F164" s="8"/>
    </row>
    <row r="165" spans="6:6">
      <c r="F165" s="8"/>
    </row>
    <row r="166" spans="6:6">
      <c r="F166" s="8"/>
    </row>
    <row r="167" spans="6:6">
      <c r="F167" s="8"/>
    </row>
    <row r="168" spans="6:6">
      <c r="F168" s="8"/>
    </row>
    <row r="169" spans="6:6">
      <c r="F169" s="8"/>
    </row>
    <row r="170" spans="6:6">
      <c r="F170" s="8"/>
    </row>
    <row r="171" spans="6:6">
      <c r="F171" s="8"/>
    </row>
    <row r="172" spans="6:6">
      <c r="F172" s="8"/>
    </row>
    <row r="173" spans="6:6">
      <c r="F173" s="8"/>
    </row>
    <row r="174" spans="6:6">
      <c r="F174" s="8"/>
    </row>
    <row r="175" spans="6:6">
      <c r="F175" s="8"/>
    </row>
    <row r="176" spans="6:6">
      <c r="F176" s="8"/>
    </row>
    <row r="177" spans="6:6">
      <c r="F177" s="8"/>
    </row>
    <row r="178" spans="6:6">
      <c r="F178" s="8"/>
    </row>
    <row r="179" spans="6:6">
      <c r="F179" s="8"/>
    </row>
    <row r="180" spans="6:6">
      <c r="F180" s="8"/>
    </row>
    <row r="181" spans="6:6">
      <c r="F181" s="8"/>
    </row>
    <row r="182" spans="6:6">
      <c r="F182" s="8"/>
    </row>
    <row r="183" spans="6:6">
      <c r="F183" s="8"/>
    </row>
    <row r="184" spans="6:6">
      <c r="F184" s="8"/>
    </row>
    <row r="185" spans="6:6">
      <c r="F185" s="8"/>
    </row>
    <row r="186" spans="6:6">
      <c r="F186" s="8"/>
    </row>
    <row r="187" spans="6:6">
      <c r="F187" s="8"/>
    </row>
    <row r="188" spans="6:6">
      <c r="F188" s="8"/>
    </row>
    <row r="189" spans="6:6">
      <c r="F189" s="8"/>
    </row>
    <row r="190" spans="6:6">
      <c r="F190" s="8"/>
    </row>
    <row r="191" spans="6:6">
      <c r="F191" s="8"/>
    </row>
    <row r="192" spans="6:6">
      <c r="F192" s="8"/>
    </row>
    <row r="193" spans="6:6">
      <c r="F193" s="8"/>
    </row>
    <row r="194" spans="6:6">
      <c r="F194" s="8"/>
    </row>
    <row r="195" spans="6:6">
      <c r="F195" s="8"/>
    </row>
    <row r="196" spans="6:6">
      <c r="F196" s="8"/>
    </row>
    <row r="197" spans="6:6">
      <c r="F197" s="8"/>
    </row>
    <row r="198" spans="6:6">
      <c r="F198" s="8"/>
    </row>
    <row r="199" spans="6:6">
      <c r="F199" s="8"/>
    </row>
    <row r="200" spans="6:6">
      <c r="F200" s="8"/>
    </row>
    <row r="201" spans="6:6">
      <c r="F201" s="8"/>
    </row>
    <row r="202" spans="6:6">
      <c r="F202" s="8"/>
    </row>
    <row r="203" spans="6:6">
      <c r="F203" s="8"/>
    </row>
    <row r="204" spans="6:6">
      <c r="F204" s="8"/>
    </row>
    <row r="205" spans="6:6">
      <c r="F205" s="8"/>
    </row>
    <row r="206" spans="6:6">
      <c r="F206" s="8"/>
    </row>
    <row r="207" spans="6:6">
      <c r="F207" s="8"/>
    </row>
    <row r="208" spans="6:6">
      <c r="F208" s="8"/>
    </row>
    <row r="209" spans="6:6">
      <c r="F209" s="8"/>
    </row>
    <row r="210" spans="6:6">
      <c r="F210" s="8"/>
    </row>
    <row r="211" spans="6:6">
      <c r="F211" s="8"/>
    </row>
    <row r="212" spans="6:6">
      <c r="F212" s="8"/>
    </row>
    <row r="213" spans="6:6">
      <c r="F213" s="8"/>
    </row>
    <row r="214" spans="6:6">
      <c r="F214" s="8"/>
    </row>
    <row r="215" spans="6:6">
      <c r="F215" s="8"/>
    </row>
    <row r="216" spans="6:6">
      <c r="F216" s="8"/>
    </row>
    <row r="217" spans="6:6">
      <c r="F217" s="8"/>
    </row>
    <row r="218" spans="6:6">
      <c r="F218" s="8"/>
    </row>
    <row r="219" spans="6:6">
      <c r="F219" s="8"/>
    </row>
    <row r="220" spans="6:6">
      <c r="F220" s="8"/>
    </row>
    <row r="221" spans="6:6">
      <c r="F221" s="8"/>
    </row>
    <row r="222" spans="6:6">
      <c r="F222" s="8"/>
    </row>
    <row r="223" spans="6:6">
      <c r="F223" s="8"/>
    </row>
    <row r="224" spans="6:6">
      <c r="F224" s="8"/>
    </row>
    <row r="225" spans="6:6">
      <c r="F225" s="8"/>
    </row>
    <row r="226" spans="6:6">
      <c r="F226" s="8"/>
    </row>
    <row r="227" spans="6:6">
      <c r="F227" s="8"/>
    </row>
    <row r="228" spans="6:6">
      <c r="F228" s="8"/>
    </row>
    <row r="229" spans="6:6">
      <c r="F229" s="8"/>
    </row>
    <row r="230" spans="6:6">
      <c r="F230" s="8"/>
    </row>
    <row r="231" spans="6:6">
      <c r="F231" s="8"/>
    </row>
    <row r="232" spans="6:6">
      <c r="F232" s="8"/>
    </row>
    <row r="233" spans="6:6">
      <c r="F233" s="8"/>
    </row>
    <row r="234" spans="6:6">
      <c r="F234" s="8"/>
    </row>
    <row r="235" spans="6:6">
      <c r="F235" s="8"/>
    </row>
    <row r="236" spans="6:6">
      <c r="F236" s="8"/>
    </row>
    <row r="237" spans="6:6">
      <c r="F237" s="8"/>
    </row>
    <row r="238" spans="6:6">
      <c r="F238" s="8"/>
    </row>
    <row r="239" spans="6:6">
      <c r="F239" s="8"/>
    </row>
    <row r="240" spans="6:6">
      <c r="F240" s="8"/>
    </row>
    <row r="241" spans="6:6">
      <c r="F241" s="8"/>
    </row>
    <row r="242" spans="6:6">
      <c r="F242" s="8"/>
    </row>
    <row r="243" spans="6:6">
      <c r="F243" s="8"/>
    </row>
    <row r="244" spans="6:6">
      <c r="F244" s="8"/>
    </row>
  </sheetData>
  <mergeCells count="2">
    <mergeCell ref="B5:J5"/>
    <mergeCell ref="A37:J37"/>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0113"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0114"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0115"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0116"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enableFormatConditionsCalculation="0"/>
  <dimension ref="A1:N187"/>
  <sheetViews>
    <sheetView workbookViewId="0"/>
  </sheetViews>
  <sheetFormatPr baseColWidth="10" defaultColWidth="8.83203125" defaultRowHeight="12" x14ac:dyDescent="0"/>
  <cols>
    <col min="1" max="1" width="10.83203125" customWidth="1"/>
    <col min="3" max="3" width="12.5" customWidth="1"/>
    <col min="4" max="5" width="12.1640625" customWidth="1"/>
    <col min="6" max="6" width="14.664062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765</v>
      </c>
      <c r="C3" s="21"/>
      <c r="D3" s="21"/>
      <c r="E3" s="21"/>
      <c r="F3" s="21"/>
      <c r="G3" s="21"/>
      <c r="H3" s="21"/>
      <c r="I3" s="21"/>
      <c r="J3" s="21"/>
      <c r="K3" s="21"/>
    </row>
    <row r="4" spans="1:14">
      <c r="A4" s="19" t="s">
        <v>774</v>
      </c>
      <c r="B4" s="20" t="s">
        <v>824</v>
      </c>
      <c r="C4" s="21"/>
      <c r="D4" s="21"/>
      <c r="E4" s="21"/>
      <c r="F4" s="21"/>
      <c r="G4" s="21"/>
      <c r="H4" s="21"/>
      <c r="I4" s="21"/>
      <c r="J4" s="21"/>
      <c r="K4" s="21"/>
    </row>
    <row r="5" spans="1:14" ht="15">
      <c r="A5" s="118" t="s">
        <v>779</v>
      </c>
      <c r="B5" s="127" t="s">
        <v>548</v>
      </c>
      <c r="C5" s="21"/>
      <c r="D5" s="21"/>
      <c r="E5" s="21"/>
      <c r="F5" s="21"/>
      <c r="G5" s="21"/>
      <c r="H5" s="21"/>
      <c r="I5" s="21"/>
      <c r="J5" s="21"/>
      <c r="K5" s="21"/>
    </row>
    <row r="6" spans="1:14" ht="34.5" customHeight="1">
      <c r="A6" s="19"/>
      <c r="B6" s="446" t="s">
        <v>550</v>
      </c>
      <c r="C6" s="446"/>
      <c r="D6" s="446"/>
      <c r="E6" s="446"/>
      <c r="F6" s="446"/>
      <c r="G6" s="446"/>
      <c r="H6" s="446"/>
      <c r="I6" s="446"/>
      <c r="J6" s="446"/>
      <c r="K6" s="446"/>
    </row>
    <row r="7" spans="1:14" ht="16.5" customHeight="1">
      <c r="A7" s="19"/>
      <c r="B7" s="20"/>
      <c r="C7" s="189" t="s">
        <v>549</v>
      </c>
      <c r="D7" s="21"/>
      <c r="E7" s="21"/>
      <c r="F7" s="21"/>
      <c r="G7" s="21"/>
      <c r="H7" s="21"/>
      <c r="I7" s="21"/>
      <c r="J7" s="21"/>
      <c r="K7" s="21"/>
    </row>
    <row r="8" spans="1:14" ht="36.75" customHeight="1">
      <c r="A8" s="19"/>
      <c r="B8" s="446" t="s">
        <v>551</v>
      </c>
      <c r="C8" s="446"/>
      <c r="D8" s="446"/>
      <c r="E8" s="446"/>
      <c r="F8" s="446"/>
      <c r="G8" s="446"/>
      <c r="H8" s="446"/>
      <c r="I8" s="446"/>
      <c r="J8" s="446"/>
      <c r="K8" s="446"/>
    </row>
    <row r="9" spans="1:14" ht="38.25" customHeight="1">
      <c r="A9" s="21"/>
      <c r="B9" s="21"/>
      <c r="C9" s="21"/>
      <c r="D9" s="21"/>
      <c r="E9" s="21"/>
      <c r="F9" s="21"/>
      <c r="G9" s="21"/>
      <c r="H9" s="21"/>
      <c r="I9" s="21"/>
      <c r="J9" s="21"/>
      <c r="K9" s="21"/>
    </row>
    <row r="10" spans="1:14">
      <c r="A10" s="19" t="s">
        <v>635</v>
      </c>
      <c r="B10" s="20" t="s">
        <v>823</v>
      </c>
      <c r="C10" s="21"/>
      <c r="D10" s="21"/>
      <c r="E10" s="21"/>
      <c r="F10" s="21"/>
      <c r="G10" s="21"/>
      <c r="H10" s="21"/>
      <c r="I10" s="21"/>
      <c r="J10" s="21"/>
      <c r="K10" s="21"/>
    </row>
    <row r="11" spans="1:14" ht="53.25" customHeight="1">
      <c r="A11" s="22" t="s">
        <v>1090</v>
      </c>
      <c r="B11" s="22" t="s">
        <v>1098</v>
      </c>
      <c r="C11" s="31" t="s">
        <v>906</v>
      </c>
      <c r="D11" s="31" t="s">
        <v>907</v>
      </c>
      <c r="E11" s="31" t="s">
        <v>1202</v>
      </c>
      <c r="F11" s="31" t="s">
        <v>908</v>
      </c>
      <c r="G11" s="22"/>
      <c r="H11" s="22"/>
      <c r="I11" s="22"/>
      <c r="J11" s="22"/>
      <c r="K11" s="22"/>
    </row>
    <row r="12" spans="1:14">
      <c r="A12" s="26">
        <v>34337</v>
      </c>
      <c r="B12" s="52">
        <v>28.125</v>
      </c>
      <c r="C12" s="52">
        <f>SUM(B12)/1</f>
        <v>28.125</v>
      </c>
      <c r="D12" s="52"/>
      <c r="E12" s="52"/>
      <c r="F12" s="52"/>
      <c r="G12" s="72"/>
      <c r="H12" s="28"/>
      <c r="I12" s="28"/>
      <c r="J12" s="28"/>
      <c r="K12" s="54"/>
      <c r="L12" s="2"/>
    </row>
    <row r="13" spans="1:14">
      <c r="A13" s="26">
        <v>34338</v>
      </c>
      <c r="B13" s="52">
        <v>28.375</v>
      </c>
      <c r="C13" s="52">
        <f t="shared" ref="C13:C65" si="0">SUM(B13)/1</f>
        <v>28.375</v>
      </c>
      <c r="D13" s="52"/>
      <c r="E13" s="52"/>
      <c r="F13" s="52"/>
      <c r="G13" s="72"/>
      <c r="H13" s="28"/>
      <c r="I13" s="28"/>
      <c r="J13" s="28"/>
      <c r="K13" s="54"/>
      <c r="L13" s="2"/>
    </row>
    <row r="14" spans="1:14">
      <c r="A14" s="27">
        <v>34339</v>
      </c>
      <c r="B14" s="55">
        <v>28.5625</v>
      </c>
      <c r="C14" s="55">
        <f t="shared" si="0"/>
        <v>28.5625</v>
      </c>
      <c r="D14" s="55"/>
      <c r="E14" s="55"/>
      <c r="F14" s="55"/>
      <c r="G14" s="73"/>
      <c r="H14" s="29"/>
      <c r="I14" s="29"/>
      <c r="J14" s="29"/>
      <c r="K14" s="57"/>
      <c r="L14" s="2"/>
    </row>
    <row r="15" spans="1:14">
      <c r="A15" s="27">
        <v>34340</v>
      </c>
      <c r="B15" s="55">
        <v>28.5625</v>
      </c>
      <c r="C15" s="55">
        <f t="shared" si="0"/>
        <v>28.5625</v>
      </c>
      <c r="D15" s="55"/>
      <c r="E15" s="55"/>
      <c r="F15" s="55"/>
      <c r="G15" s="73"/>
      <c r="H15" s="29"/>
      <c r="I15" s="29"/>
      <c r="J15" s="29"/>
      <c r="K15" s="57"/>
      <c r="L15" s="2"/>
    </row>
    <row r="16" spans="1:14">
      <c r="A16" s="26">
        <v>34341</v>
      </c>
      <c r="B16" s="52">
        <v>28.875</v>
      </c>
      <c r="C16" s="52">
        <f t="shared" si="0"/>
        <v>28.875</v>
      </c>
      <c r="D16" s="52"/>
      <c r="E16" s="52"/>
      <c r="F16" s="52"/>
      <c r="G16" s="72"/>
      <c r="H16" s="28"/>
      <c r="I16" s="28"/>
      <c r="J16" s="28"/>
      <c r="K16" s="54"/>
      <c r="L16" s="2"/>
    </row>
    <row r="17" spans="1:12">
      <c r="A17" s="26">
        <v>34344</v>
      </c>
      <c r="B17" s="52">
        <v>29</v>
      </c>
      <c r="C17" s="52">
        <f t="shared" si="0"/>
        <v>29</v>
      </c>
      <c r="D17" s="52"/>
      <c r="E17" s="52"/>
      <c r="F17" s="52"/>
      <c r="G17" s="72"/>
      <c r="H17" s="28"/>
      <c r="I17" s="28"/>
      <c r="J17" s="28"/>
      <c r="K17" s="54"/>
      <c r="L17" s="2"/>
    </row>
    <row r="18" spans="1:12">
      <c r="A18" s="27">
        <v>34345</v>
      </c>
      <c r="B18" s="55">
        <v>28.625</v>
      </c>
      <c r="C18" s="55">
        <f t="shared" si="0"/>
        <v>28.625</v>
      </c>
      <c r="D18" s="55"/>
      <c r="E18" s="55"/>
      <c r="F18" s="55"/>
      <c r="G18" s="73"/>
      <c r="H18" s="29"/>
      <c r="I18" s="29"/>
      <c r="J18" s="29"/>
      <c r="K18" s="57"/>
      <c r="L18" s="2"/>
    </row>
    <row r="19" spans="1:12">
      <c r="A19" s="27">
        <v>34346</v>
      </c>
      <c r="B19" s="55">
        <v>28.4375</v>
      </c>
      <c r="C19" s="55">
        <f t="shared" si="0"/>
        <v>28.4375</v>
      </c>
      <c r="D19" s="55"/>
      <c r="E19" s="55"/>
      <c r="F19" s="55"/>
      <c r="G19" s="73"/>
      <c r="H19" s="29"/>
      <c r="I19" s="29"/>
      <c r="J19" s="29"/>
      <c r="K19" s="57"/>
      <c r="L19" s="2"/>
    </row>
    <row r="20" spans="1:12">
      <c r="A20" s="26">
        <v>34347</v>
      </c>
      <c r="B20" s="52">
        <v>28.375</v>
      </c>
      <c r="C20" s="52">
        <f t="shared" si="0"/>
        <v>28.375</v>
      </c>
      <c r="D20" s="52"/>
      <c r="E20" s="52"/>
      <c r="F20" s="52"/>
      <c r="G20" s="72"/>
      <c r="H20" s="28"/>
      <c r="I20" s="28"/>
      <c r="J20" s="28"/>
      <c r="K20" s="54"/>
      <c r="L20" s="2"/>
    </row>
    <row r="21" spans="1:12">
      <c r="A21" s="26">
        <v>34348</v>
      </c>
      <c r="B21" s="52">
        <v>28</v>
      </c>
      <c r="C21" s="52">
        <f t="shared" si="0"/>
        <v>28</v>
      </c>
      <c r="D21" s="52"/>
      <c r="E21" s="52"/>
      <c r="F21" s="52"/>
      <c r="G21" s="72"/>
      <c r="H21" s="28"/>
      <c r="I21" s="28"/>
      <c r="J21" s="28"/>
      <c r="K21" s="54"/>
      <c r="L21" s="2"/>
    </row>
    <row r="22" spans="1:12">
      <c r="A22" s="27">
        <v>34351</v>
      </c>
      <c r="B22" s="55">
        <v>27.5625</v>
      </c>
      <c r="C22" s="55">
        <f t="shared" si="0"/>
        <v>27.5625</v>
      </c>
      <c r="D22" s="55"/>
      <c r="E22" s="55"/>
      <c r="F22" s="55"/>
      <c r="G22" s="73"/>
      <c r="H22" s="29"/>
      <c r="I22" s="29"/>
      <c r="J22" s="29"/>
      <c r="K22" s="57"/>
      <c r="L22" s="2"/>
    </row>
    <row r="23" spans="1:12">
      <c r="A23" s="27">
        <v>34352</v>
      </c>
      <c r="B23" s="55">
        <v>27</v>
      </c>
      <c r="C23" s="55">
        <f t="shared" si="0"/>
        <v>27</v>
      </c>
      <c r="D23" s="55"/>
      <c r="E23" s="55"/>
      <c r="F23" s="55"/>
      <c r="G23" s="73"/>
      <c r="H23" s="29"/>
      <c r="I23" s="29"/>
      <c r="J23" s="29"/>
      <c r="K23" s="57"/>
      <c r="L23" s="2"/>
    </row>
    <row r="24" spans="1:12">
      <c r="A24" s="26">
        <v>34353</v>
      </c>
      <c r="B24" s="52">
        <v>27.4375</v>
      </c>
      <c r="C24" s="52">
        <f t="shared" si="0"/>
        <v>27.4375</v>
      </c>
      <c r="D24" s="52"/>
      <c r="E24" s="52"/>
      <c r="F24" s="52"/>
      <c r="G24" s="72"/>
      <c r="H24" s="28"/>
      <c r="I24" s="28"/>
      <c r="J24" s="28"/>
      <c r="K24" s="54"/>
      <c r="L24" s="2"/>
    </row>
    <row r="25" spans="1:12">
      <c r="A25" s="26">
        <v>34354</v>
      </c>
      <c r="B25" s="52">
        <v>27.9375</v>
      </c>
      <c r="C25" s="52">
        <f t="shared" si="0"/>
        <v>27.9375</v>
      </c>
      <c r="D25" s="52"/>
      <c r="E25" s="52"/>
      <c r="F25" s="52"/>
      <c r="G25" s="72"/>
      <c r="H25" s="28"/>
      <c r="I25" s="28"/>
      <c r="J25" s="28"/>
      <c r="K25" s="54"/>
      <c r="L25" s="2"/>
    </row>
    <row r="26" spans="1:12">
      <c r="A26" s="27">
        <v>34355</v>
      </c>
      <c r="B26" s="55">
        <v>27.8125</v>
      </c>
      <c r="C26" s="55">
        <f t="shared" si="0"/>
        <v>27.8125</v>
      </c>
      <c r="D26" s="55"/>
      <c r="E26" s="55"/>
      <c r="F26" s="55"/>
      <c r="G26" s="73"/>
      <c r="H26" s="29"/>
      <c r="I26" s="29"/>
      <c r="J26" s="29"/>
      <c r="K26" s="57"/>
      <c r="L26" s="2"/>
    </row>
    <row r="27" spans="1:12">
      <c r="A27" s="27">
        <v>34358</v>
      </c>
      <c r="B27" s="55">
        <v>27.625</v>
      </c>
      <c r="C27" s="55">
        <f t="shared" si="0"/>
        <v>27.625</v>
      </c>
      <c r="D27" s="55"/>
      <c r="E27" s="55"/>
      <c r="F27" s="55"/>
      <c r="G27" s="73"/>
      <c r="H27" s="29"/>
      <c r="I27" s="29"/>
      <c r="J27" s="29"/>
      <c r="K27" s="57"/>
      <c r="L27" s="2"/>
    </row>
    <row r="28" spans="1:12">
      <c r="A28" s="26">
        <v>34359</v>
      </c>
      <c r="B28" s="52">
        <v>27.75</v>
      </c>
      <c r="C28" s="52">
        <f t="shared" si="0"/>
        <v>27.75</v>
      </c>
      <c r="D28" s="52"/>
      <c r="E28" s="52"/>
      <c r="F28" s="52"/>
      <c r="G28" s="72"/>
      <c r="H28" s="28"/>
      <c r="I28" s="28"/>
      <c r="J28" s="28"/>
      <c r="K28" s="54"/>
      <c r="L28" s="2"/>
    </row>
    <row r="29" spans="1:12">
      <c r="A29" s="26">
        <v>34360</v>
      </c>
      <c r="B29" s="52">
        <v>28.125</v>
      </c>
      <c r="C29" s="52">
        <f t="shared" si="0"/>
        <v>28.125</v>
      </c>
      <c r="D29" s="52"/>
      <c r="E29" s="52"/>
      <c r="F29" s="52"/>
      <c r="G29" s="72"/>
      <c r="H29" s="28"/>
      <c r="I29" s="28"/>
      <c r="J29" s="28"/>
      <c r="K29" s="54"/>
      <c r="L29" s="2"/>
    </row>
    <row r="30" spans="1:12">
      <c r="A30" s="27">
        <v>34361</v>
      </c>
      <c r="B30" s="55">
        <v>27.375</v>
      </c>
      <c r="C30" s="55">
        <f t="shared" si="0"/>
        <v>27.375</v>
      </c>
      <c r="D30" s="55"/>
      <c r="E30" s="55"/>
      <c r="F30" s="55"/>
      <c r="G30" s="73"/>
      <c r="H30" s="29"/>
      <c r="I30" s="29"/>
      <c r="J30" s="29"/>
      <c r="K30" s="57"/>
      <c r="L30" s="2"/>
    </row>
    <row r="31" spans="1:12">
      <c r="A31" s="27">
        <v>34362</v>
      </c>
      <c r="B31" s="55">
        <v>27.375</v>
      </c>
      <c r="C31" s="55">
        <f t="shared" si="0"/>
        <v>27.375</v>
      </c>
      <c r="D31" s="55"/>
      <c r="E31" s="55"/>
      <c r="F31" s="55"/>
      <c r="G31" s="73"/>
      <c r="H31" s="29"/>
      <c r="I31" s="29"/>
      <c r="J31" s="29"/>
      <c r="K31" s="57"/>
      <c r="L31" s="2"/>
    </row>
    <row r="32" spans="1:12">
      <c r="A32" s="26">
        <v>34365</v>
      </c>
      <c r="B32" s="52">
        <v>26.875</v>
      </c>
      <c r="C32" s="52">
        <f t="shared" si="0"/>
        <v>26.875</v>
      </c>
      <c r="D32" s="52"/>
      <c r="E32" s="52"/>
      <c r="F32" s="52"/>
      <c r="G32" s="72"/>
      <c r="H32" s="28"/>
      <c r="I32" s="28"/>
      <c r="J32" s="28"/>
      <c r="K32" s="54"/>
      <c r="L32" s="2"/>
    </row>
    <row r="33" spans="1:12">
      <c r="A33" s="26">
        <v>34366</v>
      </c>
      <c r="B33" s="52">
        <v>26.3125</v>
      </c>
      <c r="C33" s="52">
        <f t="shared" si="0"/>
        <v>26.3125</v>
      </c>
      <c r="D33" s="52"/>
      <c r="E33" s="52"/>
      <c r="F33" s="52"/>
      <c r="G33" s="72"/>
      <c r="H33" s="28"/>
      <c r="I33" s="28"/>
      <c r="J33" s="28"/>
      <c r="K33" s="54"/>
      <c r="L33" s="2"/>
    </row>
    <row r="34" spans="1:12">
      <c r="A34" s="27">
        <v>34367</v>
      </c>
      <c r="B34" s="55">
        <v>27</v>
      </c>
      <c r="C34" s="55">
        <f t="shared" si="0"/>
        <v>27</v>
      </c>
      <c r="D34" s="55"/>
      <c r="E34" s="55"/>
      <c r="F34" s="55"/>
      <c r="G34" s="73"/>
      <c r="H34" s="29"/>
      <c r="I34" s="29"/>
      <c r="J34" s="29"/>
      <c r="K34" s="57"/>
      <c r="L34" s="2"/>
    </row>
    <row r="35" spans="1:12">
      <c r="A35" s="27">
        <v>34368</v>
      </c>
      <c r="B35" s="55">
        <v>26.9375</v>
      </c>
      <c r="C35" s="55">
        <f t="shared" si="0"/>
        <v>26.9375</v>
      </c>
      <c r="D35" s="55"/>
      <c r="E35" s="55"/>
      <c r="F35" s="55"/>
      <c r="G35" s="73"/>
      <c r="H35" s="29"/>
      <c r="I35" s="29"/>
      <c r="J35" s="29"/>
      <c r="K35" s="57"/>
      <c r="L35" s="2"/>
    </row>
    <row r="36" spans="1:12">
      <c r="A36" s="26">
        <v>34369</v>
      </c>
      <c r="B36" s="52">
        <v>26.25</v>
      </c>
      <c r="C36" s="52">
        <f t="shared" si="0"/>
        <v>26.25</v>
      </c>
      <c r="D36" s="52">
        <f>SUM(B12:B36)/25</f>
        <v>27.772500000000001</v>
      </c>
      <c r="E36" s="52">
        <f>C36-D36</f>
        <v>-1.5225000000000009</v>
      </c>
      <c r="F36" s="52">
        <f>E36/D36*100</f>
        <v>-5.4820415879017048</v>
      </c>
      <c r="G36" s="72"/>
      <c r="H36" s="28"/>
      <c r="I36" s="28"/>
      <c r="J36" s="28"/>
      <c r="K36" s="54"/>
      <c r="L36" s="2"/>
    </row>
    <row r="37" spans="1:12">
      <c r="A37" s="26">
        <v>34372</v>
      </c>
      <c r="B37" s="52">
        <v>26.125</v>
      </c>
      <c r="C37" s="52">
        <f t="shared" si="0"/>
        <v>26.125</v>
      </c>
      <c r="D37" s="52">
        <f t="shared" ref="D37:D65" si="1">SUM(B13:B37)/25</f>
        <v>27.692499999999999</v>
      </c>
      <c r="E37" s="52">
        <f t="shared" ref="E37:E65" si="2">C37-D37</f>
        <v>-1.567499999999999</v>
      </c>
      <c r="F37" s="52">
        <f t="shared" ref="F37:F65" si="3">E37/D37*100</f>
        <v>-5.660377358490563</v>
      </c>
      <c r="G37" s="72"/>
      <c r="H37" s="28"/>
      <c r="I37" s="28"/>
      <c r="J37" s="28"/>
      <c r="K37" s="54"/>
      <c r="L37" s="2"/>
    </row>
    <row r="38" spans="1:12">
      <c r="A38" s="27">
        <v>34373</v>
      </c>
      <c r="B38" s="55">
        <v>25.6875</v>
      </c>
      <c r="C38" s="55">
        <f t="shared" si="0"/>
        <v>25.6875</v>
      </c>
      <c r="D38" s="55">
        <f t="shared" si="1"/>
        <v>27.585000000000001</v>
      </c>
      <c r="E38" s="55">
        <f t="shared" si="2"/>
        <v>-1.8975000000000009</v>
      </c>
      <c r="F38" s="55">
        <f t="shared" si="3"/>
        <v>-6.8787384448069631</v>
      </c>
      <c r="G38" s="73"/>
      <c r="H38" s="29"/>
      <c r="I38" s="29"/>
      <c r="J38" s="29"/>
      <c r="K38" s="57"/>
      <c r="L38" s="2"/>
    </row>
    <row r="39" spans="1:12">
      <c r="A39" s="27">
        <v>34374</v>
      </c>
      <c r="B39" s="55">
        <v>25.3125</v>
      </c>
      <c r="C39" s="55">
        <f t="shared" si="0"/>
        <v>25.3125</v>
      </c>
      <c r="D39" s="55">
        <f t="shared" si="1"/>
        <v>27.454999999999998</v>
      </c>
      <c r="E39" s="55">
        <f t="shared" si="2"/>
        <v>-2.1424999999999983</v>
      </c>
      <c r="F39" s="55">
        <f t="shared" si="3"/>
        <v>-7.8036787470406059</v>
      </c>
      <c r="G39" s="73"/>
      <c r="H39" s="29"/>
      <c r="I39" s="29"/>
      <c r="J39" s="29"/>
      <c r="K39" s="57"/>
      <c r="L39" s="2"/>
    </row>
    <row r="40" spans="1:12">
      <c r="A40" s="26">
        <v>34375</v>
      </c>
      <c r="B40" s="52">
        <v>25.4375</v>
      </c>
      <c r="C40" s="52">
        <f t="shared" si="0"/>
        <v>25.4375</v>
      </c>
      <c r="D40" s="52">
        <f t="shared" si="1"/>
        <v>27.33</v>
      </c>
      <c r="E40" s="52">
        <f t="shared" si="2"/>
        <v>-1.8924999999999983</v>
      </c>
      <c r="F40" s="52">
        <f t="shared" si="3"/>
        <v>-6.9246249542627094</v>
      </c>
      <c r="G40" s="72"/>
      <c r="H40" s="28"/>
      <c r="I40" s="28"/>
      <c r="J40" s="28"/>
      <c r="K40" s="54"/>
      <c r="L40" s="2"/>
    </row>
    <row r="41" spans="1:12">
      <c r="A41" s="26">
        <v>34376</v>
      </c>
      <c r="B41" s="52">
        <v>25.9375</v>
      </c>
      <c r="C41" s="52">
        <f t="shared" si="0"/>
        <v>25.9375</v>
      </c>
      <c r="D41" s="52">
        <f t="shared" si="1"/>
        <v>27.212499999999999</v>
      </c>
      <c r="E41" s="52">
        <f t="shared" si="2"/>
        <v>-1.2749999999999986</v>
      </c>
      <c r="F41" s="52">
        <f t="shared" si="3"/>
        <v>-4.685346807533298</v>
      </c>
      <c r="G41" s="72"/>
      <c r="H41" s="28"/>
      <c r="I41" s="28"/>
      <c r="J41" s="28"/>
      <c r="K41" s="54"/>
      <c r="L41" s="2"/>
    </row>
    <row r="42" spans="1:12">
      <c r="A42" s="27">
        <v>34379</v>
      </c>
      <c r="B42" s="55">
        <v>25.8125</v>
      </c>
      <c r="C42" s="55">
        <f t="shared" si="0"/>
        <v>25.8125</v>
      </c>
      <c r="D42" s="55">
        <f t="shared" si="1"/>
        <v>27.085000000000001</v>
      </c>
      <c r="E42" s="55">
        <f t="shared" si="2"/>
        <v>-1.2725000000000009</v>
      </c>
      <c r="F42" s="55">
        <f t="shared" si="3"/>
        <v>-4.6981724201587625</v>
      </c>
      <c r="G42" s="73"/>
      <c r="H42" s="29"/>
      <c r="I42" s="29"/>
      <c r="J42" s="29"/>
      <c r="K42" s="57"/>
      <c r="L42" s="2"/>
    </row>
    <row r="43" spans="1:12">
      <c r="A43" s="27">
        <v>34380</v>
      </c>
      <c r="B43" s="55">
        <v>26.6875</v>
      </c>
      <c r="C43" s="55">
        <f t="shared" si="0"/>
        <v>26.6875</v>
      </c>
      <c r="D43" s="55">
        <f t="shared" si="1"/>
        <v>27.0075</v>
      </c>
      <c r="E43" s="55">
        <f t="shared" si="2"/>
        <v>-0.32000000000000028</v>
      </c>
      <c r="F43" s="55">
        <f t="shared" si="3"/>
        <v>-1.1848560585022689</v>
      </c>
      <c r="G43" s="73"/>
      <c r="H43" s="29"/>
      <c r="I43" s="29"/>
      <c r="J43" s="29"/>
      <c r="K43" s="57"/>
      <c r="L43" s="2"/>
    </row>
    <row r="44" spans="1:12">
      <c r="A44" s="26">
        <v>34381</v>
      </c>
      <c r="B44" s="52">
        <v>26.125</v>
      </c>
      <c r="C44" s="52">
        <f t="shared" si="0"/>
        <v>26.125</v>
      </c>
      <c r="D44" s="52">
        <f t="shared" si="1"/>
        <v>26.914999999999999</v>
      </c>
      <c r="E44" s="52">
        <f t="shared" si="2"/>
        <v>-0.78999999999999915</v>
      </c>
      <c r="F44" s="52">
        <f t="shared" si="3"/>
        <v>-2.9351662641649607</v>
      </c>
      <c r="G44" s="72"/>
      <c r="H44" s="28"/>
      <c r="I44" s="28"/>
      <c r="J44" s="28"/>
      <c r="K44" s="54"/>
      <c r="L44" s="2"/>
    </row>
    <row r="45" spans="1:12">
      <c r="A45" s="26">
        <v>34382</v>
      </c>
      <c r="B45" s="52">
        <v>25.5</v>
      </c>
      <c r="C45" s="52">
        <f t="shared" si="0"/>
        <v>25.5</v>
      </c>
      <c r="D45" s="52">
        <f t="shared" si="1"/>
        <v>26.8</v>
      </c>
      <c r="E45" s="52">
        <f t="shared" si="2"/>
        <v>-1.3000000000000007</v>
      </c>
      <c r="F45" s="52">
        <f t="shared" si="3"/>
        <v>-4.8507462686567182</v>
      </c>
      <c r="G45" s="72"/>
      <c r="H45" s="28"/>
      <c r="I45" s="28"/>
      <c r="J45" s="28"/>
      <c r="K45" s="54"/>
      <c r="L45" s="2"/>
    </row>
    <row r="46" spans="1:12">
      <c r="A46" s="27">
        <v>34383</v>
      </c>
      <c r="B46" s="55">
        <v>25.4375</v>
      </c>
      <c r="C46" s="55">
        <f t="shared" si="0"/>
        <v>25.4375</v>
      </c>
      <c r="D46" s="55">
        <f t="shared" si="1"/>
        <v>26.697500000000002</v>
      </c>
      <c r="E46" s="55">
        <f t="shared" si="2"/>
        <v>-1.2600000000000016</v>
      </c>
      <c r="F46" s="55">
        <f t="shared" si="3"/>
        <v>-4.7195430283734492</v>
      </c>
      <c r="G46" s="73"/>
      <c r="H46" s="29"/>
      <c r="I46" s="29"/>
      <c r="J46" s="29"/>
      <c r="K46" s="57"/>
      <c r="L46" s="2"/>
    </row>
    <row r="47" spans="1:12">
      <c r="A47" s="27">
        <v>34387</v>
      </c>
      <c r="B47" s="55">
        <v>25.75</v>
      </c>
      <c r="C47" s="55">
        <f t="shared" si="0"/>
        <v>25.75</v>
      </c>
      <c r="D47" s="55">
        <f t="shared" si="1"/>
        <v>26.625</v>
      </c>
      <c r="E47" s="55">
        <f t="shared" si="2"/>
        <v>-0.875</v>
      </c>
      <c r="F47" s="55">
        <f t="shared" si="3"/>
        <v>-3.286384976525822</v>
      </c>
      <c r="G47" s="73"/>
      <c r="H47" s="29"/>
      <c r="I47" s="29"/>
      <c r="J47" s="29"/>
      <c r="K47" s="57"/>
      <c r="L47" s="2"/>
    </row>
    <row r="48" spans="1:12">
      <c r="A48" s="26">
        <v>34388</v>
      </c>
      <c r="B48" s="52">
        <v>25.6875</v>
      </c>
      <c r="C48" s="52">
        <f t="shared" si="0"/>
        <v>25.6875</v>
      </c>
      <c r="D48" s="52">
        <f t="shared" si="1"/>
        <v>26.572500000000002</v>
      </c>
      <c r="E48" s="52">
        <f t="shared" si="2"/>
        <v>-0.88500000000000156</v>
      </c>
      <c r="F48" s="52">
        <f t="shared" si="3"/>
        <v>-3.3305108664973244</v>
      </c>
      <c r="G48" s="72"/>
      <c r="H48" s="28"/>
      <c r="I48" s="28"/>
      <c r="J48" s="28"/>
      <c r="K48" s="54"/>
      <c r="L48" s="2"/>
    </row>
    <row r="49" spans="1:12">
      <c r="A49" s="26">
        <v>34389</v>
      </c>
      <c r="B49" s="52">
        <v>25.3125</v>
      </c>
      <c r="C49" s="52">
        <f t="shared" si="0"/>
        <v>25.3125</v>
      </c>
      <c r="D49" s="52">
        <f t="shared" si="1"/>
        <v>26.487500000000001</v>
      </c>
      <c r="E49" s="52">
        <f t="shared" si="2"/>
        <v>-1.1750000000000007</v>
      </c>
      <c r="F49" s="52">
        <f t="shared" si="3"/>
        <v>-4.4360547428032113</v>
      </c>
      <c r="G49" s="72"/>
      <c r="H49" s="28"/>
      <c r="I49" s="28"/>
      <c r="J49" s="28"/>
      <c r="K49" s="54"/>
      <c r="L49" s="2"/>
    </row>
    <row r="50" spans="1:12">
      <c r="A50" s="27">
        <v>34390</v>
      </c>
      <c r="B50" s="55">
        <v>25.3125</v>
      </c>
      <c r="C50" s="55">
        <f t="shared" si="0"/>
        <v>25.3125</v>
      </c>
      <c r="D50" s="55">
        <f t="shared" si="1"/>
        <v>26.3825</v>
      </c>
      <c r="E50" s="55">
        <f t="shared" si="2"/>
        <v>-1.0700000000000003</v>
      </c>
      <c r="F50" s="55">
        <f t="shared" si="3"/>
        <v>-4.0557187529612442</v>
      </c>
      <c r="G50" s="73"/>
      <c r="H50" s="29"/>
      <c r="I50" s="29"/>
      <c r="J50" s="29"/>
      <c r="K50" s="57"/>
      <c r="L50" s="2"/>
    </row>
    <row r="51" spans="1:12">
      <c r="A51" s="27">
        <v>34393</v>
      </c>
      <c r="B51" s="55">
        <v>25.25</v>
      </c>
      <c r="C51" s="55">
        <f t="shared" si="0"/>
        <v>25.25</v>
      </c>
      <c r="D51" s="55">
        <f t="shared" si="1"/>
        <v>26.28</v>
      </c>
      <c r="E51" s="55">
        <f t="shared" si="2"/>
        <v>-1.0300000000000011</v>
      </c>
      <c r="F51" s="55">
        <f t="shared" si="3"/>
        <v>-3.9193302891933071</v>
      </c>
      <c r="G51" s="73"/>
      <c r="H51" s="29"/>
      <c r="I51" s="29"/>
      <c r="J51" s="29"/>
      <c r="K51" s="57"/>
      <c r="L51" s="2"/>
    </row>
    <row r="52" spans="1:12">
      <c r="A52" s="26">
        <v>34394</v>
      </c>
      <c r="B52" s="52">
        <v>24.8125</v>
      </c>
      <c r="C52" s="52">
        <f t="shared" si="0"/>
        <v>24.8125</v>
      </c>
      <c r="D52" s="52">
        <f t="shared" si="1"/>
        <v>26.1675</v>
      </c>
      <c r="E52" s="52">
        <f t="shared" si="2"/>
        <v>-1.3550000000000004</v>
      </c>
      <c r="F52" s="52">
        <f t="shared" si="3"/>
        <v>-5.1781790388841138</v>
      </c>
      <c r="G52" s="72"/>
      <c r="H52" s="28"/>
      <c r="I52" s="28"/>
      <c r="J52" s="28"/>
      <c r="K52" s="54"/>
      <c r="L52" s="2"/>
    </row>
    <row r="53" spans="1:12">
      <c r="A53" s="26">
        <v>34395</v>
      </c>
      <c r="B53" s="52">
        <v>24.75</v>
      </c>
      <c r="C53" s="52">
        <f t="shared" si="0"/>
        <v>24.75</v>
      </c>
      <c r="D53" s="52">
        <f t="shared" si="1"/>
        <v>26.047499999999999</v>
      </c>
      <c r="E53" s="52">
        <f t="shared" si="2"/>
        <v>-1.2974999999999994</v>
      </c>
      <c r="F53" s="52">
        <f t="shared" si="3"/>
        <v>-4.9812841923409135</v>
      </c>
      <c r="G53" s="72"/>
      <c r="H53" s="28"/>
      <c r="I53" s="28"/>
      <c r="J53" s="28"/>
      <c r="K53" s="54"/>
      <c r="L53" s="2"/>
    </row>
    <row r="54" spans="1:12">
      <c r="A54" s="27">
        <v>34396</v>
      </c>
      <c r="B54" s="55">
        <v>24.625</v>
      </c>
      <c r="C54" s="55">
        <f t="shared" si="0"/>
        <v>24.625</v>
      </c>
      <c r="D54" s="55">
        <f t="shared" si="1"/>
        <v>25.907499999999999</v>
      </c>
      <c r="E54" s="55">
        <f t="shared" si="2"/>
        <v>-1.2824999999999989</v>
      </c>
      <c r="F54" s="55">
        <f t="shared" si="3"/>
        <v>-4.9503039660329975</v>
      </c>
      <c r="G54" s="73"/>
      <c r="H54" s="29"/>
      <c r="I54" s="29"/>
      <c r="J54" s="29"/>
      <c r="K54" s="57"/>
      <c r="L54" s="2"/>
    </row>
    <row r="55" spans="1:12">
      <c r="A55" s="27">
        <v>34397</v>
      </c>
      <c r="B55" s="55">
        <v>24.5</v>
      </c>
      <c r="C55" s="55">
        <f t="shared" si="0"/>
        <v>24.5</v>
      </c>
      <c r="D55" s="55">
        <f t="shared" si="1"/>
        <v>25.7925</v>
      </c>
      <c r="E55" s="55">
        <f t="shared" si="2"/>
        <v>-1.2925000000000004</v>
      </c>
      <c r="F55" s="55">
        <f t="shared" si="3"/>
        <v>-5.0111466511582838</v>
      </c>
      <c r="G55" s="73"/>
      <c r="H55" s="29"/>
      <c r="I55" s="29"/>
      <c r="J55" s="29"/>
      <c r="K55" s="57"/>
      <c r="L55" s="2"/>
    </row>
    <row r="56" spans="1:12">
      <c r="A56" s="26">
        <v>34400</v>
      </c>
      <c r="B56" s="52">
        <v>24.1875</v>
      </c>
      <c r="C56" s="52">
        <f t="shared" si="0"/>
        <v>24.1875</v>
      </c>
      <c r="D56" s="52">
        <f t="shared" si="1"/>
        <v>25.664999999999999</v>
      </c>
      <c r="E56" s="52">
        <f t="shared" si="2"/>
        <v>-1.4774999999999991</v>
      </c>
      <c r="F56" s="52">
        <f t="shared" si="3"/>
        <v>-5.7568673290473376</v>
      </c>
      <c r="G56" s="72"/>
      <c r="H56" s="28"/>
      <c r="I56" s="28"/>
      <c r="J56" s="28"/>
      <c r="K56" s="54"/>
      <c r="L56" s="2"/>
    </row>
    <row r="57" spans="1:12">
      <c r="A57" s="26">
        <v>34401</v>
      </c>
      <c r="B57" s="52">
        <v>24.625</v>
      </c>
      <c r="C57" s="52">
        <f t="shared" si="0"/>
        <v>24.625</v>
      </c>
      <c r="D57" s="52">
        <f t="shared" si="1"/>
        <v>25.574999999999999</v>
      </c>
      <c r="E57" s="52">
        <f t="shared" si="2"/>
        <v>-0.94999999999999929</v>
      </c>
      <c r="F57" s="52">
        <f t="shared" si="3"/>
        <v>-3.7145650048875831</v>
      </c>
      <c r="G57" s="72"/>
      <c r="H57" s="28"/>
      <c r="I57" s="28"/>
      <c r="J57" s="28"/>
      <c r="K57" s="54"/>
      <c r="L57" s="2"/>
    </row>
    <row r="58" spans="1:12">
      <c r="A58" s="27">
        <v>34402</v>
      </c>
      <c r="B58" s="55">
        <v>24.125</v>
      </c>
      <c r="C58" s="55">
        <f t="shared" si="0"/>
        <v>24.125</v>
      </c>
      <c r="D58" s="55">
        <f t="shared" si="1"/>
        <v>25.487500000000001</v>
      </c>
      <c r="E58" s="55">
        <f t="shared" si="2"/>
        <v>-1.3625000000000007</v>
      </c>
      <c r="F58" s="55">
        <f t="shared" si="3"/>
        <v>-5.3457577243746961</v>
      </c>
      <c r="G58" s="73"/>
      <c r="H58" s="29"/>
      <c r="I58" s="29"/>
      <c r="J58" s="29"/>
      <c r="K58" s="57"/>
      <c r="L58" s="2"/>
    </row>
    <row r="59" spans="1:12">
      <c r="A59" s="27">
        <v>34403</v>
      </c>
      <c r="B59" s="55">
        <v>24.125</v>
      </c>
      <c r="C59" s="55">
        <f t="shared" si="0"/>
        <v>24.125</v>
      </c>
      <c r="D59" s="55">
        <f t="shared" si="1"/>
        <v>25.372499999999999</v>
      </c>
      <c r="E59" s="55">
        <f t="shared" si="2"/>
        <v>-1.2474999999999987</v>
      </c>
      <c r="F59" s="55">
        <f t="shared" si="3"/>
        <v>-4.9167405655729581</v>
      </c>
      <c r="G59" s="73"/>
      <c r="H59" s="29"/>
      <c r="I59" s="29"/>
      <c r="J59" s="29"/>
      <c r="K59" s="57"/>
      <c r="L59" s="2"/>
    </row>
    <row r="60" spans="1:12">
      <c r="A60" s="26">
        <v>34404</v>
      </c>
      <c r="B60" s="52">
        <v>24.875</v>
      </c>
      <c r="C60" s="52">
        <f t="shared" si="0"/>
        <v>24.875</v>
      </c>
      <c r="D60" s="52">
        <f t="shared" si="1"/>
        <v>25.29</v>
      </c>
      <c r="E60" s="52">
        <f t="shared" si="2"/>
        <v>-0.41499999999999915</v>
      </c>
      <c r="F60" s="52">
        <f t="shared" si="3"/>
        <v>-1.6409648082245913</v>
      </c>
      <c r="G60" s="72"/>
      <c r="H60" s="28"/>
      <c r="I60" s="28"/>
      <c r="J60" s="28"/>
      <c r="K60" s="54"/>
      <c r="L60" s="2"/>
    </row>
    <row r="61" spans="1:12">
      <c r="A61" s="26">
        <v>34407</v>
      </c>
      <c r="B61" s="52">
        <v>24.875</v>
      </c>
      <c r="C61" s="52">
        <f t="shared" si="0"/>
        <v>24.875</v>
      </c>
      <c r="D61" s="52">
        <f t="shared" si="1"/>
        <v>25.234999999999999</v>
      </c>
      <c r="E61" s="52">
        <f t="shared" si="2"/>
        <v>-0.35999999999999943</v>
      </c>
      <c r="F61" s="52">
        <f t="shared" si="3"/>
        <v>-1.4265900534971248</v>
      </c>
      <c r="G61" s="72"/>
      <c r="H61" s="28"/>
      <c r="I61" s="28"/>
      <c r="J61" s="28"/>
      <c r="K61" s="54"/>
      <c r="L61" s="2"/>
    </row>
    <row r="62" spans="1:12">
      <c r="A62" s="27">
        <v>34408</v>
      </c>
      <c r="B62" s="55">
        <v>24.3125</v>
      </c>
      <c r="C62" s="55">
        <f t="shared" si="0"/>
        <v>24.3125</v>
      </c>
      <c r="D62" s="55">
        <f t="shared" si="1"/>
        <v>25.162500000000001</v>
      </c>
      <c r="E62" s="55">
        <f t="shared" si="2"/>
        <v>-0.85000000000000142</v>
      </c>
      <c r="F62" s="55">
        <f t="shared" si="3"/>
        <v>-3.3780427223050227</v>
      </c>
      <c r="G62" s="73"/>
      <c r="H62" s="29"/>
      <c r="I62" s="29"/>
      <c r="J62" s="29"/>
      <c r="K62" s="57"/>
      <c r="L62" s="2"/>
    </row>
    <row r="63" spans="1:12">
      <c r="A63" s="27">
        <v>34409</v>
      </c>
      <c r="B63" s="55">
        <v>24.5</v>
      </c>
      <c r="C63" s="55">
        <f t="shared" si="0"/>
        <v>24.5</v>
      </c>
      <c r="D63" s="55">
        <f t="shared" si="1"/>
        <v>25.114999999999998</v>
      </c>
      <c r="E63" s="55">
        <f t="shared" si="2"/>
        <v>-0.61499999999999844</v>
      </c>
      <c r="F63" s="55">
        <f t="shared" si="3"/>
        <v>-2.4487358152498446</v>
      </c>
      <c r="G63" s="73"/>
      <c r="H63" s="29"/>
      <c r="I63" s="29"/>
      <c r="J63" s="29"/>
      <c r="K63" s="57"/>
      <c r="L63" s="2"/>
    </row>
    <row r="64" spans="1:12">
      <c r="A64" s="26">
        <v>34410</v>
      </c>
      <c r="B64" s="52">
        <v>24.3125</v>
      </c>
      <c r="C64" s="52">
        <f t="shared" si="0"/>
        <v>24.3125</v>
      </c>
      <c r="D64" s="52">
        <f t="shared" si="1"/>
        <v>25.074999999999999</v>
      </c>
      <c r="E64" s="52">
        <f t="shared" si="2"/>
        <v>-0.76249999999999929</v>
      </c>
      <c r="F64" s="52">
        <f t="shared" si="3"/>
        <v>-3.0408773678963086</v>
      </c>
      <c r="G64" s="72"/>
      <c r="H64" s="28"/>
      <c r="I64" s="28"/>
      <c r="J64" s="28"/>
      <c r="K64" s="54"/>
      <c r="L64" s="2"/>
    </row>
    <row r="65" spans="1:12">
      <c r="A65" s="26">
        <v>34411</v>
      </c>
      <c r="B65" s="52">
        <v>24.375</v>
      </c>
      <c r="C65" s="52">
        <f t="shared" si="0"/>
        <v>24.375</v>
      </c>
      <c r="D65" s="52">
        <f t="shared" si="1"/>
        <v>25.032499999999999</v>
      </c>
      <c r="E65" s="52">
        <f t="shared" si="2"/>
        <v>-0.65749999999999886</v>
      </c>
      <c r="F65" s="52">
        <f t="shared" si="3"/>
        <v>-2.6265854389293875</v>
      </c>
      <c r="G65" s="72"/>
      <c r="H65" s="28"/>
      <c r="I65" s="28"/>
      <c r="J65" s="28"/>
      <c r="K65" s="54"/>
      <c r="L65" s="2"/>
    </row>
    <row r="66" spans="1:12">
      <c r="G66" s="2"/>
      <c r="L66" s="2"/>
    </row>
    <row r="67" spans="1:12">
      <c r="G67" s="2"/>
      <c r="L67" s="2"/>
    </row>
    <row r="68" spans="1:12" ht="32.25" customHeight="1">
      <c r="A68" s="447" t="s">
        <v>1172</v>
      </c>
      <c r="B68" s="447"/>
      <c r="C68" s="447"/>
      <c r="D68" s="447"/>
      <c r="E68" s="447"/>
      <c r="F68" s="447"/>
      <c r="G68" s="447"/>
      <c r="H68" s="447"/>
      <c r="I68" s="447"/>
      <c r="J68" s="447"/>
      <c r="L68" s="2"/>
    </row>
    <row r="69" spans="1:12" ht="15">
      <c r="A69" s="241" t="s">
        <v>1173</v>
      </c>
      <c r="G69" s="2"/>
      <c r="L69" s="2"/>
    </row>
    <row r="70" spans="1:12">
      <c r="G70" s="2"/>
      <c r="L70" s="2"/>
    </row>
    <row r="71" spans="1:12">
      <c r="G71" s="2"/>
      <c r="L71" s="2"/>
    </row>
    <row r="72" spans="1:12">
      <c r="G72" s="2"/>
      <c r="L72" s="2"/>
    </row>
    <row r="73" spans="1:12">
      <c r="G73" s="2"/>
      <c r="L73" s="2"/>
    </row>
    <row r="74" spans="1:12">
      <c r="G74" s="2"/>
      <c r="L74" s="2"/>
    </row>
    <row r="75" spans="1:12">
      <c r="G75" s="2"/>
      <c r="L75" s="2"/>
    </row>
    <row r="76" spans="1:12">
      <c r="G76" s="2"/>
      <c r="L76" s="2"/>
    </row>
    <row r="77" spans="1:12">
      <c r="G77" s="2"/>
      <c r="L77" s="2"/>
    </row>
    <row r="78" spans="1:12">
      <c r="G78" s="2"/>
      <c r="L78" s="2"/>
    </row>
    <row r="79" spans="1:12">
      <c r="G79" s="2"/>
      <c r="L79" s="2"/>
    </row>
    <row r="80" spans="1:12">
      <c r="L80" s="2"/>
    </row>
    <row r="81" spans="12:12">
      <c r="L81" s="2"/>
    </row>
    <row r="82" spans="12:12">
      <c r="L82" s="2"/>
    </row>
    <row r="83" spans="12:12">
      <c r="L83" s="2"/>
    </row>
    <row r="84" spans="12:12">
      <c r="L84" s="2"/>
    </row>
    <row r="85" spans="12:12">
      <c r="L85" s="2"/>
    </row>
    <row r="86" spans="12:12">
      <c r="L86" s="2"/>
    </row>
    <row r="87" spans="12:12">
      <c r="L87" s="2"/>
    </row>
    <row r="88" spans="12:12">
      <c r="L88" s="2"/>
    </row>
    <row r="89" spans="12:12">
      <c r="L89" s="2"/>
    </row>
    <row r="90" spans="12:12">
      <c r="L90" s="2"/>
    </row>
    <row r="91" spans="12:12">
      <c r="L91" s="2"/>
    </row>
    <row r="92" spans="12:12">
      <c r="L92" s="2"/>
    </row>
    <row r="93" spans="12:12">
      <c r="L93" s="2"/>
    </row>
    <row r="94" spans="12:12">
      <c r="L94" s="2"/>
    </row>
    <row r="95" spans="12:12">
      <c r="L95" s="2"/>
    </row>
    <row r="96" spans="12:12">
      <c r="L96" s="2"/>
    </row>
    <row r="97" spans="12:12">
      <c r="L97" s="2"/>
    </row>
    <row r="98" spans="12:12">
      <c r="L98" s="2"/>
    </row>
    <row r="99" spans="12:12">
      <c r="L99" s="2"/>
    </row>
    <row r="100" spans="12:12">
      <c r="L100" s="2"/>
    </row>
    <row r="101" spans="12:12">
      <c r="L101" s="2"/>
    </row>
    <row r="102" spans="12:12">
      <c r="L102" s="2"/>
    </row>
    <row r="103" spans="12:12">
      <c r="L103" s="2"/>
    </row>
    <row r="104" spans="12:12">
      <c r="L104" s="2"/>
    </row>
    <row r="105" spans="12:12">
      <c r="L105" s="2"/>
    </row>
    <row r="106" spans="12:12">
      <c r="L106" s="2"/>
    </row>
    <row r="107" spans="12:12">
      <c r="L107" s="2"/>
    </row>
    <row r="108" spans="12:12">
      <c r="L108" s="2"/>
    </row>
    <row r="109" spans="12:12">
      <c r="L109" s="2"/>
    </row>
    <row r="110" spans="12:12">
      <c r="L110" s="2"/>
    </row>
    <row r="111" spans="12:12">
      <c r="L111" s="2"/>
    </row>
    <row r="112" spans="12:12">
      <c r="L112" s="2"/>
    </row>
    <row r="113" spans="12:12">
      <c r="L113" s="2"/>
    </row>
    <row r="114" spans="12:12">
      <c r="L114" s="2"/>
    </row>
    <row r="115" spans="12:12">
      <c r="L115" s="2"/>
    </row>
    <row r="116" spans="12:12">
      <c r="L116" s="2"/>
    </row>
    <row r="117" spans="12:12">
      <c r="L117" s="2"/>
    </row>
    <row r="118" spans="12:12">
      <c r="L118" s="2"/>
    </row>
    <row r="119" spans="12:12">
      <c r="L119" s="2"/>
    </row>
    <row r="120" spans="12:12">
      <c r="L120" s="2"/>
    </row>
    <row r="121" spans="12:12">
      <c r="L121" s="2"/>
    </row>
    <row r="122" spans="12:12">
      <c r="L122" s="2"/>
    </row>
    <row r="123" spans="12:12">
      <c r="L123" s="2"/>
    </row>
    <row r="124" spans="12:12">
      <c r="L124" s="2"/>
    </row>
    <row r="125" spans="12:12">
      <c r="L125" s="2"/>
    </row>
    <row r="126" spans="12:12">
      <c r="L126" s="2"/>
    </row>
    <row r="127" spans="12:12">
      <c r="L127" s="2"/>
    </row>
    <row r="128" spans="12:12">
      <c r="L128" s="2"/>
    </row>
    <row r="129" spans="12:12">
      <c r="L129" s="2"/>
    </row>
    <row r="130" spans="12:12">
      <c r="L130" s="2"/>
    </row>
    <row r="131" spans="12:12">
      <c r="L131" s="2"/>
    </row>
    <row r="132" spans="12:12">
      <c r="L132" s="2"/>
    </row>
    <row r="133" spans="12:12">
      <c r="L133" s="2"/>
    </row>
    <row r="134" spans="12:12">
      <c r="L134" s="2"/>
    </row>
    <row r="135" spans="12:12">
      <c r="L135" s="2"/>
    </row>
    <row r="136" spans="12:12">
      <c r="L136" s="2"/>
    </row>
    <row r="137" spans="12:12">
      <c r="L137" s="2"/>
    </row>
    <row r="138" spans="12:12">
      <c r="L138" s="2"/>
    </row>
    <row r="139" spans="12:12">
      <c r="L139" s="2"/>
    </row>
    <row r="140" spans="12:12">
      <c r="L140" s="2"/>
    </row>
    <row r="141" spans="12:12">
      <c r="L141" s="2"/>
    </row>
    <row r="142" spans="12:12">
      <c r="L142" s="2"/>
    </row>
    <row r="143" spans="12:12">
      <c r="L143" s="2"/>
    </row>
    <row r="144" spans="12:12">
      <c r="L144" s="2"/>
    </row>
    <row r="145" spans="12:12">
      <c r="L145" s="2"/>
    </row>
    <row r="146" spans="12:12">
      <c r="L146" s="2"/>
    </row>
    <row r="147" spans="12:12">
      <c r="L147" s="2"/>
    </row>
    <row r="148" spans="12:12">
      <c r="L148" s="2"/>
    </row>
    <row r="149" spans="12:12">
      <c r="L149" s="2"/>
    </row>
    <row r="150" spans="12:12">
      <c r="L150" s="2"/>
    </row>
    <row r="151" spans="12:12">
      <c r="L151" s="2"/>
    </row>
    <row r="152" spans="12:12">
      <c r="L152" s="2"/>
    </row>
    <row r="153" spans="12:12">
      <c r="L153" s="2"/>
    </row>
    <row r="154" spans="12:12">
      <c r="L154" s="2"/>
    </row>
    <row r="155" spans="12:12">
      <c r="L155" s="2"/>
    </row>
    <row r="156" spans="12:12">
      <c r="L156" s="2"/>
    </row>
    <row r="157" spans="12:12">
      <c r="L157" s="2"/>
    </row>
    <row r="158" spans="12:12">
      <c r="L158" s="2"/>
    </row>
    <row r="159" spans="12:12">
      <c r="L159" s="2"/>
    </row>
    <row r="160" spans="12:12">
      <c r="L160" s="2"/>
    </row>
    <row r="161" spans="12:12">
      <c r="L161" s="2"/>
    </row>
    <row r="162" spans="12:12">
      <c r="L162" s="2"/>
    </row>
    <row r="163" spans="12:12">
      <c r="L163" s="2"/>
    </row>
    <row r="164" spans="12:12">
      <c r="L164" s="2"/>
    </row>
    <row r="165" spans="12:12">
      <c r="L165" s="2"/>
    </row>
    <row r="166" spans="12:12">
      <c r="L166" s="2"/>
    </row>
    <row r="167" spans="12:12">
      <c r="L167" s="2"/>
    </row>
    <row r="168" spans="12:12">
      <c r="L168" s="2"/>
    </row>
    <row r="169" spans="12:12">
      <c r="L169" s="2"/>
    </row>
    <row r="170" spans="12:12">
      <c r="L170" s="2"/>
    </row>
    <row r="171" spans="12:12">
      <c r="L171" s="2"/>
    </row>
    <row r="172" spans="12:12">
      <c r="L172" s="2"/>
    </row>
    <row r="173" spans="12:12">
      <c r="L173" s="2"/>
    </row>
    <row r="174" spans="12:12">
      <c r="L174" s="2"/>
    </row>
    <row r="175" spans="12:12">
      <c r="L175" s="2"/>
    </row>
    <row r="176" spans="12:12">
      <c r="L176" s="2"/>
    </row>
    <row r="177" spans="12:12">
      <c r="L177" s="2"/>
    </row>
    <row r="178" spans="12:12">
      <c r="L178" s="2"/>
    </row>
    <row r="179" spans="12:12">
      <c r="L179" s="2"/>
    </row>
    <row r="180" spans="12:12">
      <c r="L180" s="2"/>
    </row>
    <row r="181" spans="12:12">
      <c r="L181" s="2"/>
    </row>
    <row r="182" spans="12:12">
      <c r="L182" s="2"/>
    </row>
    <row r="183" spans="12:12">
      <c r="L183" s="2"/>
    </row>
    <row r="184" spans="12:12">
      <c r="L184" s="2"/>
    </row>
    <row r="185" spans="12:12">
      <c r="L185" s="2"/>
    </row>
    <row r="186" spans="12:12">
      <c r="L186" s="2"/>
    </row>
    <row r="187" spans="12:12">
      <c r="L187" s="2"/>
    </row>
  </sheetData>
  <mergeCells count="3">
    <mergeCell ref="A68:J68"/>
    <mergeCell ref="B6:K6"/>
    <mergeCell ref="B8:K8"/>
  </mergeCells>
  <phoneticPr fontId="0"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44035"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44036"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44037"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44038"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enableFormatConditionsCalculation="0"/>
  <dimension ref="A1:N188"/>
  <sheetViews>
    <sheetView workbookViewId="0"/>
  </sheetViews>
  <sheetFormatPr baseColWidth="10" defaultColWidth="8.83203125" defaultRowHeight="12" x14ac:dyDescent="0"/>
  <cols>
    <col min="1" max="1" width="10.6640625" customWidth="1"/>
    <col min="3" max="3" width="12.5" customWidth="1"/>
    <col min="4" max="4" width="13"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825</v>
      </c>
      <c r="C3" s="20"/>
      <c r="D3" s="21"/>
      <c r="E3" s="21"/>
      <c r="F3" s="21"/>
      <c r="G3" s="21"/>
      <c r="H3" s="21"/>
      <c r="I3" s="21"/>
      <c r="J3" s="21"/>
      <c r="K3" s="21"/>
    </row>
    <row r="4" spans="1:14">
      <c r="A4" s="19" t="s">
        <v>774</v>
      </c>
      <c r="B4" s="20" t="s">
        <v>826</v>
      </c>
      <c r="C4" s="20"/>
      <c r="D4" s="21"/>
      <c r="E4" s="21"/>
      <c r="F4" s="21"/>
      <c r="G4" s="21"/>
      <c r="H4" s="21"/>
      <c r="I4" s="21"/>
      <c r="J4" s="21"/>
      <c r="K4" s="21"/>
    </row>
    <row r="5" spans="1:14" ht="15">
      <c r="A5" s="118" t="s">
        <v>779</v>
      </c>
      <c r="B5" s="127" t="s">
        <v>1174</v>
      </c>
      <c r="C5" s="20"/>
      <c r="D5" s="21"/>
      <c r="E5" s="21"/>
      <c r="F5" s="21"/>
      <c r="G5" s="21"/>
      <c r="H5" s="21"/>
      <c r="I5" s="21"/>
      <c r="J5" s="21"/>
      <c r="K5" s="21"/>
    </row>
    <row r="6" spans="1:14" ht="33" customHeight="1">
      <c r="A6" s="19"/>
      <c r="B6" s="446" t="s">
        <v>1175</v>
      </c>
      <c r="C6" s="446"/>
      <c r="D6" s="446"/>
      <c r="E6" s="446"/>
      <c r="F6" s="446"/>
      <c r="G6" s="446"/>
      <c r="H6" s="446"/>
      <c r="I6" s="446"/>
      <c r="J6" s="446"/>
      <c r="K6" s="446"/>
    </row>
    <row r="7" spans="1:14" ht="21">
      <c r="A7" s="19"/>
      <c r="B7" s="127"/>
      <c r="C7" s="20"/>
      <c r="D7" s="149" t="s">
        <v>1176</v>
      </c>
      <c r="E7" s="21"/>
      <c r="F7" s="21"/>
      <c r="G7" s="21"/>
      <c r="H7" s="21"/>
      <c r="I7" s="21"/>
      <c r="J7" s="21"/>
      <c r="K7" s="21"/>
    </row>
    <row r="8" spans="1:14" ht="15">
      <c r="A8" s="19"/>
      <c r="B8" s="127" t="s">
        <v>1177</v>
      </c>
      <c r="C8" s="20"/>
      <c r="D8" s="21"/>
      <c r="E8" s="21"/>
      <c r="F8" s="21"/>
      <c r="G8" s="21"/>
      <c r="H8" s="21"/>
      <c r="I8" s="21"/>
      <c r="J8" s="21"/>
      <c r="K8" s="21"/>
    </row>
    <row r="9" spans="1:14" ht="15">
      <c r="A9" s="19"/>
      <c r="B9" s="127"/>
      <c r="C9" s="20"/>
      <c r="D9" s="21"/>
      <c r="E9" s="21"/>
      <c r="F9" s="21"/>
      <c r="G9" s="21"/>
      <c r="H9" s="21"/>
      <c r="I9" s="21"/>
      <c r="J9" s="21"/>
      <c r="K9" s="21"/>
    </row>
    <row r="10" spans="1:14" ht="21">
      <c r="A10" s="19"/>
      <c r="B10" s="358"/>
      <c r="C10" s="20"/>
      <c r="D10" s="21"/>
      <c r="E10" s="21"/>
      <c r="F10" s="21"/>
      <c r="G10" s="21"/>
      <c r="H10" s="21"/>
      <c r="I10" s="21"/>
      <c r="J10" s="21"/>
      <c r="K10" s="21"/>
    </row>
    <row r="11" spans="1:14">
      <c r="A11" s="19" t="s">
        <v>635</v>
      </c>
      <c r="B11" s="20" t="s">
        <v>475</v>
      </c>
      <c r="C11" s="20"/>
      <c r="D11" s="21"/>
      <c r="E11" s="21"/>
      <c r="F11" s="21"/>
      <c r="G11" s="21"/>
      <c r="H11" s="21"/>
      <c r="I11" s="21"/>
      <c r="J11" s="21"/>
      <c r="K11" s="21"/>
    </row>
    <row r="12" spans="1:14" ht="49.5" customHeight="1">
      <c r="A12" s="22" t="s">
        <v>1090</v>
      </c>
      <c r="B12" s="22" t="s">
        <v>1098</v>
      </c>
      <c r="C12" s="31" t="s">
        <v>1180</v>
      </c>
      <c r="D12" s="31" t="s">
        <v>1181</v>
      </c>
      <c r="E12" s="22"/>
      <c r="F12" s="22"/>
      <c r="G12" s="22"/>
      <c r="H12" s="22"/>
      <c r="I12" s="22"/>
      <c r="J12" s="22"/>
      <c r="K12" s="22"/>
    </row>
    <row r="13" spans="1:14">
      <c r="A13" s="26">
        <v>33973</v>
      </c>
      <c r="B13" s="52">
        <v>5.5625</v>
      </c>
      <c r="C13" s="52"/>
      <c r="D13" s="28"/>
      <c r="E13" s="72"/>
      <c r="F13" s="28"/>
      <c r="G13" s="28"/>
      <c r="H13" s="28"/>
      <c r="I13" s="28"/>
      <c r="J13" s="28"/>
      <c r="K13" s="54"/>
      <c r="L13" s="2"/>
    </row>
    <row r="14" spans="1:14">
      <c r="A14" s="26">
        <v>33974</v>
      </c>
      <c r="B14" s="52">
        <v>5.375</v>
      </c>
      <c r="C14" s="52"/>
      <c r="D14" s="28"/>
      <c r="E14" s="72"/>
      <c r="F14" s="28"/>
      <c r="G14" s="28"/>
      <c r="H14" s="28"/>
      <c r="I14" s="28"/>
      <c r="J14" s="28"/>
      <c r="K14" s="54"/>
      <c r="L14" s="2"/>
    </row>
    <row r="15" spans="1:14">
      <c r="A15" s="27">
        <v>33975</v>
      </c>
      <c r="B15" s="55">
        <v>5.375</v>
      </c>
      <c r="C15" s="55"/>
      <c r="D15" s="29"/>
      <c r="E15" s="73"/>
      <c r="F15" s="29"/>
      <c r="G15" s="29"/>
      <c r="H15" s="29"/>
      <c r="I15" s="29"/>
      <c r="J15" s="29"/>
      <c r="K15" s="57"/>
      <c r="L15" s="2"/>
    </row>
    <row r="16" spans="1:14">
      <c r="A16" s="27">
        <v>33976</v>
      </c>
      <c r="B16" s="55">
        <v>5.0625</v>
      </c>
      <c r="C16" s="55">
        <f>B16-B13</f>
        <v>-0.5</v>
      </c>
      <c r="D16" s="47">
        <f>C16/B13*100</f>
        <v>-8.9887640449438209</v>
      </c>
      <c r="E16" s="73"/>
      <c r="F16" s="29"/>
      <c r="G16" s="29"/>
      <c r="H16" s="29"/>
      <c r="I16" s="29"/>
      <c r="J16" s="29"/>
      <c r="K16" s="57"/>
      <c r="L16" s="2"/>
    </row>
    <row r="17" spans="1:12">
      <c r="A17" s="26">
        <v>33977</v>
      </c>
      <c r="B17" s="52">
        <v>5.1093999999999999</v>
      </c>
      <c r="C17" s="52">
        <f t="shared" ref="C17:C66" si="0">B17-B14</f>
        <v>-0.26560000000000006</v>
      </c>
      <c r="D17" s="43">
        <f t="shared" ref="D17:D66" si="1">C17/B14*100</f>
        <v>-4.9413953488372107</v>
      </c>
      <c r="E17" s="72"/>
      <c r="F17" s="28"/>
      <c r="G17" s="28"/>
      <c r="H17" s="28"/>
      <c r="I17" s="28"/>
      <c r="J17" s="28"/>
      <c r="K17" s="54"/>
      <c r="L17" s="2"/>
    </row>
    <row r="18" spans="1:12">
      <c r="A18" s="26">
        <v>33980</v>
      </c>
      <c r="B18" s="52">
        <v>5.1093999999999999</v>
      </c>
      <c r="C18" s="52">
        <f t="shared" si="0"/>
        <v>-0.26560000000000006</v>
      </c>
      <c r="D18" s="43">
        <f t="shared" si="1"/>
        <v>-4.9413953488372107</v>
      </c>
      <c r="E18" s="72"/>
      <c r="F18" s="28"/>
      <c r="G18" s="28"/>
      <c r="H18" s="28"/>
      <c r="I18" s="28"/>
      <c r="J18" s="28"/>
      <c r="K18" s="54"/>
      <c r="L18" s="2"/>
    </row>
    <row r="19" spans="1:12">
      <c r="A19" s="27">
        <v>33981</v>
      </c>
      <c r="B19" s="55">
        <v>5.0937999999999999</v>
      </c>
      <c r="C19" s="55">
        <f t="shared" si="0"/>
        <v>3.1299999999999883E-2</v>
      </c>
      <c r="D19" s="47">
        <f t="shared" si="1"/>
        <v>0.61827160493826927</v>
      </c>
      <c r="E19" s="73"/>
      <c r="F19" s="29"/>
      <c r="G19" s="29"/>
      <c r="H19" s="29"/>
      <c r="I19" s="29"/>
      <c r="J19" s="29"/>
      <c r="K19" s="57"/>
      <c r="L19" s="2"/>
    </row>
    <row r="20" spans="1:12">
      <c r="A20" s="27">
        <v>33982</v>
      </c>
      <c r="B20" s="55">
        <v>5</v>
      </c>
      <c r="C20" s="55">
        <f t="shared" si="0"/>
        <v>-0.10939999999999994</v>
      </c>
      <c r="D20" s="47">
        <f t="shared" si="1"/>
        <v>-2.1411516029279354</v>
      </c>
      <c r="E20" s="73"/>
      <c r="F20" s="29"/>
      <c r="G20" s="29"/>
      <c r="H20" s="29"/>
      <c r="I20" s="29"/>
      <c r="J20" s="29"/>
      <c r="K20" s="57"/>
      <c r="L20" s="2"/>
    </row>
    <row r="21" spans="1:12">
      <c r="A21" s="26">
        <v>33983</v>
      </c>
      <c r="B21" s="52">
        <v>5</v>
      </c>
      <c r="C21" s="52">
        <f t="shared" si="0"/>
        <v>-0.10939999999999994</v>
      </c>
      <c r="D21" s="43">
        <f t="shared" si="1"/>
        <v>-2.1411516029279354</v>
      </c>
      <c r="E21" s="72"/>
      <c r="F21" s="28"/>
      <c r="G21" s="28"/>
      <c r="H21" s="28"/>
      <c r="I21" s="28"/>
      <c r="J21" s="28"/>
      <c r="K21" s="54"/>
      <c r="L21" s="2"/>
    </row>
    <row r="22" spans="1:12">
      <c r="A22" s="26">
        <v>33984</v>
      </c>
      <c r="B22" s="52">
        <v>5.0781000000000001</v>
      </c>
      <c r="C22" s="52">
        <f t="shared" si="0"/>
        <v>-1.5699999999999825E-2</v>
      </c>
      <c r="D22" s="43">
        <f t="shared" si="1"/>
        <v>-0.30821783344457626</v>
      </c>
      <c r="E22" s="72"/>
      <c r="F22" s="28"/>
      <c r="G22" s="28"/>
      <c r="H22" s="28"/>
      <c r="I22" s="28"/>
      <c r="J22" s="28"/>
      <c r="K22" s="54"/>
      <c r="L22" s="2"/>
    </row>
    <row r="23" spans="1:12">
      <c r="A23" s="27">
        <v>33987</v>
      </c>
      <c r="B23" s="55">
        <v>5.0156000000000001</v>
      </c>
      <c r="C23" s="55">
        <f t="shared" si="0"/>
        <v>1.5600000000000058E-2</v>
      </c>
      <c r="D23" s="47">
        <f t="shared" si="1"/>
        <v>0.31200000000000117</v>
      </c>
      <c r="E23" s="73"/>
      <c r="F23" s="29"/>
      <c r="G23" s="29"/>
      <c r="H23" s="29"/>
      <c r="I23" s="29"/>
      <c r="J23" s="29"/>
      <c r="K23" s="57"/>
      <c r="L23" s="2"/>
    </row>
    <row r="24" spans="1:12">
      <c r="A24" s="27">
        <v>33988</v>
      </c>
      <c r="B24" s="55">
        <v>5.0312999999999999</v>
      </c>
      <c r="C24" s="55">
        <f t="shared" si="0"/>
        <v>3.1299999999999883E-2</v>
      </c>
      <c r="D24" s="47">
        <f t="shared" si="1"/>
        <v>0.62599999999999767</v>
      </c>
      <c r="E24" s="73"/>
      <c r="F24" s="29"/>
      <c r="G24" s="29"/>
      <c r="H24" s="29"/>
      <c r="I24" s="29"/>
      <c r="J24" s="29"/>
      <c r="K24" s="57"/>
      <c r="L24" s="2"/>
    </row>
    <row r="25" spans="1:12">
      <c r="A25" s="26">
        <v>33989</v>
      </c>
      <c r="B25" s="52">
        <v>5</v>
      </c>
      <c r="C25" s="52">
        <f t="shared" si="0"/>
        <v>-7.8100000000000058E-2</v>
      </c>
      <c r="D25" s="43">
        <f t="shared" si="1"/>
        <v>-1.5379768023473357</v>
      </c>
      <c r="E25" s="72"/>
      <c r="F25" s="28"/>
      <c r="G25" s="28"/>
      <c r="H25" s="28"/>
      <c r="I25" s="28"/>
      <c r="J25" s="28"/>
      <c r="K25" s="54"/>
      <c r="L25" s="2"/>
    </row>
    <row r="26" spans="1:12">
      <c r="A26" s="26">
        <v>33990</v>
      </c>
      <c r="B26" s="52">
        <v>4.9531000000000001</v>
      </c>
      <c r="C26" s="52">
        <f t="shared" si="0"/>
        <v>-6.25E-2</v>
      </c>
      <c r="D26" s="43">
        <f t="shared" si="1"/>
        <v>-1.2461121301539198</v>
      </c>
      <c r="E26" s="72"/>
      <c r="F26" s="28"/>
      <c r="G26" s="28"/>
      <c r="H26" s="28"/>
      <c r="I26" s="28"/>
      <c r="J26" s="28"/>
      <c r="K26" s="54"/>
      <c r="L26" s="2"/>
    </row>
    <row r="27" spans="1:12">
      <c r="A27" s="27">
        <v>33991</v>
      </c>
      <c r="B27" s="55">
        <v>4.9531000000000001</v>
      </c>
      <c r="C27" s="55">
        <f t="shared" si="0"/>
        <v>-7.8199999999999825E-2</v>
      </c>
      <c r="D27" s="47">
        <f t="shared" si="1"/>
        <v>-1.5542702681215557</v>
      </c>
      <c r="E27" s="73"/>
      <c r="F27" s="29"/>
      <c r="G27" s="29"/>
      <c r="H27" s="29"/>
      <c r="I27" s="29"/>
      <c r="J27" s="29"/>
      <c r="K27" s="57"/>
      <c r="L27" s="2"/>
    </row>
    <row r="28" spans="1:12">
      <c r="A28" s="27">
        <v>33994</v>
      </c>
      <c r="B28" s="55">
        <v>5.0312999999999999</v>
      </c>
      <c r="C28" s="55">
        <f t="shared" si="0"/>
        <v>3.1299999999999883E-2</v>
      </c>
      <c r="D28" s="47">
        <f t="shared" si="1"/>
        <v>0.62599999999999767</v>
      </c>
      <c r="E28" s="73"/>
      <c r="F28" s="29"/>
      <c r="G28" s="29"/>
      <c r="H28" s="29"/>
      <c r="I28" s="29"/>
      <c r="J28" s="29"/>
      <c r="K28" s="57"/>
      <c r="L28" s="2"/>
    </row>
    <row r="29" spans="1:12">
      <c r="A29" s="26">
        <v>33995</v>
      </c>
      <c r="B29" s="52">
        <v>4.9843999999999999</v>
      </c>
      <c r="C29" s="52">
        <f t="shared" si="0"/>
        <v>3.1299999999999883E-2</v>
      </c>
      <c r="D29" s="43">
        <f t="shared" si="1"/>
        <v>0.63192747976014785</v>
      </c>
      <c r="E29" s="72"/>
      <c r="F29" s="28"/>
      <c r="G29" s="28"/>
      <c r="H29" s="28"/>
      <c r="I29" s="28"/>
      <c r="J29" s="28"/>
      <c r="K29" s="54"/>
      <c r="L29" s="2"/>
    </row>
    <row r="30" spans="1:12">
      <c r="A30" s="26">
        <v>33996</v>
      </c>
      <c r="B30" s="52">
        <v>4.9843999999999999</v>
      </c>
      <c r="C30" s="52">
        <f t="shared" si="0"/>
        <v>3.1299999999999883E-2</v>
      </c>
      <c r="D30" s="43">
        <f t="shared" si="1"/>
        <v>0.63192747976014785</v>
      </c>
      <c r="E30" s="72"/>
      <c r="F30" s="28"/>
      <c r="G30" s="28"/>
      <c r="H30" s="28"/>
      <c r="I30" s="28"/>
      <c r="J30" s="28"/>
      <c r="K30" s="54"/>
      <c r="L30" s="2"/>
    </row>
    <row r="31" spans="1:12">
      <c r="A31" s="27">
        <v>33997</v>
      </c>
      <c r="B31" s="55">
        <v>4.9531000000000001</v>
      </c>
      <c r="C31" s="55">
        <f t="shared" si="0"/>
        <v>-7.8199999999999825E-2</v>
      </c>
      <c r="D31" s="47">
        <f t="shared" si="1"/>
        <v>-1.5542702681215557</v>
      </c>
      <c r="E31" s="73"/>
      <c r="F31" s="29"/>
      <c r="G31" s="29"/>
      <c r="H31" s="29"/>
      <c r="I31" s="29"/>
      <c r="J31" s="29"/>
      <c r="K31" s="57"/>
      <c r="L31" s="2"/>
    </row>
    <row r="32" spans="1:12">
      <c r="A32" s="27">
        <v>33998</v>
      </c>
      <c r="B32" s="55">
        <v>4.9843999999999999</v>
      </c>
      <c r="C32" s="55">
        <f t="shared" si="0"/>
        <v>0</v>
      </c>
      <c r="D32" s="47">
        <f t="shared" si="1"/>
        <v>0</v>
      </c>
      <c r="E32" s="73"/>
      <c r="F32" s="29"/>
      <c r="G32" s="29"/>
      <c r="H32" s="29"/>
      <c r="I32" s="29"/>
      <c r="J32" s="29"/>
      <c r="K32" s="57"/>
      <c r="L32" s="2"/>
    </row>
    <row r="33" spans="1:12">
      <c r="A33" s="26">
        <v>34001</v>
      </c>
      <c r="B33" s="52">
        <v>5</v>
      </c>
      <c r="C33" s="52">
        <f t="shared" si="0"/>
        <v>1.5600000000000058E-2</v>
      </c>
      <c r="D33" s="43">
        <f t="shared" si="1"/>
        <v>0.31297648663831268</v>
      </c>
      <c r="E33" s="72"/>
      <c r="F33" s="28"/>
      <c r="G33" s="28"/>
      <c r="H33" s="28"/>
      <c r="I33" s="28"/>
      <c r="J33" s="28"/>
      <c r="K33" s="54"/>
      <c r="L33" s="2"/>
    </row>
    <row r="34" spans="1:12">
      <c r="A34" s="26">
        <v>34002</v>
      </c>
      <c r="B34" s="52">
        <v>5.0312999999999999</v>
      </c>
      <c r="C34" s="52">
        <f t="shared" si="0"/>
        <v>7.8199999999999825E-2</v>
      </c>
      <c r="D34" s="43">
        <f t="shared" si="1"/>
        <v>1.5788092305828636</v>
      </c>
      <c r="E34" s="72"/>
      <c r="F34" s="28"/>
      <c r="G34" s="28"/>
      <c r="H34" s="28"/>
      <c r="I34" s="28"/>
      <c r="J34" s="28"/>
      <c r="K34" s="54"/>
      <c r="L34" s="2"/>
    </row>
    <row r="35" spans="1:12">
      <c r="A35" s="27">
        <v>34003</v>
      </c>
      <c r="B35" s="55">
        <v>5.0625</v>
      </c>
      <c r="C35" s="55">
        <f t="shared" si="0"/>
        <v>7.8100000000000058E-2</v>
      </c>
      <c r="D35" s="47">
        <f t="shared" si="1"/>
        <v>1.5668886927212917</v>
      </c>
      <c r="E35" s="73"/>
      <c r="F35" s="29"/>
      <c r="G35" s="29"/>
      <c r="H35" s="29"/>
      <c r="I35" s="29"/>
      <c r="J35" s="29"/>
      <c r="K35" s="57"/>
      <c r="L35" s="2"/>
    </row>
    <row r="36" spans="1:12">
      <c r="A36" s="27">
        <v>34004</v>
      </c>
      <c r="B36" s="55">
        <v>5.0468999999999999</v>
      </c>
      <c r="C36" s="55">
        <f t="shared" si="0"/>
        <v>4.6899999999999942E-2</v>
      </c>
      <c r="D36" s="47">
        <f t="shared" si="1"/>
        <v>0.93799999999999895</v>
      </c>
      <c r="E36" s="73"/>
      <c r="F36" s="29"/>
      <c r="G36" s="29"/>
      <c r="H36" s="29"/>
      <c r="I36" s="29"/>
      <c r="J36" s="29"/>
      <c r="K36" s="57"/>
      <c r="L36" s="2"/>
    </row>
    <row r="37" spans="1:12">
      <c r="A37" s="26">
        <v>34005</v>
      </c>
      <c r="B37" s="52">
        <v>4.9687999999999999</v>
      </c>
      <c r="C37" s="52">
        <f t="shared" si="0"/>
        <v>-6.25E-2</v>
      </c>
      <c r="D37" s="43">
        <f t="shared" si="1"/>
        <v>-1.2422236797646731</v>
      </c>
      <c r="E37" s="72"/>
      <c r="F37" s="28"/>
      <c r="G37" s="28"/>
      <c r="H37" s="28"/>
      <c r="I37" s="28"/>
      <c r="J37" s="28"/>
      <c r="K37" s="54"/>
      <c r="L37" s="2"/>
    </row>
    <row r="38" spans="1:12">
      <c r="A38" s="26">
        <v>34008</v>
      </c>
      <c r="B38" s="52">
        <v>4.9531000000000001</v>
      </c>
      <c r="C38" s="52">
        <f t="shared" si="0"/>
        <v>-0.10939999999999994</v>
      </c>
      <c r="D38" s="43">
        <f t="shared" si="1"/>
        <v>-2.1609876543209867</v>
      </c>
      <c r="E38" s="72"/>
      <c r="F38" s="28"/>
      <c r="G38" s="28"/>
      <c r="H38" s="28"/>
      <c r="I38" s="28"/>
      <c r="J38" s="28"/>
      <c r="K38" s="54"/>
      <c r="L38" s="2"/>
    </row>
    <row r="39" spans="1:12">
      <c r="A39" s="27">
        <v>34009</v>
      </c>
      <c r="B39" s="55">
        <v>4.8593999999999999</v>
      </c>
      <c r="C39" s="55">
        <f t="shared" si="0"/>
        <v>-0.1875</v>
      </c>
      <c r="D39" s="47">
        <f t="shared" si="1"/>
        <v>-3.715151875408667</v>
      </c>
      <c r="E39" s="73"/>
      <c r="F39" s="29"/>
      <c r="G39" s="29"/>
      <c r="H39" s="29"/>
      <c r="I39" s="29"/>
      <c r="J39" s="29"/>
      <c r="K39" s="57"/>
      <c r="L39" s="2"/>
    </row>
    <row r="40" spans="1:12">
      <c r="A40" s="27">
        <v>34010</v>
      </c>
      <c r="B40" s="55">
        <v>4.9062999999999999</v>
      </c>
      <c r="C40" s="55">
        <f t="shared" si="0"/>
        <v>-6.25E-2</v>
      </c>
      <c r="D40" s="47">
        <f t="shared" si="1"/>
        <v>-1.257848977620351</v>
      </c>
      <c r="E40" s="73"/>
      <c r="F40" s="29"/>
      <c r="G40" s="29"/>
      <c r="H40" s="29"/>
      <c r="I40" s="29"/>
      <c r="J40" s="29"/>
      <c r="K40" s="57"/>
      <c r="L40" s="2"/>
    </row>
    <row r="41" spans="1:12">
      <c r="A41" s="26">
        <v>34011</v>
      </c>
      <c r="B41" s="52">
        <v>4.9218999999999999</v>
      </c>
      <c r="C41" s="52">
        <f t="shared" si="0"/>
        <v>-3.1200000000000117E-2</v>
      </c>
      <c r="D41" s="43">
        <f t="shared" si="1"/>
        <v>-0.62990854212513614</v>
      </c>
      <c r="E41" s="72"/>
      <c r="F41" s="28"/>
      <c r="G41" s="28"/>
      <c r="H41" s="28"/>
      <c r="I41" s="28"/>
      <c r="J41" s="28"/>
      <c r="K41" s="54"/>
      <c r="L41" s="2"/>
    </row>
    <row r="42" spans="1:12">
      <c r="A42" s="26">
        <v>34012</v>
      </c>
      <c r="B42" s="52">
        <v>4.8437999999999999</v>
      </c>
      <c r="C42" s="52">
        <f t="shared" si="0"/>
        <v>-1.5600000000000058E-2</v>
      </c>
      <c r="D42" s="43">
        <f t="shared" si="1"/>
        <v>-0.32102728731942337</v>
      </c>
      <c r="E42" s="72"/>
      <c r="F42" s="28"/>
      <c r="G42" s="28"/>
      <c r="H42" s="28"/>
      <c r="I42" s="28"/>
      <c r="J42" s="28"/>
      <c r="K42" s="54"/>
      <c r="L42" s="2"/>
    </row>
    <row r="43" spans="1:12">
      <c r="A43" s="27">
        <v>34016</v>
      </c>
      <c r="B43" s="55">
        <v>4.75</v>
      </c>
      <c r="C43" s="55">
        <f t="shared" si="0"/>
        <v>-0.15629999999999988</v>
      </c>
      <c r="D43" s="47">
        <f t="shared" si="1"/>
        <v>-3.1857000183437596</v>
      </c>
      <c r="E43" s="73"/>
      <c r="F43" s="29"/>
      <c r="G43" s="29"/>
      <c r="H43" s="29"/>
      <c r="I43" s="29"/>
      <c r="J43" s="29"/>
      <c r="K43" s="57"/>
      <c r="L43" s="2"/>
    </row>
    <row r="44" spans="1:12">
      <c r="A44" s="27">
        <v>34017</v>
      </c>
      <c r="B44" s="55">
        <v>4.7968999999999999</v>
      </c>
      <c r="C44" s="55">
        <f t="shared" si="0"/>
        <v>-0.125</v>
      </c>
      <c r="D44" s="47">
        <f t="shared" si="1"/>
        <v>-2.5396696397732583</v>
      </c>
      <c r="E44" s="73"/>
      <c r="F44" s="29"/>
      <c r="G44" s="29"/>
      <c r="H44" s="29"/>
      <c r="I44" s="29"/>
      <c r="J44" s="29"/>
      <c r="K44" s="57"/>
      <c r="L44" s="2"/>
    </row>
    <row r="45" spans="1:12">
      <c r="A45" s="26">
        <v>34018</v>
      </c>
      <c r="B45" s="52">
        <v>4.6875</v>
      </c>
      <c r="C45" s="52">
        <f t="shared" si="0"/>
        <v>-0.15629999999999988</v>
      </c>
      <c r="D45" s="43">
        <f t="shared" si="1"/>
        <v>-3.2268054007184417</v>
      </c>
      <c r="E45" s="72"/>
      <c r="F45" s="28"/>
      <c r="G45" s="28"/>
      <c r="H45" s="28"/>
      <c r="I45" s="28"/>
      <c r="J45" s="28"/>
      <c r="K45" s="54"/>
      <c r="L45" s="2"/>
    </row>
    <row r="46" spans="1:12">
      <c r="A46" s="26">
        <v>34019</v>
      </c>
      <c r="B46" s="52">
        <v>4.5625</v>
      </c>
      <c r="C46" s="52">
        <f t="shared" si="0"/>
        <v>-0.1875</v>
      </c>
      <c r="D46" s="43">
        <f t="shared" si="1"/>
        <v>-3.9473684210526314</v>
      </c>
      <c r="E46" s="72"/>
      <c r="F46" s="28"/>
      <c r="G46" s="28"/>
      <c r="H46" s="28"/>
      <c r="I46" s="28"/>
      <c r="J46" s="28"/>
      <c r="K46" s="54"/>
      <c r="L46" s="2"/>
    </row>
    <row r="47" spans="1:12">
      <c r="A47" s="27">
        <v>34022</v>
      </c>
      <c r="B47" s="55">
        <v>4.5156000000000001</v>
      </c>
      <c r="C47" s="55">
        <f t="shared" si="0"/>
        <v>-0.28129999999999988</v>
      </c>
      <c r="D47" s="47">
        <f t="shared" si="1"/>
        <v>-5.8642039650607654</v>
      </c>
      <c r="E47" s="73"/>
      <c r="F47" s="29"/>
      <c r="G47" s="29"/>
      <c r="H47" s="29"/>
      <c r="I47" s="29"/>
      <c r="J47" s="29"/>
      <c r="K47" s="57"/>
      <c r="L47" s="2"/>
    </row>
    <row r="48" spans="1:12">
      <c r="A48" s="27">
        <v>34023</v>
      </c>
      <c r="B48" s="55">
        <v>4.6562999999999999</v>
      </c>
      <c r="C48" s="55">
        <f t="shared" si="0"/>
        <v>-3.1200000000000117E-2</v>
      </c>
      <c r="D48" s="47">
        <f t="shared" si="1"/>
        <v>-0.66560000000000252</v>
      </c>
      <c r="E48" s="73"/>
      <c r="F48" s="29"/>
      <c r="G48" s="29"/>
      <c r="H48" s="29"/>
      <c r="I48" s="29"/>
      <c r="J48" s="29"/>
      <c r="K48" s="57"/>
      <c r="L48" s="2"/>
    </row>
    <row r="49" spans="1:12">
      <c r="A49" s="26">
        <v>34024</v>
      </c>
      <c r="B49" s="52">
        <v>4.875</v>
      </c>
      <c r="C49" s="52">
        <f t="shared" si="0"/>
        <v>0.3125</v>
      </c>
      <c r="D49" s="43">
        <f t="shared" si="1"/>
        <v>6.8493150684931505</v>
      </c>
      <c r="E49" s="72"/>
      <c r="F49" s="28"/>
      <c r="G49" s="28"/>
      <c r="H49" s="28"/>
      <c r="I49" s="28"/>
      <c r="J49" s="28"/>
      <c r="K49" s="54"/>
      <c r="L49" s="2"/>
    </row>
    <row r="50" spans="1:12">
      <c r="A50" s="26">
        <v>34025</v>
      </c>
      <c r="B50" s="52">
        <v>4.875</v>
      </c>
      <c r="C50" s="52">
        <f t="shared" si="0"/>
        <v>0.35939999999999994</v>
      </c>
      <c r="D50" s="43">
        <f t="shared" si="1"/>
        <v>7.9590752059526952</v>
      </c>
      <c r="E50" s="72"/>
      <c r="F50" s="28"/>
      <c r="G50" s="28"/>
      <c r="H50" s="28"/>
      <c r="I50" s="28"/>
      <c r="J50" s="28"/>
      <c r="K50" s="54"/>
      <c r="L50" s="2"/>
    </row>
    <row r="51" spans="1:12">
      <c r="A51" s="27">
        <v>34026</v>
      </c>
      <c r="B51" s="55">
        <v>4.875</v>
      </c>
      <c r="C51" s="55">
        <f t="shared" si="0"/>
        <v>0.21870000000000012</v>
      </c>
      <c r="D51" s="47">
        <f t="shared" si="1"/>
        <v>4.6968623155724529</v>
      </c>
      <c r="E51" s="73"/>
      <c r="F51" s="29"/>
      <c r="G51" s="29"/>
      <c r="H51" s="29"/>
      <c r="I51" s="29"/>
      <c r="J51" s="29"/>
      <c r="K51" s="57"/>
      <c r="L51" s="2"/>
    </row>
    <row r="52" spans="1:12">
      <c r="A52" s="27">
        <v>34029</v>
      </c>
      <c r="B52" s="55">
        <v>4.8125</v>
      </c>
      <c r="C52" s="55">
        <f t="shared" si="0"/>
        <v>-6.25E-2</v>
      </c>
      <c r="D52" s="47">
        <f t="shared" si="1"/>
        <v>-1.2820512820512819</v>
      </c>
      <c r="E52" s="73"/>
      <c r="F52" s="29"/>
      <c r="G52" s="29"/>
      <c r="H52" s="29"/>
      <c r="I52" s="29"/>
      <c r="J52" s="29"/>
      <c r="K52" s="57"/>
      <c r="L52" s="2"/>
    </row>
    <row r="53" spans="1:12">
      <c r="A53" s="26">
        <v>34030</v>
      </c>
      <c r="B53" s="52">
        <v>4.8281000000000001</v>
      </c>
      <c r="C53" s="52">
        <f t="shared" si="0"/>
        <v>-4.6899999999999942E-2</v>
      </c>
      <c r="D53" s="43">
        <f t="shared" si="1"/>
        <v>-0.96205128205128077</v>
      </c>
      <c r="E53" s="72"/>
      <c r="F53" s="28"/>
      <c r="G53" s="28"/>
      <c r="H53" s="28"/>
      <c r="I53" s="28"/>
      <c r="J53" s="28"/>
      <c r="K53" s="54"/>
      <c r="L53" s="2"/>
    </row>
    <row r="54" spans="1:12">
      <c r="A54" s="26">
        <v>34031</v>
      </c>
      <c r="B54" s="52">
        <v>4.8437999999999999</v>
      </c>
      <c r="C54" s="52">
        <f t="shared" si="0"/>
        <v>-3.1200000000000117E-2</v>
      </c>
      <c r="D54" s="43">
        <f t="shared" si="1"/>
        <v>-0.64000000000000234</v>
      </c>
      <c r="E54" s="72"/>
      <c r="F54" s="28"/>
      <c r="G54" s="28"/>
      <c r="H54" s="28"/>
      <c r="I54" s="28"/>
      <c r="J54" s="28"/>
      <c r="K54" s="54"/>
      <c r="L54" s="2"/>
    </row>
    <row r="55" spans="1:12">
      <c r="A55" s="27">
        <v>34032</v>
      </c>
      <c r="B55" s="55">
        <v>4.7968999999999999</v>
      </c>
      <c r="C55" s="55">
        <f t="shared" si="0"/>
        <v>-1.5600000000000058E-2</v>
      </c>
      <c r="D55" s="47">
        <f t="shared" si="1"/>
        <v>-0.32415584415584536</v>
      </c>
      <c r="E55" s="73"/>
      <c r="F55" s="29"/>
      <c r="G55" s="29"/>
      <c r="H55" s="29"/>
      <c r="I55" s="29"/>
      <c r="J55" s="29"/>
      <c r="K55" s="57"/>
      <c r="L55" s="2"/>
    </row>
    <row r="56" spans="1:12">
      <c r="A56" s="27">
        <v>34033</v>
      </c>
      <c r="B56" s="55">
        <v>4.8125</v>
      </c>
      <c r="C56" s="55">
        <f t="shared" si="0"/>
        <v>-1.5600000000000058E-2</v>
      </c>
      <c r="D56" s="47">
        <f t="shared" si="1"/>
        <v>-0.32310846917006808</v>
      </c>
      <c r="E56" s="73"/>
      <c r="F56" s="29"/>
      <c r="G56" s="29"/>
      <c r="H56" s="29"/>
      <c r="I56" s="29"/>
      <c r="J56" s="29"/>
      <c r="K56" s="57"/>
      <c r="L56" s="2"/>
    </row>
    <row r="57" spans="1:12">
      <c r="A57" s="26">
        <v>34036</v>
      </c>
      <c r="B57" s="52">
        <v>4.9687999999999999</v>
      </c>
      <c r="C57" s="52">
        <f t="shared" si="0"/>
        <v>0.125</v>
      </c>
      <c r="D57" s="43">
        <f t="shared" si="1"/>
        <v>2.5806185226475082</v>
      </c>
      <c r="E57" s="72"/>
      <c r="F57" s="28"/>
      <c r="G57" s="28"/>
      <c r="H57" s="28"/>
      <c r="I57" s="28"/>
      <c r="J57" s="28"/>
      <c r="K57" s="54"/>
      <c r="L57" s="2"/>
    </row>
    <row r="58" spans="1:12">
      <c r="A58" s="26">
        <v>34037</v>
      </c>
      <c r="B58" s="52">
        <v>4.875</v>
      </c>
      <c r="C58" s="52">
        <f t="shared" si="0"/>
        <v>7.8100000000000058E-2</v>
      </c>
      <c r="D58" s="43">
        <f t="shared" si="1"/>
        <v>1.6281348370822835</v>
      </c>
      <c r="E58" s="72"/>
      <c r="F58" s="28"/>
      <c r="G58" s="28"/>
      <c r="H58" s="28"/>
      <c r="I58" s="28"/>
      <c r="J58" s="28"/>
      <c r="K58" s="54"/>
      <c r="L58" s="2"/>
    </row>
    <row r="59" spans="1:12">
      <c r="A59" s="27">
        <v>34038</v>
      </c>
      <c r="B59" s="55">
        <v>4.875</v>
      </c>
      <c r="C59" s="55">
        <f t="shared" si="0"/>
        <v>6.25E-2</v>
      </c>
      <c r="D59" s="47">
        <f t="shared" si="1"/>
        <v>1.2987012987012987</v>
      </c>
      <c r="E59" s="73"/>
      <c r="F59" s="29"/>
      <c r="G59" s="29"/>
      <c r="H59" s="29"/>
      <c r="I59" s="29"/>
      <c r="J59" s="29"/>
      <c r="K59" s="57"/>
      <c r="L59" s="2"/>
    </row>
    <row r="60" spans="1:12">
      <c r="A60" s="27">
        <v>34039</v>
      </c>
      <c r="B60" s="55">
        <v>4.8281000000000001</v>
      </c>
      <c r="C60" s="55">
        <f t="shared" si="0"/>
        <v>-0.14069999999999983</v>
      </c>
      <c r="D60" s="47">
        <f t="shared" si="1"/>
        <v>-2.8316696184189309</v>
      </c>
      <c r="E60" s="73"/>
      <c r="F60" s="29"/>
      <c r="G60" s="29"/>
      <c r="H60" s="29"/>
      <c r="I60" s="29"/>
      <c r="J60" s="29"/>
      <c r="K60" s="57"/>
      <c r="L60" s="2"/>
    </row>
    <row r="61" spans="1:12">
      <c r="A61" s="26">
        <v>34040</v>
      </c>
      <c r="B61" s="52">
        <v>4.7968999999999999</v>
      </c>
      <c r="C61" s="52">
        <f t="shared" si="0"/>
        <v>-7.8100000000000058E-2</v>
      </c>
      <c r="D61" s="43">
        <f t="shared" si="1"/>
        <v>-1.6020512820512831</v>
      </c>
      <c r="E61" s="72"/>
      <c r="F61" s="28"/>
      <c r="G61" s="28"/>
      <c r="H61" s="28"/>
      <c r="I61" s="28"/>
      <c r="J61" s="28"/>
      <c r="K61" s="54"/>
      <c r="L61" s="2"/>
    </row>
    <row r="62" spans="1:12">
      <c r="A62" s="26">
        <v>34043</v>
      </c>
      <c r="B62" s="52">
        <v>4.7656000000000001</v>
      </c>
      <c r="C62" s="52">
        <f t="shared" si="0"/>
        <v>-0.10939999999999994</v>
      </c>
      <c r="D62" s="43">
        <f t="shared" si="1"/>
        <v>-2.2441025641025627</v>
      </c>
      <c r="E62" s="72"/>
      <c r="F62" s="28"/>
      <c r="G62" s="28"/>
      <c r="H62" s="28"/>
      <c r="I62" s="28"/>
      <c r="J62" s="28"/>
      <c r="K62" s="54"/>
      <c r="L62" s="2"/>
    </row>
    <row r="63" spans="1:12">
      <c r="A63" s="27">
        <v>34044</v>
      </c>
      <c r="B63" s="55">
        <v>4.7343999999999999</v>
      </c>
      <c r="C63" s="55">
        <f t="shared" si="0"/>
        <v>-9.3700000000000117E-2</v>
      </c>
      <c r="D63" s="47">
        <f t="shared" si="1"/>
        <v>-1.9407220231561093</v>
      </c>
      <c r="E63" s="73"/>
      <c r="F63" s="29"/>
      <c r="G63" s="29"/>
      <c r="H63" s="29"/>
      <c r="I63" s="29"/>
      <c r="J63" s="29"/>
      <c r="K63" s="57"/>
      <c r="L63" s="2"/>
    </row>
    <row r="64" spans="1:12">
      <c r="A64" s="27">
        <v>34045</v>
      </c>
      <c r="B64" s="55">
        <v>4.7656000000000001</v>
      </c>
      <c r="C64" s="55">
        <f t="shared" si="0"/>
        <v>-3.1299999999999883E-2</v>
      </c>
      <c r="D64" s="47">
        <f t="shared" si="1"/>
        <v>-0.65250474264628999</v>
      </c>
      <c r="E64" s="73"/>
      <c r="F64" s="29"/>
      <c r="G64" s="29"/>
      <c r="H64" s="29"/>
      <c r="I64" s="29"/>
      <c r="J64" s="29"/>
      <c r="K64" s="57"/>
      <c r="L64" s="2"/>
    </row>
    <row r="65" spans="1:12">
      <c r="A65" s="26">
        <v>34046</v>
      </c>
      <c r="B65" s="52">
        <v>4.75</v>
      </c>
      <c r="C65" s="52">
        <f t="shared" si="0"/>
        <v>-1.5600000000000058E-2</v>
      </c>
      <c r="D65" s="43">
        <f t="shared" si="1"/>
        <v>-0.3273459795198938</v>
      </c>
      <c r="E65" s="72"/>
      <c r="F65" s="28"/>
      <c r="G65" s="28"/>
      <c r="H65" s="28"/>
      <c r="I65" s="28"/>
      <c r="J65" s="28"/>
      <c r="K65" s="54"/>
      <c r="L65" s="2"/>
    </row>
    <row r="66" spans="1:12">
      <c r="A66" s="26">
        <v>34047</v>
      </c>
      <c r="B66" s="52">
        <v>4.6718999999999999</v>
      </c>
      <c r="C66" s="52">
        <f t="shared" si="0"/>
        <v>-6.25E-2</v>
      </c>
      <c r="D66" s="43">
        <f t="shared" si="1"/>
        <v>-1.3201250422440014</v>
      </c>
      <c r="E66" s="72"/>
      <c r="F66" s="28"/>
      <c r="G66" s="28"/>
      <c r="H66" s="28"/>
      <c r="I66" s="28"/>
      <c r="J66" s="28"/>
      <c r="K66" s="54"/>
      <c r="L66" s="2"/>
    </row>
    <row r="67" spans="1:12">
      <c r="E67" s="2"/>
      <c r="L67" s="2"/>
    </row>
    <row r="68" spans="1:12" ht="15">
      <c r="A68" s="241" t="s">
        <v>1178</v>
      </c>
      <c r="E68" s="2"/>
      <c r="L68" s="2"/>
    </row>
    <row r="69" spans="1:12" ht="15">
      <c r="A69" s="241" t="s">
        <v>1179</v>
      </c>
      <c r="E69" s="2"/>
      <c r="L69" s="2"/>
    </row>
    <row r="70" spans="1:12">
      <c r="E70" s="2"/>
      <c r="L70" s="2"/>
    </row>
    <row r="71" spans="1:12">
      <c r="E71" s="2"/>
      <c r="L71" s="2"/>
    </row>
    <row r="72" spans="1:12">
      <c r="E72" s="2"/>
      <c r="L72" s="2"/>
    </row>
    <row r="73" spans="1:12">
      <c r="E73" s="2"/>
      <c r="L73" s="2"/>
    </row>
    <row r="74" spans="1:12">
      <c r="E74" s="2"/>
      <c r="L74" s="2"/>
    </row>
    <row r="75" spans="1:12">
      <c r="E75" s="2"/>
      <c r="L75" s="2"/>
    </row>
    <row r="76" spans="1:12">
      <c r="E76" s="2"/>
      <c r="L76" s="2"/>
    </row>
    <row r="77" spans="1:12">
      <c r="E77" s="2"/>
      <c r="L77" s="2"/>
    </row>
    <row r="78" spans="1:12">
      <c r="E78" s="2"/>
      <c r="L78" s="2"/>
    </row>
    <row r="79" spans="1:12">
      <c r="E79" s="2"/>
      <c r="L79" s="2"/>
    </row>
    <row r="80" spans="1:12">
      <c r="E80" s="2"/>
      <c r="L80" s="2"/>
    </row>
    <row r="81" spans="12:12">
      <c r="L81" s="2"/>
    </row>
    <row r="82" spans="12:12">
      <c r="L82" s="2"/>
    </row>
    <row r="83" spans="12:12">
      <c r="L83" s="2"/>
    </row>
    <row r="84" spans="12:12">
      <c r="L84" s="2"/>
    </row>
    <row r="85" spans="12:12">
      <c r="L85" s="2"/>
    </row>
    <row r="86" spans="12:12">
      <c r="L86" s="2"/>
    </row>
    <row r="87" spans="12:12">
      <c r="L87" s="2"/>
    </row>
    <row r="88" spans="12:12">
      <c r="L88" s="2"/>
    </row>
    <row r="89" spans="12:12">
      <c r="L89" s="2"/>
    </row>
    <row r="90" spans="12:12">
      <c r="L90" s="2"/>
    </row>
    <row r="91" spans="12:12">
      <c r="L91" s="2"/>
    </row>
    <row r="92" spans="12:12">
      <c r="L92" s="2"/>
    </row>
    <row r="93" spans="12:12">
      <c r="L93" s="2"/>
    </row>
    <row r="94" spans="12:12">
      <c r="L94" s="2"/>
    </row>
    <row r="95" spans="12:12">
      <c r="L95" s="2"/>
    </row>
    <row r="96" spans="12:12">
      <c r="L96" s="2"/>
    </row>
    <row r="97" spans="12:12">
      <c r="L97" s="2"/>
    </row>
    <row r="98" spans="12:12">
      <c r="L98" s="2"/>
    </row>
    <row r="99" spans="12:12">
      <c r="L99" s="2"/>
    </row>
    <row r="100" spans="12:12">
      <c r="L100" s="2"/>
    </row>
    <row r="101" spans="12:12">
      <c r="L101" s="2"/>
    </row>
    <row r="102" spans="12:12">
      <c r="L102" s="2"/>
    </row>
    <row r="103" spans="12:12">
      <c r="L103" s="2"/>
    </row>
    <row r="104" spans="12:12">
      <c r="L104" s="2"/>
    </row>
    <row r="105" spans="12:12">
      <c r="L105" s="2"/>
    </row>
    <row r="106" spans="12:12">
      <c r="L106" s="2"/>
    </row>
    <row r="107" spans="12:12">
      <c r="L107" s="2"/>
    </row>
    <row r="108" spans="12:12">
      <c r="L108" s="2"/>
    </row>
    <row r="109" spans="12:12">
      <c r="L109" s="2"/>
    </row>
    <row r="110" spans="12:12">
      <c r="L110" s="2"/>
    </row>
    <row r="111" spans="12:12">
      <c r="L111" s="2"/>
    </row>
    <row r="112" spans="12:12">
      <c r="L112" s="2"/>
    </row>
    <row r="113" spans="12:12">
      <c r="L113" s="2"/>
    </row>
    <row r="114" spans="12:12">
      <c r="L114" s="2"/>
    </row>
    <row r="115" spans="12:12">
      <c r="L115" s="2"/>
    </row>
    <row r="116" spans="12:12">
      <c r="L116" s="2"/>
    </row>
    <row r="117" spans="12:12">
      <c r="L117" s="2"/>
    </row>
    <row r="118" spans="12:12">
      <c r="L118" s="2"/>
    </row>
    <row r="119" spans="12:12">
      <c r="L119" s="2"/>
    </row>
    <row r="120" spans="12:12">
      <c r="L120" s="2"/>
    </row>
    <row r="121" spans="12:12">
      <c r="L121" s="2"/>
    </row>
    <row r="122" spans="12:12">
      <c r="L122" s="2"/>
    </row>
    <row r="123" spans="12:12">
      <c r="L123" s="2"/>
    </row>
    <row r="124" spans="12:12">
      <c r="L124" s="2"/>
    </row>
    <row r="125" spans="12:12">
      <c r="L125" s="2"/>
    </row>
    <row r="126" spans="12:12">
      <c r="L126" s="2"/>
    </row>
    <row r="127" spans="12:12">
      <c r="L127" s="2"/>
    </row>
    <row r="128" spans="12:12">
      <c r="L128" s="2"/>
    </row>
    <row r="129" spans="12:12">
      <c r="L129" s="2"/>
    </row>
    <row r="130" spans="12:12">
      <c r="L130" s="2"/>
    </row>
    <row r="131" spans="12:12">
      <c r="L131" s="2"/>
    </row>
    <row r="132" spans="12:12">
      <c r="L132" s="2"/>
    </row>
    <row r="133" spans="12:12">
      <c r="L133" s="2"/>
    </row>
    <row r="134" spans="12:12">
      <c r="L134" s="2"/>
    </row>
    <row r="135" spans="12:12">
      <c r="L135" s="2"/>
    </row>
    <row r="136" spans="12:12">
      <c r="L136" s="2"/>
    </row>
    <row r="137" spans="12:12">
      <c r="L137" s="2"/>
    </row>
    <row r="138" spans="12:12">
      <c r="L138" s="2"/>
    </row>
    <row r="139" spans="12:12">
      <c r="L139" s="2"/>
    </row>
    <row r="140" spans="12:12">
      <c r="L140" s="2"/>
    </row>
    <row r="141" spans="12:12">
      <c r="L141" s="2"/>
    </row>
    <row r="142" spans="12:12">
      <c r="L142" s="2"/>
    </row>
    <row r="143" spans="12:12">
      <c r="L143" s="2"/>
    </row>
    <row r="144" spans="12:12">
      <c r="L144" s="2"/>
    </row>
    <row r="145" spans="12:12">
      <c r="L145" s="2"/>
    </row>
    <row r="146" spans="12:12">
      <c r="L146" s="2"/>
    </row>
    <row r="147" spans="12:12">
      <c r="L147" s="2"/>
    </row>
    <row r="148" spans="12:12">
      <c r="L148" s="2"/>
    </row>
    <row r="149" spans="12:12">
      <c r="L149" s="2"/>
    </row>
    <row r="150" spans="12:12">
      <c r="L150" s="2"/>
    </row>
    <row r="151" spans="12:12">
      <c r="L151" s="2"/>
    </row>
    <row r="152" spans="12:12">
      <c r="L152" s="2"/>
    </row>
    <row r="153" spans="12:12">
      <c r="L153" s="2"/>
    </row>
    <row r="154" spans="12:12">
      <c r="L154" s="2"/>
    </row>
    <row r="155" spans="12:12">
      <c r="L155" s="2"/>
    </row>
    <row r="156" spans="12:12">
      <c r="L156" s="2"/>
    </row>
    <row r="157" spans="12:12">
      <c r="L157" s="2"/>
    </row>
    <row r="158" spans="12:12">
      <c r="L158" s="2"/>
    </row>
    <row r="159" spans="12:12">
      <c r="L159" s="2"/>
    </row>
    <row r="160" spans="12:12">
      <c r="L160" s="2"/>
    </row>
    <row r="161" spans="12:12">
      <c r="L161" s="2"/>
    </row>
    <row r="162" spans="12:12">
      <c r="L162" s="2"/>
    </row>
    <row r="163" spans="12:12">
      <c r="L163" s="2"/>
    </row>
    <row r="164" spans="12:12">
      <c r="L164" s="2"/>
    </row>
    <row r="165" spans="12:12">
      <c r="L165" s="2"/>
    </row>
    <row r="166" spans="12:12">
      <c r="L166" s="2"/>
    </row>
    <row r="167" spans="12:12">
      <c r="L167" s="2"/>
    </row>
    <row r="168" spans="12:12">
      <c r="L168" s="2"/>
    </row>
    <row r="169" spans="12:12">
      <c r="L169" s="2"/>
    </row>
    <row r="170" spans="12:12">
      <c r="L170" s="2"/>
    </row>
    <row r="171" spans="12:12">
      <c r="L171" s="2"/>
    </row>
    <row r="172" spans="12:12">
      <c r="L172" s="2"/>
    </row>
    <row r="173" spans="12:12">
      <c r="L173" s="2"/>
    </row>
    <row r="174" spans="12:12">
      <c r="L174" s="2"/>
    </row>
    <row r="175" spans="12:12">
      <c r="L175" s="2"/>
    </row>
    <row r="176" spans="12:12">
      <c r="L176" s="2"/>
    </row>
    <row r="177" spans="12:12">
      <c r="L177" s="2"/>
    </row>
    <row r="178" spans="12:12">
      <c r="L178" s="2"/>
    </row>
    <row r="179" spans="12:12">
      <c r="L179" s="2"/>
    </row>
    <row r="180" spans="12:12">
      <c r="L180" s="2"/>
    </row>
    <row r="181" spans="12:12">
      <c r="L181" s="2"/>
    </row>
    <row r="182" spans="12:12">
      <c r="L182" s="2"/>
    </row>
    <row r="183" spans="12:12">
      <c r="L183" s="2"/>
    </row>
    <row r="184" spans="12:12">
      <c r="L184" s="2"/>
    </row>
    <row r="185" spans="12:12">
      <c r="L185" s="2"/>
    </row>
    <row r="186" spans="12:12">
      <c r="L186" s="2"/>
    </row>
    <row r="187" spans="12:12">
      <c r="L187" s="2"/>
    </row>
    <row r="188" spans="12:12">
      <c r="L188" s="2"/>
    </row>
  </sheetData>
  <mergeCells count="1">
    <mergeCell ref="B6:K6"/>
  </mergeCells>
  <phoneticPr fontId="0" type="noConversion"/>
  <pageMargins left="0.75" right="0.75" top="1" bottom="1" header="0.5" footer="0.5"/>
  <pageSetup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45060" r:id="rId3" name="Button 4">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45061"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45062"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45063"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enableFormatConditionsCalculation="0"/>
  <dimension ref="A1:N76"/>
  <sheetViews>
    <sheetView workbookViewId="0"/>
  </sheetViews>
  <sheetFormatPr baseColWidth="10" defaultColWidth="8.83203125" defaultRowHeight="12" x14ac:dyDescent="0"/>
  <cols>
    <col min="1" max="1" width="11.83203125" customWidth="1"/>
    <col min="3" max="3" width="10.33203125" bestFit="1" customWidth="1"/>
    <col min="4" max="4" width="12" customWidth="1"/>
    <col min="5" max="5" width="10.33203125" customWidth="1"/>
    <col min="6" max="6" width="11.33203125" customWidth="1"/>
    <col min="7" max="7" width="12"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827</v>
      </c>
      <c r="C3" s="21"/>
      <c r="D3" s="21"/>
      <c r="E3" s="21"/>
      <c r="F3" s="21"/>
      <c r="G3" s="21"/>
      <c r="H3" s="21"/>
      <c r="I3" s="21"/>
      <c r="J3" s="21"/>
      <c r="K3" s="21"/>
    </row>
    <row r="4" spans="1:14">
      <c r="A4" s="19" t="s">
        <v>774</v>
      </c>
      <c r="B4" s="20" t="s">
        <v>828</v>
      </c>
      <c r="C4" s="21"/>
      <c r="D4" s="21"/>
      <c r="E4" s="21"/>
      <c r="F4" s="21"/>
      <c r="G4" s="21"/>
      <c r="H4" s="21"/>
      <c r="I4" s="21"/>
      <c r="J4" s="21"/>
      <c r="K4" s="21"/>
    </row>
    <row r="5" spans="1:14" ht="30.75" customHeight="1">
      <c r="A5" s="118" t="s">
        <v>779</v>
      </c>
      <c r="B5" s="446" t="s">
        <v>1182</v>
      </c>
      <c r="C5" s="446"/>
      <c r="D5" s="446"/>
      <c r="E5" s="446"/>
      <c r="F5" s="446"/>
      <c r="G5" s="446"/>
      <c r="H5" s="446"/>
      <c r="I5" s="446"/>
      <c r="J5" s="446"/>
      <c r="K5" s="446"/>
    </row>
    <row r="6" spans="1:14" ht="51" customHeight="1">
      <c r="A6" s="19"/>
      <c r="B6" s="127"/>
      <c r="C6" s="21"/>
      <c r="D6" s="21"/>
      <c r="E6" s="21"/>
      <c r="F6" s="21"/>
      <c r="G6" s="21"/>
      <c r="H6" s="21"/>
      <c r="I6" s="21"/>
      <c r="J6" s="21"/>
      <c r="K6" s="21"/>
    </row>
    <row r="7" spans="1:14" ht="48" customHeight="1">
      <c r="A7" s="19"/>
      <c r="B7" s="446" t="s">
        <v>1183</v>
      </c>
      <c r="C7" s="446"/>
      <c r="D7" s="446"/>
      <c r="E7" s="446"/>
      <c r="F7" s="446"/>
      <c r="G7" s="446"/>
      <c r="H7" s="446"/>
      <c r="I7" s="446"/>
      <c r="J7" s="446"/>
      <c r="K7" s="446"/>
    </row>
    <row r="8" spans="1:14" ht="54" customHeight="1">
      <c r="A8" s="22" t="s">
        <v>1090</v>
      </c>
      <c r="B8" s="22" t="s">
        <v>1098</v>
      </c>
      <c r="C8" s="22" t="s">
        <v>1099</v>
      </c>
      <c r="D8" s="31" t="s">
        <v>858</v>
      </c>
      <c r="E8" s="31" t="s">
        <v>1185</v>
      </c>
      <c r="F8" s="31" t="s">
        <v>1186</v>
      </c>
      <c r="G8" s="31" t="s">
        <v>1187</v>
      </c>
      <c r="H8" s="22"/>
      <c r="I8" s="22"/>
      <c r="J8" s="22"/>
      <c r="K8" s="22"/>
    </row>
    <row r="9" spans="1:14">
      <c r="A9" s="26">
        <v>35886</v>
      </c>
      <c r="B9" s="52">
        <v>3.4375</v>
      </c>
      <c r="C9" s="77">
        <v>3785</v>
      </c>
      <c r="D9" s="28"/>
      <c r="E9" s="28"/>
      <c r="F9" s="276"/>
      <c r="G9" s="276"/>
      <c r="H9" s="72"/>
      <c r="I9" s="28"/>
      <c r="J9" s="28"/>
      <c r="K9" s="28"/>
      <c r="L9" s="2"/>
    </row>
    <row r="10" spans="1:14">
      <c r="A10" s="26">
        <v>35887</v>
      </c>
      <c r="B10" s="52">
        <v>3.5</v>
      </c>
      <c r="C10" s="77">
        <v>4980</v>
      </c>
      <c r="D10" s="52">
        <f>B10-B9</f>
        <v>6.25E-2</v>
      </c>
      <c r="E10" s="52">
        <f>D10/B9</f>
        <v>1.8181818181818181E-2</v>
      </c>
      <c r="F10" s="276">
        <f>E10*C10</f>
        <v>90.545454545454547</v>
      </c>
      <c r="G10" s="276">
        <f>F10+G9</f>
        <v>90.545454545454547</v>
      </c>
      <c r="H10" s="72"/>
      <c r="I10" s="28"/>
      <c r="J10" s="28"/>
      <c r="K10" s="28"/>
      <c r="L10" s="2"/>
    </row>
    <row r="11" spans="1:14">
      <c r="A11" s="27">
        <v>35888</v>
      </c>
      <c r="B11" s="55">
        <v>3.4375</v>
      </c>
      <c r="C11" s="79">
        <v>4696</v>
      </c>
      <c r="D11" s="55">
        <f t="shared" ref="D11:D62" si="0">B11-B10</f>
        <v>-6.25E-2</v>
      </c>
      <c r="E11" s="55">
        <f t="shared" ref="E11:E62" si="1">D11/B10</f>
        <v>-1.7857142857142856E-2</v>
      </c>
      <c r="F11" s="289">
        <f t="shared" ref="F11:F62" si="2">E11*C11</f>
        <v>-83.857142857142847</v>
      </c>
      <c r="G11" s="289">
        <f t="shared" ref="G11:G62" si="3">F11+G10</f>
        <v>6.6883116883116998</v>
      </c>
      <c r="H11" s="73"/>
      <c r="I11" s="29"/>
      <c r="J11" s="29"/>
      <c r="K11" s="29"/>
      <c r="L11" s="2"/>
    </row>
    <row r="12" spans="1:14">
      <c r="A12" s="27">
        <v>35891</v>
      </c>
      <c r="B12" s="55">
        <v>3.5</v>
      </c>
      <c r="C12" s="79">
        <v>2467</v>
      </c>
      <c r="D12" s="55">
        <f t="shared" si="0"/>
        <v>6.25E-2</v>
      </c>
      <c r="E12" s="55">
        <f t="shared" si="1"/>
        <v>1.8181818181818181E-2</v>
      </c>
      <c r="F12" s="289">
        <f t="shared" si="2"/>
        <v>44.854545454545452</v>
      </c>
      <c r="G12" s="289">
        <f t="shared" si="3"/>
        <v>51.542857142857152</v>
      </c>
      <c r="H12" s="73"/>
      <c r="I12" s="29"/>
      <c r="J12" s="29"/>
      <c r="K12" s="29"/>
      <c r="L12" s="2"/>
    </row>
    <row r="13" spans="1:14">
      <c r="A13" s="26">
        <v>35892</v>
      </c>
      <c r="B13" s="52">
        <v>3.5</v>
      </c>
      <c r="C13" s="77">
        <v>3942</v>
      </c>
      <c r="D13" s="52">
        <f t="shared" si="0"/>
        <v>0</v>
      </c>
      <c r="E13" s="52">
        <f t="shared" si="1"/>
        <v>0</v>
      </c>
      <c r="F13" s="276">
        <f t="shared" si="2"/>
        <v>0</v>
      </c>
      <c r="G13" s="276">
        <f t="shared" si="3"/>
        <v>51.542857142857152</v>
      </c>
      <c r="H13" s="72"/>
      <c r="I13" s="28"/>
      <c r="J13" s="28"/>
      <c r="K13" s="28"/>
      <c r="L13" s="2"/>
    </row>
    <row r="14" spans="1:14">
      <c r="A14" s="26">
        <v>35893</v>
      </c>
      <c r="B14" s="52">
        <v>3.625</v>
      </c>
      <c r="C14" s="77">
        <v>2259</v>
      </c>
      <c r="D14" s="52">
        <f t="shared" si="0"/>
        <v>0.125</v>
      </c>
      <c r="E14" s="52">
        <f t="shared" si="1"/>
        <v>3.5714285714285712E-2</v>
      </c>
      <c r="F14" s="276">
        <f t="shared" si="2"/>
        <v>80.678571428571431</v>
      </c>
      <c r="G14" s="276">
        <f t="shared" si="3"/>
        <v>132.22142857142859</v>
      </c>
      <c r="H14" s="72"/>
      <c r="I14" s="28"/>
      <c r="J14" s="28"/>
      <c r="K14" s="28"/>
      <c r="L14" s="2"/>
    </row>
    <row r="15" spans="1:14">
      <c r="A15" s="27">
        <v>35894</v>
      </c>
      <c r="B15" s="55">
        <v>3.5625</v>
      </c>
      <c r="C15" s="79">
        <v>1274</v>
      </c>
      <c r="D15" s="55">
        <f t="shared" si="0"/>
        <v>-6.25E-2</v>
      </c>
      <c r="E15" s="55">
        <f t="shared" si="1"/>
        <v>-1.7241379310344827E-2</v>
      </c>
      <c r="F15" s="289">
        <f t="shared" si="2"/>
        <v>-21.96551724137931</v>
      </c>
      <c r="G15" s="289">
        <f t="shared" si="3"/>
        <v>110.25591133004929</v>
      </c>
      <c r="H15" s="73"/>
      <c r="I15" s="29"/>
      <c r="J15" s="29"/>
      <c r="K15" s="29"/>
      <c r="L15" s="2"/>
    </row>
    <row r="16" spans="1:14">
      <c r="A16" s="27">
        <v>35898</v>
      </c>
      <c r="B16" s="55">
        <v>3.875</v>
      </c>
      <c r="C16" s="79">
        <v>2174</v>
      </c>
      <c r="D16" s="55">
        <f t="shared" si="0"/>
        <v>0.3125</v>
      </c>
      <c r="E16" s="55">
        <f t="shared" si="1"/>
        <v>8.771929824561403E-2</v>
      </c>
      <c r="F16" s="289">
        <f t="shared" si="2"/>
        <v>190.7017543859649</v>
      </c>
      <c r="G16" s="289">
        <f t="shared" si="3"/>
        <v>300.95766571601416</v>
      </c>
      <c r="H16" s="73"/>
      <c r="I16" s="29"/>
      <c r="J16" s="29"/>
      <c r="K16" s="29"/>
      <c r="L16" s="2"/>
    </row>
    <row r="17" spans="1:12">
      <c r="A17" s="26">
        <v>35899</v>
      </c>
      <c r="B17" s="52">
        <v>3.75</v>
      </c>
      <c r="C17" s="77">
        <v>1620</v>
      </c>
      <c r="D17" s="52">
        <f t="shared" si="0"/>
        <v>-0.125</v>
      </c>
      <c r="E17" s="52">
        <f t="shared" si="1"/>
        <v>-3.2258064516129031E-2</v>
      </c>
      <c r="F17" s="276">
        <f t="shared" si="2"/>
        <v>-52.258064516129032</v>
      </c>
      <c r="G17" s="276">
        <f t="shared" si="3"/>
        <v>248.69960119988514</v>
      </c>
      <c r="H17" s="72"/>
      <c r="I17" s="28"/>
      <c r="J17" s="28"/>
      <c r="K17" s="28"/>
      <c r="L17" s="2"/>
    </row>
    <row r="18" spans="1:12">
      <c r="A18" s="26">
        <v>35900</v>
      </c>
      <c r="B18" s="52">
        <v>3.875</v>
      </c>
      <c r="C18" s="77">
        <v>2100</v>
      </c>
      <c r="D18" s="52">
        <f t="shared" si="0"/>
        <v>0.125</v>
      </c>
      <c r="E18" s="52">
        <f t="shared" si="1"/>
        <v>3.3333333333333333E-2</v>
      </c>
      <c r="F18" s="276">
        <f t="shared" si="2"/>
        <v>70</v>
      </c>
      <c r="G18" s="276">
        <f t="shared" si="3"/>
        <v>318.69960119988514</v>
      </c>
      <c r="H18" s="72"/>
      <c r="I18" s="28"/>
      <c r="J18" s="28"/>
      <c r="K18" s="28"/>
      <c r="L18" s="2"/>
    </row>
    <row r="19" spans="1:12">
      <c r="A19" s="27">
        <v>35901</v>
      </c>
      <c r="B19" s="55">
        <v>3.75</v>
      </c>
      <c r="C19" s="79">
        <v>1878</v>
      </c>
      <c r="D19" s="55">
        <f t="shared" si="0"/>
        <v>-0.125</v>
      </c>
      <c r="E19" s="55">
        <f t="shared" si="1"/>
        <v>-3.2258064516129031E-2</v>
      </c>
      <c r="F19" s="289">
        <f t="shared" si="2"/>
        <v>-60.58064516129032</v>
      </c>
      <c r="G19" s="289">
        <f t="shared" si="3"/>
        <v>258.11895603859483</v>
      </c>
      <c r="H19" s="73"/>
      <c r="I19" s="29"/>
      <c r="J19" s="29"/>
      <c r="K19" s="29"/>
      <c r="L19" s="2"/>
    </row>
    <row r="20" spans="1:12">
      <c r="A20" s="27">
        <v>35902</v>
      </c>
      <c r="B20" s="55">
        <v>3.75</v>
      </c>
      <c r="C20" s="79">
        <v>3300</v>
      </c>
      <c r="D20" s="55">
        <f t="shared" si="0"/>
        <v>0</v>
      </c>
      <c r="E20" s="55">
        <f t="shared" si="1"/>
        <v>0</v>
      </c>
      <c r="F20" s="289">
        <f t="shared" si="2"/>
        <v>0</v>
      </c>
      <c r="G20" s="289">
        <f t="shared" si="3"/>
        <v>258.11895603859483</v>
      </c>
      <c r="H20" s="73"/>
      <c r="I20" s="29"/>
      <c r="J20" s="29"/>
      <c r="K20" s="29"/>
      <c r="L20" s="2"/>
    </row>
    <row r="21" spans="1:12">
      <c r="A21" s="26">
        <v>35905</v>
      </c>
      <c r="B21" s="52">
        <v>5.25</v>
      </c>
      <c r="C21" s="77">
        <v>2681</v>
      </c>
      <c r="D21" s="52">
        <f t="shared" si="0"/>
        <v>1.5</v>
      </c>
      <c r="E21" s="52">
        <f t="shared" si="1"/>
        <v>0.4</v>
      </c>
      <c r="F21" s="276">
        <f t="shared" si="2"/>
        <v>1072.4000000000001</v>
      </c>
      <c r="G21" s="276">
        <f t="shared" si="3"/>
        <v>1330.518956038595</v>
      </c>
      <c r="H21" s="72"/>
      <c r="I21" s="28"/>
      <c r="J21" s="28"/>
      <c r="K21" s="28"/>
      <c r="L21" s="2"/>
    </row>
    <row r="22" spans="1:12">
      <c r="A22" s="26">
        <v>35906</v>
      </c>
      <c r="B22" s="52">
        <v>4.625</v>
      </c>
      <c r="C22" s="77">
        <v>10933</v>
      </c>
      <c r="D22" s="52">
        <f t="shared" si="0"/>
        <v>-0.625</v>
      </c>
      <c r="E22" s="52">
        <f t="shared" si="1"/>
        <v>-0.11904761904761904</v>
      </c>
      <c r="F22" s="276">
        <f t="shared" si="2"/>
        <v>-1301.547619047619</v>
      </c>
      <c r="G22" s="276">
        <f t="shared" si="3"/>
        <v>28.971336990975942</v>
      </c>
      <c r="H22" s="72"/>
      <c r="I22" s="28"/>
      <c r="J22" s="28"/>
      <c r="K22" s="28"/>
      <c r="L22" s="2"/>
    </row>
    <row r="23" spans="1:12">
      <c r="A23" s="27">
        <v>35907</v>
      </c>
      <c r="B23" s="55">
        <v>4.5</v>
      </c>
      <c r="C23" s="79">
        <v>6694</v>
      </c>
      <c r="D23" s="55">
        <f t="shared" si="0"/>
        <v>-0.125</v>
      </c>
      <c r="E23" s="55">
        <f t="shared" si="1"/>
        <v>-2.7027027027027029E-2</v>
      </c>
      <c r="F23" s="289">
        <f t="shared" si="2"/>
        <v>-180.91891891891893</v>
      </c>
      <c r="G23" s="289">
        <f t="shared" si="3"/>
        <v>-151.94758192794299</v>
      </c>
      <c r="H23" s="73"/>
      <c r="I23" s="29"/>
      <c r="J23" s="29"/>
      <c r="K23" s="29"/>
      <c r="L23" s="2"/>
    </row>
    <row r="24" spans="1:12">
      <c r="A24" s="27">
        <v>35908</v>
      </c>
      <c r="B24" s="55">
        <v>4.9375</v>
      </c>
      <c r="C24" s="79">
        <v>9547</v>
      </c>
      <c r="D24" s="55">
        <f t="shared" si="0"/>
        <v>0.4375</v>
      </c>
      <c r="E24" s="55">
        <f t="shared" si="1"/>
        <v>9.7222222222222224E-2</v>
      </c>
      <c r="F24" s="289">
        <f t="shared" si="2"/>
        <v>928.18055555555554</v>
      </c>
      <c r="G24" s="289">
        <f t="shared" si="3"/>
        <v>776.23297362761252</v>
      </c>
      <c r="H24" s="73"/>
      <c r="I24" s="29"/>
      <c r="J24" s="29"/>
      <c r="K24" s="29"/>
      <c r="L24" s="2"/>
    </row>
    <row r="25" spans="1:12">
      <c r="A25" s="26">
        <v>35909</v>
      </c>
      <c r="B25" s="52">
        <v>5</v>
      </c>
      <c r="C25" s="77">
        <v>3648</v>
      </c>
      <c r="D25" s="52">
        <f t="shared" si="0"/>
        <v>6.25E-2</v>
      </c>
      <c r="E25" s="52">
        <f t="shared" si="1"/>
        <v>1.2658227848101266E-2</v>
      </c>
      <c r="F25" s="276">
        <f t="shared" si="2"/>
        <v>46.177215189873415</v>
      </c>
      <c r="G25" s="276">
        <f t="shared" si="3"/>
        <v>822.41018881748596</v>
      </c>
      <c r="H25" s="72"/>
      <c r="I25" s="28"/>
      <c r="J25" s="28"/>
      <c r="K25" s="28"/>
      <c r="L25" s="2"/>
    </row>
    <row r="26" spans="1:12">
      <c r="A26" s="26">
        <v>35912</v>
      </c>
      <c r="B26" s="52">
        <v>4.875</v>
      </c>
      <c r="C26" s="77">
        <v>5821</v>
      </c>
      <c r="D26" s="52">
        <f t="shared" si="0"/>
        <v>-0.125</v>
      </c>
      <c r="E26" s="52">
        <f t="shared" si="1"/>
        <v>-2.5000000000000001E-2</v>
      </c>
      <c r="F26" s="276">
        <f t="shared" si="2"/>
        <v>-145.52500000000001</v>
      </c>
      <c r="G26" s="276">
        <f t="shared" si="3"/>
        <v>676.88518881748598</v>
      </c>
      <c r="H26" s="72"/>
      <c r="I26" s="28"/>
      <c r="J26" s="28"/>
      <c r="K26" s="28"/>
      <c r="L26" s="2"/>
    </row>
    <row r="27" spans="1:12">
      <c r="A27" s="27">
        <v>35913</v>
      </c>
      <c r="B27" s="55">
        <v>4.625</v>
      </c>
      <c r="C27" s="79">
        <v>2440</v>
      </c>
      <c r="D27" s="55">
        <f t="shared" si="0"/>
        <v>-0.25</v>
      </c>
      <c r="E27" s="55">
        <f t="shared" si="1"/>
        <v>-5.128205128205128E-2</v>
      </c>
      <c r="F27" s="289">
        <f t="shared" si="2"/>
        <v>-125.12820512820512</v>
      </c>
      <c r="G27" s="289">
        <f t="shared" si="3"/>
        <v>551.7569836892809</v>
      </c>
      <c r="H27" s="73"/>
      <c r="I27" s="29"/>
      <c r="J27" s="29"/>
      <c r="K27" s="29"/>
      <c r="L27" s="2"/>
    </row>
    <row r="28" spans="1:12">
      <c r="A28" s="27">
        <v>35914</v>
      </c>
      <c r="B28" s="55">
        <v>4.625</v>
      </c>
      <c r="C28" s="79">
        <v>7074</v>
      </c>
      <c r="D28" s="55">
        <f t="shared" si="0"/>
        <v>0</v>
      </c>
      <c r="E28" s="55">
        <f t="shared" si="1"/>
        <v>0</v>
      </c>
      <c r="F28" s="289">
        <f t="shared" si="2"/>
        <v>0</v>
      </c>
      <c r="G28" s="289">
        <f t="shared" si="3"/>
        <v>551.7569836892809</v>
      </c>
      <c r="H28" s="73"/>
      <c r="I28" s="29"/>
      <c r="J28" s="29"/>
      <c r="K28" s="29"/>
      <c r="L28" s="2"/>
    </row>
    <row r="29" spans="1:12">
      <c r="A29" s="26">
        <v>35915</v>
      </c>
      <c r="B29" s="52">
        <v>4.75</v>
      </c>
      <c r="C29" s="77">
        <v>1513</v>
      </c>
      <c r="D29" s="52">
        <f t="shared" si="0"/>
        <v>0.125</v>
      </c>
      <c r="E29" s="52">
        <f t="shared" si="1"/>
        <v>2.7027027027027029E-2</v>
      </c>
      <c r="F29" s="276">
        <f t="shared" si="2"/>
        <v>40.891891891891895</v>
      </c>
      <c r="G29" s="276">
        <f t="shared" si="3"/>
        <v>592.64887558117277</v>
      </c>
      <c r="H29" s="72"/>
      <c r="I29" s="28"/>
      <c r="J29" s="28"/>
      <c r="K29" s="28"/>
      <c r="L29" s="2"/>
    </row>
    <row r="30" spans="1:12">
      <c r="A30" s="26">
        <v>35916</v>
      </c>
      <c r="B30" s="52">
        <v>4.75</v>
      </c>
      <c r="C30" s="77">
        <v>4617</v>
      </c>
      <c r="D30" s="52">
        <f t="shared" si="0"/>
        <v>0</v>
      </c>
      <c r="E30" s="52">
        <f t="shared" si="1"/>
        <v>0</v>
      </c>
      <c r="F30" s="276">
        <f t="shared" si="2"/>
        <v>0</v>
      </c>
      <c r="G30" s="276">
        <f t="shared" si="3"/>
        <v>592.64887558117277</v>
      </c>
      <c r="H30" s="72"/>
      <c r="I30" s="28"/>
      <c r="J30" s="28"/>
      <c r="K30" s="28"/>
      <c r="L30" s="2"/>
    </row>
    <row r="31" spans="1:12">
      <c r="A31" s="27">
        <v>35919</v>
      </c>
      <c r="B31" s="55">
        <v>4.125</v>
      </c>
      <c r="C31" s="79">
        <v>2033</v>
      </c>
      <c r="D31" s="55">
        <f t="shared" si="0"/>
        <v>-0.625</v>
      </c>
      <c r="E31" s="55">
        <f t="shared" si="1"/>
        <v>-0.13157894736842105</v>
      </c>
      <c r="F31" s="289">
        <f t="shared" si="2"/>
        <v>-267.5</v>
      </c>
      <c r="G31" s="289">
        <f t="shared" si="3"/>
        <v>325.14887558117277</v>
      </c>
      <c r="H31" s="73"/>
      <c r="I31" s="29"/>
      <c r="J31" s="29"/>
      <c r="K31" s="29"/>
      <c r="L31" s="2"/>
    </row>
    <row r="32" spans="1:12">
      <c r="A32" s="27">
        <v>35920</v>
      </c>
      <c r="B32" s="55">
        <v>4.125</v>
      </c>
      <c r="C32" s="79">
        <v>3249</v>
      </c>
      <c r="D32" s="55">
        <f t="shared" si="0"/>
        <v>0</v>
      </c>
      <c r="E32" s="55">
        <f t="shared" si="1"/>
        <v>0</v>
      </c>
      <c r="F32" s="289">
        <f t="shared" si="2"/>
        <v>0</v>
      </c>
      <c r="G32" s="289">
        <f t="shared" si="3"/>
        <v>325.14887558117277</v>
      </c>
      <c r="H32" s="73"/>
      <c r="I32" s="29"/>
      <c r="J32" s="29"/>
      <c r="K32" s="29"/>
      <c r="L32" s="2"/>
    </row>
    <row r="33" spans="1:12">
      <c r="A33" s="26">
        <v>35921</v>
      </c>
      <c r="B33" s="52">
        <v>4.25</v>
      </c>
      <c r="C33" s="77">
        <v>1855</v>
      </c>
      <c r="D33" s="52">
        <f t="shared" si="0"/>
        <v>0.125</v>
      </c>
      <c r="E33" s="52">
        <f t="shared" si="1"/>
        <v>3.0303030303030304E-2</v>
      </c>
      <c r="F33" s="276">
        <f t="shared" si="2"/>
        <v>56.212121212121211</v>
      </c>
      <c r="G33" s="276">
        <f t="shared" si="3"/>
        <v>381.36099679329396</v>
      </c>
      <c r="H33" s="72"/>
      <c r="I33" s="28"/>
      <c r="J33" s="28"/>
      <c r="K33" s="28"/>
      <c r="L33" s="2"/>
    </row>
    <row r="34" spans="1:12">
      <c r="A34" s="26">
        <v>35922</v>
      </c>
      <c r="B34" s="52">
        <v>4.5</v>
      </c>
      <c r="C34" s="77">
        <v>723</v>
      </c>
      <c r="D34" s="52">
        <f t="shared" si="0"/>
        <v>0.25</v>
      </c>
      <c r="E34" s="52">
        <f t="shared" si="1"/>
        <v>5.8823529411764705E-2</v>
      </c>
      <c r="F34" s="276">
        <f t="shared" si="2"/>
        <v>42.529411764705884</v>
      </c>
      <c r="G34" s="276">
        <f t="shared" si="3"/>
        <v>423.89040855799988</v>
      </c>
      <c r="H34" s="72"/>
      <c r="I34" s="28"/>
      <c r="J34" s="28"/>
      <c r="K34" s="28"/>
      <c r="L34" s="2"/>
    </row>
    <row r="35" spans="1:12">
      <c r="A35" s="27">
        <v>35923</v>
      </c>
      <c r="B35" s="55">
        <v>4.625</v>
      </c>
      <c r="C35" s="79">
        <v>3052</v>
      </c>
      <c r="D35" s="55">
        <f t="shared" si="0"/>
        <v>0.125</v>
      </c>
      <c r="E35" s="55">
        <f t="shared" si="1"/>
        <v>2.7777777777777776E-2</v>
      </c>
      <c r="F35" s="289">
        <f t="shared" si="2"/>
        <v>84.777777777777771</v>
      </c>
      <c r="G35" s="289">
        <f t="shared" si="3"/>
        <v>508.66818633577765</v>
      </c>
      <c r="H35" s="73"/>
      <c r="I35" s="29"/>
      <c r="J35" s="29"/>
      <c r="K35" s="29"/>
      <c r="L35" s="2"/>
    </row>
    <row r="36" spans="1:12">
      <c r="A36" s="27">
        <v>35926</v>
      </c>
      <c r="B36" s="55">
        <v>4.5</v>
      </c>
      <c r="C36" s="79">
        <v>1903</v>
      </c>
      <c r="D36" s="55">
        <f t="shared" si="0"/>
        <v>-0.125</v>
      </c>
      <c r="E36" s="55">
        <f t="shared" si="1"/>
        <v>-2.7027027027027029E-2</v>
      </c>
      <c r="F36" s="289">
        <f t="shared" si="2"/>
        <v>-51.432432432432435</v>
      </c>
      <c r="G36" s="289">
        <f t="shared" si="3"/>
        <v>457.2357539033452</v>
      </c>
      <c r="H36" s="73"/>
      <c r="I36" s="29"/>
      <c r="J36" s="29"/>
      <c r="K36" s="29"/>
      <c r="L36" s="2"/>
    </row>
    <row r="37" spans="1:12">
      <c r="A37" s="26">
        <v>35927</v>
      </c>
      <c r="B37" s="52">
        <v>4.6875</v>
      </c>
      <c r="C37" s="77">
        <v>1566</v>
      </c>
      <c r="D37" s="52">
        <f t="shared" si="0"/>
        <v>0.1875</v>
      </c>
      <c r="E37" s="52">
        <f t="shared" si="1"/>
        <v>4.1666666666666664E-2</v>
      </c>
      <c r="F37" s="276">
        <f t="shared" si="2"/>
        <v>65.25</v>
      </c>
      <c r="G37" s="276">
        <f t="shared" si="3"/>
        <v>522.4857539033452</v>
      </c>
      <c r="H37" s="72"/>
      <c r="I37" s="28"/>
      <c r="J37" s="28"/>
      <c r="K37" s="28"/>
      <c r="L37" s="2"/>
    </row>
    <row r="38" spans="1:12">
      <c r="A38" s="26">
        <v>35928</v>
      </c>
      <c r="B38" s="52">
        <v>4.75</v>
      </c>
      <c r="C38" s="77">
        <v>2929</v>
      </c>
      <c r="D38" s="52">
        <f t="shared" si="0"/>
        <v>6.25E-2</v>
      </c>
      <c r="E38" s="52">
        <f t="shared" si="1"/>
        <v>1.3333333333333334E-2</v>
      </c>
      <c r="F38" s="276">
        <f t="shared" si="2"/>
        <v>39.053333333333335</v>
      </c>
      <c r="G38" s="276">
        <f t="shared" si="3"/>
        <v>561.53908723667848</v>
      </c>
      <c r="H38" s="72"/>
      <c r="I38" s="28"/>
      <c r="J38" s="28"/>
      <c r="K38" s="28"/>
      <c r="L38" s="2"/>
    </row>
    <row r="39" spans="1:12">
      <c r="A39" s="27">
        <v>35929</v>
      </c>
      <c r="B39" s="55">
        <v>4.625</v>
      </c>
      <c r="C39" s="79">
        <v>3071</v>
      </c>
      <c r="D39" s="55">
        <f t="shared" si="0"/>
        <v>-0.125</v>
      </c>
      <c r="E39" s="55">
        <f t="shared" si="1"/>
        <v>-2.6315789473684209E-2</v>
      </c>
      <c r="F39" s="289">
        <f t="shared" si="2"/>
        <v>-80.815789473684205</v>
      </c>
      <c r="G39" s="289">
        <f t="shared" si="3"/>
        <v>480.72329776299426</v>
      </c>
      <c r="H39" s="73"/>
      <c r="I39" s="29"/>
      <c r="J39" s="29"/>
      <c r="K39" s="29"/>
      <c r="L39" s="2"/>
    </row>
    <row r="40" spans="1:12">
      <c r="A40" s="27">
        <v>35930</v>
      </c>
      <c r="B40" s="55">
        <v>5.0625</v>
      </c>
      <c r="C40" s="79">
        <v>3282</v>
      </c>
      <c r="D40" s="55">
        <f t="shared" si="0"/>
        <v>0.4375</v>
      </c>
      <c r="E40" s="55">
        <f t="shared" si="1"/>
        <v>9.45945945945946E-2</v>
      </c>
      <c r="F40" s="289">
        <f t="shared" si="2"/>
        <v>310.45945945945948</v>
      </c>
      <c r="G40" s="289">
        <f t="shared" si="3"/>
        <v>791.1827572224538</v>
      </c>
      <c r="H40" s="73"/>
      <c r="I40" s="29"/>
      <c r="J40" s="29"/>
      <c r="K40" s="29"/>
      <c r="L40" s="2"/>
    </row>
    <row r="41" spans="1:12">
      <c r="A41" s="26">
        <v>35933</v>
      </c>
      <c r="B41" s="52">
        <v>4.875</v>
      </c>
      <c r="C41" s="77">
        <v>3197</v>
      </c>
      <c r="D41" s="52">
        <f t="shared" si="0"/>
        <v>-0.1875</v>
      </c>
      <c r="E41" s="52">
        <f t="shared" si="1"/>
        <v>-3.7037037037037035E-2</v>
      </c>
      <c r="F41" s="276">
        <f t="shared" si="2"/>
        <v>-118.4074074074074</v>
      </c>
      <c r="G41" s="276">
        <f t="shared" si="3"/>
        <v>672.77534981504641</v>
      </c>
      <c r="H41" s="72"/>
      <c r="I41" s="28"/>
      <c r="J41" s="28"/>
      <c r="K41" s="28"/>
      <c r="L41" s="2"/>
    </row>
    <row r="42" spans="1:12">
      <c r="A42" s="26">
        <v>35934</v>
      </c>
      <c r="B42" s="52">
        <v>4.875</v>
      </c>
      <c r="C42" s="77">
        <v>2162</v>
      </c>
      <c r="D42" s="52">
        <f t="shared" si="0"/>
        <v>0</v>
      </c>
      <c r="E42" s="52">
        <f t="shared" si="1"/>
        <v>0</v>
      </c>
      <c r="F42" s="276">
        <f t="shared" si="2"/>
        <v>0</v>
      </c>
      <c r="G42" s="276">
        <f t="shared" si="3"/>
        <v>672.77534981504641</v>
      </c>
      <c r="H42" s="72"/>
      <c r="I42" s="28"/>
      <c r="J42" s="28"/>
      <c r="K42" s="28"/>
      <c r="L42" s="2"/>
    </row>
    <row r="43" spans="1:12">
      <c r="A43" s="27">
        <v>35935</v>
      </c>
      <c r="B43" s="55">
        <v>4.8125</v>
      </c>
      <c r="C43" s="79">
        <v>3865</v>
      </c>
      <c r="D43" s="55">
        <f t="shared" si="0"/>
        <v>-6.25E-2</v>
      </c>
      <c r="E43" s="55">
        <f t="shared" si="1"/>
        <v>-1.282051282051282E-2</v>
      </c>
      <c r="F43" s="289">
        <f t="shared" si="2"/>
        <v>-49.551282051282051</v>
      </c>
      <c r="G43" s="289">
        <f t="shared" si="3"/>
        <v>623.22406776376431</v>
      </c>
      <c r="H43" s="73"/>
      <c r="I43" s="29"/>
      <c r="J43" s="29"/>
      <c r="K43" s="29"/>
      <c r="L43" s="2"/>
    </row>
    <row r="44" spans="1:12">
      <c r="A44" s="27">
        <v>35936</v>
      </c>
      <c r="B44" s="55">
        <v>5</v>
      </c>
      <c r="C44" s="79">
        <v>4612</v>
      </c>
      <c r="D44" s="55">
        <f t="shared" si="0"/>
        <v>0.1875</v>
      </c>
      <c r="E44" s="55">
        <f t="shared" si="1"/>
        <v>3.896103896103896E-2</v>
      </c>
      <c r="F44" s="289">
        <f t="shared" si="2"/>
        <v>179.68831168831167</v>
      </c>
      <c r="G44" s="289">
        <f t="shared" si="3"/>
        <v>802.91237945207604</v>
      </c>
      <c r="H44" s="73"/>
      <c r="I44" s="29"/>
      <c r="J44" s="29"/>
      <c r="K44" s="29"/>
      <c r="L44" s="2"/>
    </row>
    <row r="45" spans="1:12">
      <c r="A45" s="26">
        <v>35937</v>
      </c>
      <c r="B45" s="52">
        <v>4.375</v>
      </c>
      <c r="C45" s="77">
        <v>1230</v>
      </c>
      <c r="D45" s="52">
        <f t="shared" si="0"/>
        <v>-0.625</v>
      </c>
      <c r="E45" s="52">
        <f t="shared" si="1"/>
        <v>-0.125</v>
      </c>
      <c r="F45" s="276">
        <f t="shared" si="2"/>
        <v>-153.75</v>
      </c>
      <c r="G45" s="276">
        <f t="shared" si="3"/>
        <v>649.16237945207604</v>
      </c>
      <c r="H45" s="72"/>
      <c r="I45" s="28"/>
      <c r="J45" s="28"/>
      <c r="K45" s="28"/>
      <c r="L45" s="2"/>
    </row>
    <row r="46" spans="1:12">
      <c r="A46" s="26">
        <v>35941</v>
      </c>
      <c r="B46" s="52">
        <v>4.5</v>
      </c>
      <c r="C46" s="77">
        <v>1488</v>
      </c>
      <c r="D46" s="52">
        <f t="shared" si="0"/>
        <v>0.125</v>
      </c>
      <c r="E46" s="52">
        <f t="shared" si="1"/>
        <v>2.8571428571428571E-2</v>
      </c>
      <c r="F46" s="276">
        <f t="shared" si="2"/>
        <v>42.514285714285712</v>
      </c>
      <c r="G46" s="276">
        <f t="shared" si="3"/>
        <v>691.67666516636177</v>
      </c>
      <c r="H46" s="72"/>
      <c r="I46" s="28"/>
      <c r="J46" s="28"/>
      <c r="K46" s="28"/>
      <c r="L46" s="2"/>
    </row>
    <row r="47" spans="1:12">
      <c r="A47" s="27">
        <v>35942</v>
      </c>
      <c r="B47" s="55">
        <v>4.375</v>
      </c>
      <c r="C47" s="79">
        <v>4820</v>
      </c>
      <c r="D47" s="55">
        <f t="shared" si="0"/>
        <v>-0.125</v>
      </c>
      <c r="E47" s="55">
        <f t="shared" si="1"/>
        <v>-2.7777777777777776E-2</v>
      </c>
      <c r="F47" s="289">
        <f t="shared" si="2"/>
        <v>-133.88888888888889</v>
      </c>
      <c r="G47" s="289">
        <f t="shared" si="3"/>
        <v>557.78777627747286</v>
      </c>
      <c r="H47" s="73"/>
      <c r="I47" s="29"/>
      <c r="J47" s="29"/>
      <c r="K47" s="29"/>
      <c r="L47" s="2"/>
    </row>
    <row r="48" spans="1:12">
      <c r="A48" s="27">
        <v>35943</v>
      </c>
      <c r="B48" s="55">
        <v>4.25</v>
      </c>
      <c r="C48" s="79">
        <v>6497</v>
      </c>
      <c r="D48" s="55">
        <f t="shared" si="0"/>
        <v>-0.125</v>
      </c>
      <c r="E48" s="55">
        <f t="shared" si="1"/>
        <v>-2.8571428571428571E-2</v>
      </c>
      <c r="F48" s="289">
        <f t="shared" si="2"/>
        <v>-185.62857142857143</v>
      </c>
      <c r="G48" s="289">
        <f t="shared" si="3"/>
        <v>372.15920484890142</v>
      </c>
      <c r="H48" s="73"/>
      <c r="I48" s="29"/>
      <c r="J48" s="29"/>
      <c r="K48" s="29"/>
      <c r="L48" s="2"/>
    </row>
    <row r="49" spans="1:12">
      <c r="A49" s="26">
        <v>35944</v>
      </c>
      <c r="B49" s="52">
        <v>4.5</v>
      </c>
      <c r="C49" s="77">
        <v>3670</v>
      </c>
      <c r="D49" s="52">
        <f t="shared" si="0"/>
        <v>0.25</v>
      </c>
      <c r="E49" s="52">
        <f t="shared" si="1"/>
        <v>5.8823529411764705E-2</v>
      </c>
      <c r="F49" s="276">
        <f t="shared" si="2"/>
        <v>215.88235294117646</v>
      </c>
      <c r="G49" s="276">
        <f t="shared" si="3"/>
        <v>588.04155779007783</v>
      </c>
      <c r="H49" s="72"/>
      <c r="I49" s="28"/>
      <c r="J49" s="28"/>
      <c r="K49" s="28"/>
      <c r="L49" s="2"/>
    </row>
    <row r="50" spans="1:12">
      <c r="A50" s="26">
        <v>35947</v>
      </c>
      <c r="B50" s="52">
        <v>4.25</v>
      </c>
      <c r="C50" s="77">
        <v>1726</v>
      </c>
      <c r="D50" s="52">
        <f t="shared" si="0"/>
        <v>-0.25</v>
      </c>
      <c r="E50" s="52">
        <f t="shared" si="1"/>
        <v>-5.5555555555555552E-2</v>
      </c>
      <c r="F50" s="276">
        <f t="shared" si="2"/>
        <v>-95.888888888888886</v>
      </c>
      <c r="G50" s="276">
        <f t="shared" si="3"/>
        <v>492.15266890118892</v>
      </c>
      <c r="H50" s="72"/>
      <c r="I50" s="28"/>
      <c r="J50" s="28"/>
      <c r="K50" s="28"/>
      <c r="L50" s="2"/>
    </row>
    <row r="51" spans="1:12">
      <c r="A51" s="27">
        <v>35948</v>
      </c>
      <c r="B51" s="55">
        <v>4.25</v>
      </c>
      <c r="C51" s="79">
        <v>7584</v>
      </c>
      <c r="D51" s="55">
        <f t="shared" si="0"/>
        <v>0</v>
      </c>
      <c r="E51" s="55">
        <f t="shared" si="1"/>
        <v>0</v>
      </c>
      <c r="F51" s="289">
        <f t="shared" si="2"/>
        <v>0</v>
      </c>
      <c r="G51" s="289">
        <f t="shared" si="3"/>
        <v>492.15266890118892</v>
      </c>
      <c r="H51" s="73"/>
      <c r="I51" s="29"/>
      <c r="J51" s="29"/>
      <c r="K51" s="29"/>
      <c r="L51" s="2"/>
    </row>
    <row r="52" spans="1:12">
      <c r="A52" s="27">
        <v>35949</v>
      </c>
      <c r="B52" s="55">
        <v>4.125</v>
      </c>
      <c r="C52" s="79">
        <v>11224</v>
      </c>
      <c r="D52" s="55">
        <f t="shared" si="0"/>
        <v>-0.125</v>
      </c>
      <c r="E52" s="55">
        <f t="shared" si="1"/>
        <v>-2.9411764705882353E-2</v>
      </c>
      <c r="F52" s="289">
        <f t="shared" si="2"/>
        <v>-330.11764705882354</v>
      </c>
      <c r="G52" s="289">
        <f t="shared" si="3"/>
        <v>162.03502184236538</v>
      </c>
      <c r="H52" s="73"/>
      <c r="I52" s="29"/>
      <c r="J52" s="29"/>
      <c r="K52" s="29"/>
      <c r="L52" s="2"/>
    </row>
    <row r="53" spans="1:12">
      <c r="A53" s="26">
        <v>35950</v>
      </c>
      <c r="B53" s="52">
        <v>4.25</v>
      </c>
      <c r="C53" s="77">
        <v>9269</v>
      </c>
      <c r="D53" s="52">
        <f t="shared" si="0"/>
        <v>0.125</v>
      </c>
      <c r="E53" s="52">
        <f t="shared" si="1"/>
        <v>3.0303030303030304E-2</v>
      </c>
      <c r="F53" s="276">
        <f t="shared" si="2"/>
        <v>280.87878787878788</v>
      </c>
      <c r="G53" s="276">
        <f t="shared" si="3"/>
        <v>442.91380972115326</v>
      </c>
      <c r="H53" s="72"/>
      <c r="I53" s="28"/>
      <c r="J53" s="28"/>
      <c r="K53" s="28"/>
      <c r="L53" s="2"/>
    </row>
    <row r="54" spans="1:12">
      <c r="A54" s="26">
        <v>35951</v>
      </c>
      <c r="B54" s="52">
        <v>3.8125</v>
      </c>
      <c r="C54" s="77">
        <v>14914</v>
      </c>
      <c r="D54" s="52">
        <f t="shared" si="0"/>
        <v>-0.4375</v>
      </c>
      <c r="E54" s="52">
        <f t="shared" si="1"/>
        <v>-0.10294117647058823</v>
      </c>
      <c r="F54" s="276">
        <f t="shared" si="2"/>
        <v>-1535.2647058823529</v>
      </c>
      <c r="G54" s="276">
        <f t="shared" si="3"/>
        <v>-1092.3508961611997</v>
      </c>
      <c r="H54" s="72"/>
      <c r="I54" s="28"/>
      <c r="J54" s="28"/>
      <c r="K54" s="28"/>
      <c r="L54" s="2"/>
    </row>
    <row r="55" spans="1:12">
      <c r="A55" s="27">
        <v>35954</v>
      </c>
      <c r="B55" s="55">
        <v>3.5</v>
      </c>
      <c r="C55" s="79">
        <v>13245</v>
      </c>
      <c r="D55" s="55">
        <f t="shared" si="0"/>
        <v>-0.3125</v>
      </c>
      <c r="E55" s="55">
        <f t="shared" si="1"/>
        <v>-8.1967213114754092E-2</v>
      </c>
      <c r="F55" s="289">
        <f t="shared" si="2"/>
        <v>-1085.655737704918</v>
      </c>
      <c r="G55" s="289">
        <f t="shared" si="3"/>
        <v>-2178.0066338661177</v>
      </c>
      <c r="H55" s="73"/>
      <c r="I55" s="29"/>
      <c r="J55" s="29"/>
      <c r="K55" s="29"/>
      <c r="L55" s="2"/>
    </row>
    <row r="56" spans="1:12">
      <c r="A56" s="27">
        <v>35955</v>
      </c>
      <c r="B56" s="55">
        <v>3.5</v>
      </c>
      <c r="C56" s="79">
        <v>14622</v>
      </c>
      <c r="D56" s="55">
        <f t="shared" si="0"/>
        <v>0</v>
      </c>
      <c r="E56" s="55">
        <f t="shared" si="1"/>
        <v>0</v>
      </c>
      <c r="F56" s="289">
        <f t="shared" si="2"/>
        <v>0</v>
      </c>
      <c r="G56" s="289">
        <f t="shared" si="3"/>
        <v>-2178.0066338661177</v>
      </c>
      <c r="H56" s="73"/>
      <c r="I56" s="29"/>
      <c r="J56" s="29"/>
      <c r="K56" s="29"/>
      <c r="L56" s="2"/>
    </row>
    <row r="57" spans="1:12">
      <c r="A57" s="26">
        <v>35956</v>
      </c>
      <c r="B57" s="52">
        <v>3.5</v>
      </c>
      <c r="C57" s="77">
        <v>4866</v>
      </c>
      <c r="D57" s="52">
        <f t="shared" si="0"/>
        <v>0</v>
      </c>
      <c r="E57" s="52">
        <f t="shared" si="1"/>
        <v>0</v>
      </c>
      <c r="F57" s="276">
        <f t="shared" si="2"/>
        <v>0</v>
      </c>
      <c r="G57" s="276">
        <f t="shared" si="3"/>
        <v>-2178.0066338661177</v>
      </c>
      <c r="H57" s="72"/>
      <c r="I57" s="28"/>
      <c r="J57" s="28"/>
      <c r="K57" s="28"/>
      <c r="L57" s="2"/>
    </row>
    <row r="58" spans="1:12">
      <c r="A58" s="26">
        <v>35957</v>
      </c>
      <c r="B58" s="52">
        <v>3.5</v>
      </c>
      <c r="C58" s="77">
        <v>6801</v>
      </c>
      <c r="D58" s="52">
        <f t="shared" si="0"/>
        <v>0</v>
      </c>
      <c r="E58" s="52">
        <f t="shared" si="1"/>
        <v>0</v>
      </c>
      <c r="F58" s="276">
        <f t="shared" si="2"/>
        <v>0</v>
      </c>
      <c r="G58" s="276">
        <f t="shared" si="3"/>
        <v>-2178.0066338661177</v>
      </c>
      <c r="H58" s="72"/>
      <c r="I58" s="28"/>
      <c r="J58" s="28"/>
      <c r="K58" s="28"/>
      <c r="L58" s="2"/>
    </row>
    <row r="59" spans="1:12">
      <c r="A59" s="27">
        <v>35958</v>
      </c>
      <c r="B59" s="55">
        <v>3.5</v>
      </c>
      <c r="C59" s="79">
        <v>3502</v>
      </c>
      <c r="D59" s="55">
        <f t="shared" si="0"/>
        <v>0</v>
      </c>
      <c r="E59" s="55">
        <f t="shared" si="1"/>
        <v>0</v>
      </c>
      <c r="F59" s="289">
        <f t="shared" si="2"/>
        <v>0</v>
      </c>
      <c r="G59" s="289">
        <f t="shared" si="3"/>
        <v>-2178.0066338661177</v>
      </c>
      <c r="H59" s="73"/>
      <c r="I59" s="29"/>
      <c r="J59" s="29"/>
      <c r="K59" s="29"/>
      <c r="L59" s="2"/>
    </row>
    <row r="60" spans="1:12">
      <c r="A60" s="27">
        <v>35961</v>
      </c>
      <c r="B60" s="55">
        <v>3.375</v>
      </c>
      <c r="C60" s="79">
        <v>12008</v>
      </c>
      <c r="D60" s="55">
        <f t="shared" si="0"/>
        <v>-0.125</v>
      </c>
      <c r="E60" s="55">
        <f t="shared" si="1"/>
        <v>-3.5714285714285712E-2</v>
      </c>
      <c r="F60" s="289">
        <f t="shared" si="2"/>
        <v>-428.85714285714283</v>
      </c>
      <c r="G60" s="289">
        <f t="shared" si="3"/>
        <v>-2606.8637767232603</v>
      </c>
      <c r="H60" s="73"/>
      <c r="I60" s="29"/>
      <c r="J60" s="29"/>
      <c r="K60" s="29"/>
      <c r="L60" s="2"/>
    </row>
    <row r="61" spans="1:12">
      <c r="A61" s="26">
        <v>35962</v>
      </c>
      <c r="B61" s="52">
        <v>3.4375</v>
      </c>
      <c r="C61" s="77">
        <v>17710</v>
      </c>
      <c r="D61" s="52">
        <f t="shared" si="0"/>
        <v>6.25E-2</v>
      </c>
      <c r="E61" s="52">
        <f t="shared" si="1"/>
        <v>1.8518518518518517E-2</v>
      </c>
      <c r="F61" s="276">
        <f t="shared" si="2"/>
        <v>327.96296296296293</v>
      </c>
      <c r="G61" s="276">
        <f t="shared" si="3"/>
        <v>-2278.9008137602973</v>
      </c>
      <c r="H61" s="72"/>
      <c r="I61" s="28"/>
      <c r="J61" s="28"/>
      <c r="K61" s="28"/>
      <c r="L61" s="2"/>
    </row>
    <row r="62" spans="1:12">
      <c r="A62" s="26">
        <v>35963</v>
      </c>
      <c r="B62" s="52">
        <v>3.5625</v>
      </c>
      <c r="C62" s="77">
        <v>9598</v>
      </c>
      <c r="D62" s="52">
        <f t="shared" si="0"/>
        <v>0.125</v>
      </c>
      <c r="E62" s="52">
        <f t="shared" si="1"/>
        <v>3.6363636363636362E-2</v>
      </c>
      <c r="F62" s="276">
        <f t="shared" si="2"/>
        <v>349.0181818181818</v>
      </c>
      <c r="G62" s="276">
        <f t="shared" si="3"/>
        <v>-1929.8826319421155</v>
      </c>
      <c r="H62" s="72"/>
      <c r="I62" s="28"/>
      <c r="J62" s="28"/>
      <c r="K62" s="28"/>
      <c r="L62" s="2"/>
    </row>
    <row r="63" spans="1:12">
      <c r="A63" s="2"/>
      <c r="H63" s="2"/>
      <c r="L63" s="2"/>
    </row>
    <row r="64" spans="1:12">
      <c r="A64" s="2"/>
      <c r="H64" s="2"/>
      <c r="L64" s="2"/>
    </row>
    <row r="65" spans="1:8" ht="15">
      <c r="A65" s="241" t="s">
        <v>1250</v>
      </c>
      <c r="B65" s="345"/>
      <c r="H65" s="2"/>
    </row>
    <row r="66" spans="1:8" ht="15">
      <c r="A66" s="241" t="s">
        <v>1251</v>
      </c>
      <c r="H66" s="2"/>
    </row>
    <row r="67" spans="1:8" ht="15">
      <c r="A67" s="241" t="s">
        <v>1252</v>
      </c>
      <c r="H67" s="2"/>
    </row>
    <row r="68" spans="1:8" ht="15">
      <c r="A68" s="241" t="s">
        <v>1184</v>
      </c>
      <c r="H68" s="2"/>
    </row>
    <row r="69" spans="1:8">
      <c r="A69" s="2"/>
      <c r="H69" s="2"/>
    </row>
    <row r="70" spans="1:8">
      <c r="A70" s="2"/>
      <c r="H70" s="2"/>
    </row>
    <row r="71" spans="1:8">
      <c r="A71" s="2"/>
      <c r="H71" s="2"/>
    </row>
    <row r="72" spans="1:8">
      <c r="A72" s="2"/>
      <c r="H72" s="2"/>
    </row>
    <row r="73" spans="1:8">
      <c r="A73" s="2"/>
      <c r="H73" s="2"/>
    </row>
    <row r="74" spans="1:8">
      <c r="A74" s="2"/>
      <c r="H74" s="2"/>
    </row>
    <row r="75" spans="1:8">
      <c r="A75" s="2"/>
      <c r="H75" s="2"/>
    </row>
    <row r="76" spans="1:8">
      <c r="A76" s="2"/>
      <c r="H76" s="2"/>
    </row>
  </sheetData>
  <mergeCells count="2">
    <mergeCell ref="B5:K5"/>
    <mergeCell ref="B7:K7"/>
  </mergeCells>
  <phoneticPr fontId="0" type="noConversion"/>
  <pageMargins left="0.75" right="0.75" top="1" bottom="1" header="0.5" footer="0.5"/>
  <pageSetup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5603"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25604"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25605"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5606"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enableFormatConditionsCalculation="0"/>
  <dimension ref="A1:N61"/>
  <sheetViews>
    <sheetView topLeftCell="C1" workbookViewId="0">
      <selection activeCell="M19" sqref="M19"/>
    </sheetView>
  </sheetViews>
  <sheetFormatPr baseColWidth="10" defaultColWidth="8.83203125" defaultRowHeight="12" x14ac:dyDescent="0"/>
  <cols>
    <col min="1" max="1" width="12.1640625" customWidth="1"/>
    <col min="4" max="4" width="11.33203125" customWidth="1"/>
    <col min="7" max="7" width="13.83203125" customWidth="1"/>
    <col min="8" max="8" width="11.33203125" customWidth="1"/>
    <col min="9" max="9" width="12.1640625" customWidth="1"/>
    <col min="10" max="10" width="11.6640625" customWidth="1"/>
    <col min="11" max="11" width="12.1640625" customWidth="1"/>
    <col min="12" max="12" width="10.5" customWidth="1"/>
    <col min="13" max="13" width="14.33203125" customWidth="1"/>
    <col min="14" max="14" width="11.33203125" customWidth="1"/>
  </cols>
  <sheetData>
    <row r="1" spans="1:14">
      <c r="A1" s="21"/>
      <c r="B1" s="21"/>
      <c r="C1" s="21" t="s">
        <v>846</v>
      </c>
      <c r="D1" s="21"/>
      <c r="E1" s="21"/>
      <c r="F1" s="21"/>
      <c r="G1" s="21"/>
      <c r="H1" s="21"/>
      <c r="I1" s="21"/>
      <c r="J1" s="21"/>
      <c r="K1" s="21"/>
      <c r="L1" s="21"/>
      <c r="M1" s="21"/>
      <c r="N1" s="21"/>
    </row>
    <row r="2" spans="1:14" ht="21" customHeight="1">
      <c r="A2" s="21"/>
      <c r="B2" s="21"/>
      <c r="C2" s="21"/>
      <c r="D2" s="374"/>
      <c r="E2" s="374"/>
      <c r="F2" s="374"/>
      <c r="G2" s="374"/>
      <c r="H2" s="374"/>
      <c r="I2" s="374"/>
      <c r="J2" s="374"/>
      <c r="K2" s="374"/>
      <c r="L2" s="374"/>
      <c r="M2" s="374"/>
      <c r="N2" s="374"/>
    </row>
    <row r="3" spans="1:14">
      <c r="A3" s="19" t="s">
        <v>1045</v>
      </c>
      <c r="B3" s="20" t="s">
        <v>306</v>
      </c>
      <c r="C3" s="21"/>
      <c r="D3" s="21"/>
      <c r="E3" s="21"/>
      <c r="F3" s="21"/>
      <c r="G3" s="21"/>
      <c r="H3" s="21"/>
      <c r="I3" s="21"/>
      <c r="J3" s="21"/>
      <c r="K3" s="21"/>
      <c r="L3" s="21"/>
      <c r="M3" s="21"/>
      <c r="N3" s="21"/>
    </row>
    <row r="4" spans="1:14">
      <c r="A4" s="19" t="s">
        <v>774</v>
      </c>
      <c r="B4" s="20" t="s">
        <v>381</v>
      </c>
      <c r="C4" s="21"/>
      <c r="D4" s="21"/>
      <c r="E4" s="21"/>
      <c r="F4" s="21"/>
      <c r="G4" s="21"/>
      <c r="H4" s="21"/>
      <c r="I4" s="21"/>
      <c r="J4" s="21"/>
      <c r="K4" s="21"/>
      <c r="L4" s="21"/>
      <c r="M4" s="21"/>
      <c r="N4" s="21"/>
    </row>
    <row r="5" spans="1:14" ht="15">
      <c r="A5" s="118" t="s">
        <v>779</v>
      </c>
      <c r="B5" s="127" t="s">
        <v>1190</v>
      </c>
      <c r="C5" s="21"/>
      <c r="D5" s="21"/>
      <c r="E5" s="21"/>
      <c r="F5" s="21"/>
      <c r="G5" s="21"/>
      <c r="H5" s="21"/>
      <c r="I5" s="21"/>
      <c r="J5" s="21"/>
      <c r="K5" s="21"/>
      <c r="L5" s="21"/>
      <c r="M5" s="21"/>
      <c r="N5" s="21"/>
    </row>
    <row r="6" spans="1:14" ht="46.5" customHeight="1">
      <c r="A6" s="21"/>
      <c r="B6" s="369"/>
      <c r="C6" s="98"/>
      <c r="D6" s="98"/>
      <c r="E6" s="98"/>
      <c r="F6" s="98"/>
      <c r="G6" s="98"/>
      <c r="H6" s="98"/>
      <c r="I6" s="21"/>
      <c r="J6" s="21"/>
      <c r="K6" s="21"/>
      <c r="L6" s="21"/>
      <c r="M6" s="21"/>
      <c r="N6" s="21"/>
    </row>
    <row r="7" spans="1:14" ht="15">
      <c r="A7" s="19"/>
      <c r="B7" s="127" t="s">
        <v>1188</v>
      </c>
      <c r="C7" s="21"/>
      <c r="D7" s="21"/>
      <c r="E7" s="21"/>
      <c r="F7" s="21"/>
      <c r="G7" s="21"/>
      <c r="H7" s="21"/>
      <c r="I7" s="21"/>
      <c r="J7" s="21"/>
      <c r="K7" s="21"/>
      <c r="L7" s="21"/>
      <c r="M7" s="21"/>
      <c r="N7" s="21"/>
    </row>
    <row r="8" spans="1:14" ht="24" customHeight="1">
      <c r="A8" s="19"/>
      <c r="B8" s="21"/>
      <c r="C8" s="21"/>
      <c r="D8" s="21"/>
      <c r="E8" s="21"/>
      <c r="F8" s="21"/>
      <c r="G8" s="21"/>
      <c r="H8" s="21"/>
      <c r="I8" s="21"/>
      <c r="J8" s="21"/>
      <c r="K8" s="21"/>
      <c r="L8" s="21"/>
      <c r="M8" s="21"/>
      <c r="N8" s="21"/>
    </row>
    <row r="9" spans="1:14" ht="15">
      <c r="A9" s="19"/>
      <c r="B9" s="127" t="s">
        <v>1189</v>
      </c>
      <c r="C9" s="21"/>
      <c r="D9" s="21"/>
      <c r="E9" s="21"/>
      <c r="F9" s="21"/>
      <c r="G9" s="21"/>
      <c r="H9" s="21"/>
      <c r="I9" s="21"/>
      <c r="J9" s="21"/>
      <c r="K9" s="21"/>
      <c r="L9" s="21"/>
      <c r="M9" s="21"/>
      <c r="N9" s="21"/>
    </row>
    <row r="10" spans="1:14" ht="22.5" customHeight="1">
      <c r="A10" s="21"/>
      <c r="B10" s="21"/>
      <c r="C10" s="21"/>
      <c r="D10" s="21"/>
      <c r="E10" s="21"/>
      <c r="F10" s="21"/>
      <c r="G10" s="21"/>
      <c r="H10" s="21"/>
      <c r="I10" s="21"/>
      <c r="J10" s="21"/>
      <c r="K10" s="21"/>
      <c r="L10" s="21"/>
      <c r="M10" s="21"/>
      <c r="N10" s="21"/>
    </row>
    <row r="11" spans="1:14">
      <c r="A11" s="19" t="s">
        <v>635</v>
      </c>
      <c r="B11" s="20" t="s">
        <v>750</v>
      </c>
      <c r="C11" s="21"/>
      <c r="D11" s="21"/>
      <c r="E11" s="21"/>
      <c r="F11" s="21"/>
      <c r="G11" s="21"/>
      <c r="H11" s="21"/>
      <c r="I11" s="21"/>
      <c r="J11" s="21"/>
      <c r="K11" s="21"/>
      <c r="L11" s="21"/>
      <c r="M11" s="21"/>
      <c r="N11" s="21"/>
    </row>
    <row r="12" spans="1:14" ht="39.75" customHeight="1">
      <c r="A12" s="22"/>
      <c r="B12" s="31" t="s">
        <v>1090</v>
      </c>
      <c r="C12" s="22" t="s">
        <v>1096</v>
      </c>
      <c r="D12" s="22" t="s">
        <v>1097</v>
      </c>
      <c r="E12" s="22" t="s">
        <v>1098</v>
      </c>
      <c r="F12" s="31" t="s">
        <v>473</v>
      </c>
      <c r="G12" s="31" t="s">
        <v>315</v>
      </c>
      <c r="H12" s="31" t="s">
        <v>474</v>
      </c>
      <c r="I12" s="31" t="s">
        <v>316</v>
      </c>
      <c r="J12" s="31" t="s">
        <v>307</v>
      </c>
      <c r="K12" s="31" t="s">
        <v>308</v>
      </c>
      <c r="L12" s="31" t="s">
        <v>608</v>
      </c>
      <c r="M12" s="31" t="s">
        <v>1050</v>
      </c>
      <c r="N12" s="31" t="s">
        <v>1052</v>
      </c>
    </row>
    <row r="13" spans="1:14">
      <c r="A13" s="53">
        <v>1</v>
      </c>
      <c r="B13" s="109">
        <v>38355</v>
      </c>
      <c r="C13" s="52">
        <v>38.9</v>
      </c>
      <c r="D13" s="52">
        <v>37.65</v>
      </c>
      <c r="E13" s="52">
        <v>38.18</v>
      </c>
      <c r="F13" s="52"/>
      <c r="G13" s="52"/>
      <c r="H13" s="52"/>
      <c r="I13" s="52"/>
      <c r="J13" s="64"/>
      <c r="K13" s="64"/>
      <c r="L13" s="64"/>
      <c r="M13" s="190"/>
      <c r="N13" s="190"/>
    </row>
    <row r="14" spans="1:14">
      <c r="A14" s="53">
        <v>2</v>
      </c>
      <c r="B14" s="109">
        <v>38356</v>
      </c>
      <c r="C14" s="52">
        <v>38.54</v>
      </c>
      <c r="D14" s="52">
        <v>36.46</v>
      </c>
      <c r="E14" s="52">
        <v>36.58</v>
      </c>
      <c r="F14" s="52"/>
      <c r="G14" s="52"/>
      <c r="H14" s="52"/>
      <c r="I14" s="52"/>
      <c r="J14" s="64"/>
      <c r="K14" s="64"/>
      <c r="L14" s="64"/>
      <c r="M14" s="190"/>
      <c r="N14" s="190"/>
    </row>
    <row r="15" spans="1:14">
      <c r="A15" s="56">
        <v>3</v>
      </c>
      <c r="B15" s="110">
        <v>38357</v>
      </c>
      <c r="C15" s="55">
        <v>36.979999999999997</v>
      </c>
      <c r="D15" s="55">
        <v>36.06</v>
      </c>
      <c r="E15" s="55">
        <v>36.130000000000003</v>
      </c>
      <c r="F15" s="55"/>
      <c r="G15" s="55"/>
      <c r="H15" s="55"/>
      <c r="I15" s="55"/>
      <c r="J15" s="65"/>
      <c r="K15" s="65"/>
      <c r="L15" s="65"/>
      <c r="M15" s="191"/>
      <c r="N15" s="191"/>
    </row>
    <row r="16" spans="1:14">
      <c r="A16" s="56">
        <v>4</v>
      </c>
      <c r="B16" s="110">
        <v>38358</v>
      </c>
      <c r="C16" s="55">
        <v>36.5</v>
      </c>
      <c r="D16" s="55">
        <v>35.21</v>
      </c>
      <c r="E16" s="55">
        <v>35.43</v>
      </c>
      <c r="F16" s="55"/>
      <c r="G16" s="55"/>
      <c r="H16" s="55"/>
      <c r="I16" s="55"/>
      <c r="J16" s="65"/>
      <c r="K16" s="65"/>
      <c r="L16" s="65"/>
      <c r="M16" s="191"/>
      <c r="N16" s="191"/>
    </row>
    <row r="17" spans="1:14">
      <c r="A17" s="53">
        <v>5</v>
      </c>
      <c r="B17" s="109">
        <v>38359</v>
      </c>
      <c r="C17" s="52">
        <v>36.46</v>
      </c>
      <c r="D17" s="52">
        <v>35.409999999999997</v>
      </c>
      <c r="E17" s="52">
        <v>35.96</v>
      </c>
      <c r="F17" s="52">
        <f>SLOPE(C13:C17,A13:A17)</f>
        <v>-0.6919999999999995</v>
      </c>
      <c r="G17" s="52">
        <f>MAX(C17,C16+1*F17,C15+2*F17, C14+3*F17, C13+4*F17)</f>
        <v>36.463999999999999</v>
      </c>
      <c r="H17" s="52">
        <f>SLOPE(D13:D17,A13:A17)</f>
        <v>-0.5730000000000004</v>
      </c>
      <c r="I17" s="52">
        <f>MIN(D17,D16+1*H17,D15+2*H17, D14+3*H17, D13+4*H17)</f>
        <v>34.637</v>
      </c>
      <c r="J17" s="64">
        <f>E17-I17</f>
        <v>1.3230000000000004</v>
      </c>
      <c r="K17" s="64">
        <f>G17-I17</f>
        <v>1.8269999999999982</v>
      </c>
      <c r="L17" s="64">
        <f>J17/K17*100</f>
        <v>72.41379310344837</v>
      </c>
      <c r="M17" s="444">
        <f>L17</f>
        <v>72.41379310344837</v>
      </c>
      <c r="N17" s="441"/>
    </row>
    <row r="18" spans="1:14">
      <c r="A18" s="53">
        <v>6</v>
      </c>
      <c r="B18" s="109">
        <v>38362</v>
      </c>
      <c r="C18" s="52">
        <v>36.76</v>
      </c>
      <c r="D18" s="52">
        <v>35.51</v>
      </c>
      <c r="E18" s="52">
        <v>36.32</v>
      </c>
      <c r="F18" s="52">
        <f t="shared" ref="F18:F50" si="0">SLOPE(C14:C18,A14:A18)</f>
        <v>-0.40799999999999981</v>
      </c>
      <c r="G18" s="52">
        <f t="shared" ref="G18:G50" si="1">MAX(C18,C17+1*F18,C16+2*F18, C15+3*F18, C14+4*F18)</f>
        <v>36.908000000000001</v>
      </c>
      <c r="H18" s="52">
        <f t="shared" ref="H18:H50" si="2">SLOPE(D14:D18,A14:A18)</f>
        <v>-0.25500000000000111</v>
      </c>
      <c r="I18" s="52">
        <f t="shared" ref="I18:I50" si="3">MIN(D18,D17+1*H18,D16+2*H18, D15+3*H18, D14+4*H18)</f>
        <v>34.699999999999996</v>
      </c>
      <c r="J18" s="64">
        <f t="shared" ref="J18:J50" si="4">E18-I18</f>
        <v>1.6200000000000045</v>
      </c>
      <c r="K18" s="64">
        <f t="shared" ref="K18:K50" si="5">G18-I18</f>
        <v>2.2080000000000055</v>
      </c>
      <c r="L18" s="64">
        <f>J18/K18*100</f>
        <v>73.369565217391326</v>
      </c>
      <c r="M18" s="445">
        <f t="shared" ref="M18:M50" si="6">L18*(2/(3+1)) + M17*(1-(2/(3+1)))</f>
        <v>72.891679160419841</v>
      </c>
      <c r="N18" s="442"/>
    </row>
    <row r="19" spans="1:14">
      <c r="A19" s="56">
        <v>7</v>
      </c>
      <c r="B19" s="110">
        <v>38363</v>
      </c>
      <c r="C19" s="55">
        <v>36.58</v>
      </c>
      <c r="D19" s="55">
        <v>35.39</v>
      </c>
      <c r="E19" s="55">
        <v>35.659999999999997</v>
      </c>
      <c r="F19" s="55">
        <f t="shared" si="0"/>
        <v>-5.3999999999999916E-2</v>
      </c>
      <c r="G19" s="55">
        <f t="shared" si="1"/>
        <v>36.763999999999996</v>
      </c>
      <c r="H19" s="55">
        <f t="shared" si="2"/>
        <v>-0.10400000000000062</v>
      </c>
      <c r="I19" s="55">
        <f t="shared" si="3"/>
        <v>34.897999999999996</v>
      </c>
      <c r="J19" s="65">
        <f t="shared" si="4"/>
        <v>0.76200000000000045</v>
      </c>
      <c r="K19" s="65">
        <f t="shared" si="5"/>
        <v>1.8659999999999997</v>
      </c>
      <c r="L19" s="65">
        <f>J19/K19*100</f>
        <v>40.836012861736364</v>
      </c>
      <c r="M19" s="191">
        <f t="shared" si="6"/>
        <v>56.863846011078103</v>
      </c>
      <c r="N19" s="191"/>
    </row>
    <row r="20" spans="1:14">
      <c r="A20" s="56">
        <v>8</v>
      </c>
      <c r="B20" s="110">
        <v>38364</v>
      </c>
      <c r="C20" s="55">
        <v>36.18</v>
      </c>
      <c r="D20" s="55">
        <v>34.799999999999997</v>
      </c>
      <c r="E20" s="55">
        <v>36.14</v>
      </c>
      <c r="F20" s="55">
        <f t="shared" si="0"/>
        <v>-5.200000000000031E-2</v>
      </c>
      <c r="G20" s="55">
        <f t="shared" si="1"/>
        <v>36.655999999999999</v>
      </c>
      <c r="H20" s="55">
        <f t="shared" si="2"/>
        <v>-8.4000000000000338E-2</v>
      </c>
      <c r="I20" s="55">
        <f t="shared" si="3"/>
        <v>34.799999999999997</v>
      </c>
      <c r="J20" s="65">
        <f t="shared" si="4"/>
        <v>1.3400000000000034</v>
      </c>
      <c r="K20" s="65">
        <f t="shared" si="5"/>
        <v>1.8560000000000016</v>
      </c>
      <c r="L20" s="65">
        <f>J20/K20*100</f>
        <v>72.198275862069082</v>
      </c>
      <c r="M20" s="191">
        <f t="shared" si="6"/>
        <v>64.531060936573596</v>
      </c>
      <c r="N20" s="191"/>
    </row>
    <row r="21" spans="1:14">
      <c r="A21" s="53">
        <v>9</v>
      </c>
      <c r="B21" s="109">
        <v>38365</v>
      </c>
      <c r="C21" s="52">
        <v>36.32</v>
      </c>
      <c r="D21" s="52">
        <v>35.26</v>
      </c>
      <c r="E21" s="52">
        <v>35.33</v>
      </c>
      <c r="F21" s="52">
        <f t="shared" si="0"/>
        <v>-8.5999999999999938E-2</v>
      </c>
      <c r="G21" s="52">
        <f t="shared" si="1"/>
        <v>36.501999999999995</v>
      </c>
      <c r="H21" s="52">
        <f t="shared" si="2"/>
        <v>-0.1009999999999998</v>
      </c>
      <c r="I21" s="52">
        <f t="shared" si="3"/>
        <v>34.698999999999998</v>
      </c>
      <c r="J21" s="64">
        <f t="shared" si="4"/>
        <v>0.63100000000000023</v>
      </c>
      <c r="K21" s="64">
        <f t="shared" si="5"/>
        <v>1.8029999999999973</v>
      </c>
      <c r="L21" s="64">
        <f>J21/K21*100</f>
        <v>34.997226844148706</v>
      </c>
      <c r="M21" s="190">
        <f t="shared" si="6"/>
        <v>49.764143890361154</v>
      </c>
      <c r="N21" s="190">
        <f>SUM(M19:M21)/3</f>
        <v>57.053016946004277</v>
      </c>
    </row>
    <row r="22" spans="1:14">
      <c r="A22" s="53">
        <v>10</v>
      </c>
      <c r="B22" s="109">
        <v>38366</v>
      </c>
      <c r="C22" s="52">
        <v>36.700000000000003</v>
      </c>
      <c r="D22" s="52">
        <v>35.83</v>
      </c>
      <c r="E22" s="52">
        <v>36.700000000000003</v>
      </c>
      <c r="F22" s="52">
        <f t="shared" si="0"/>
        <v>-3.7999999999998833E-2</v>
      </c>
      <c r="G22" s="52">
        <f t="shared" si="1"/>
        <v>36.700000000000003</v>
      </c>
      <c r="H22" s="52">
        <f t="shared" si="2"/>
        <v>5.0999999999999802E-2</v>
      </c>
      <c r="I22" s="52">
        <f t="shared" si="3"/>
        <v>34.901999999999994</v>
      </c>
      <c r="J22" s="64">
        <f t="shared" si="4"/>
        <v>1.7980000000000089</v>
      </c>
      <c r="K22" s="64">
        <f t="shared" si="5"/>
        <v>1.7980000000000089</v>
      </c>
      <c r="L22" s="64">
        <f t="shared" ref="L22:L50" si="7">J22/K22*100</f>
        <v>100</v>
      </c>
      <c r="M22" s="190">
        <f t="shared" si="6"/>
        <v>74.88207194518057</v>
      </c>
      <c r="N22" s="190">
        <f t="shared" ref="N22:N50" si="8">SUM(M20:M22)/3</f>
        <v>63.059092257371766</v>
      </c>
    </row>
    <row r="23" spans="1:14">
      <c r="A23" s="56">
        <v>11</v>
      </c>
      <c r="B23" s="110">
        <v>38370</v>
      </c>
      <c r="C23" s="55">
        <v>37.46</v>
      </c>
      <c r="D23" s="55">
        <v>36.6</v>
      </c>
      <c r="E23" s="55">
        <v>37.18</v>
      </c>
      <c r="F23" s="55">
        <f t="shared" si="0"/>
        <v>0.22800000000000081</v>
      </c>
      <c r="G23" s="55">
        <f t="shared" si="1"/>
        <v>37.492000000000004</v>
      </c>
      <c r="H23" s="55">
        <f t="shared" si="2"/>
        <v>0.34500000000000031</v>
      </c>
      <c r="I23" s="55">
        <f t="shared" si="3"/>
        <v>35.835000000000001</v>
      </c>
      <c r="J23" s="65">
        <f t="shared" si="4"/>
        <v>1.3449999999999989</v>
      </c>
      <c r="K23" s="65">
        <f t="shared" si="5"/>
        <v>1.6570000000000036</v>
      </c>
      <c r="L23" s="65">
        <f t="shared" si="7"/>
        <v>81.170790585395054</v>
      </c>
      <c r="M23" s="191">
        <f t="shared" si="6"/>
        <v>78.026431265287812</v>
      </c>
      <c r="N23" s="191">
        <f t="shared" si="8"/>
        <v>67.557549033609845</v>
      </c>
    </row>
    <row r="24" spans="1:14">
      <c r="A24" s="56">
        <v>12</v>
      </c>
      <c r="B24" s="110">
        <v>38371</v>
      </c>
      <c r="C24" s="55">
        <v>38.200000000000003</v>
      </c>
      <c r="D24" s="55">
        <v>36.42</v>
      </c>
      <c r="E24" s="55">
        <v>36.450000000000003</v>
      </c>
      <c r="F24" s="55">
        <f t="shared" si="0"/>
        <v>0.51800000000000068</v>
      </c>
      <c r="G24" s="55">
        <f t="shared" si="1"/>
        <v>38.252000000000002</v>
      </c>
      <c r="H24" s="55">
        <f t="shared" si="2"/>
        <v>0.45800000000000124</v>
      </c>
      <c r="I24" s="55">
        <f t="shared" si="3"/>
        <v>36.42</v>
      </c>
      <c r="J24" s="65">
        <f t="shared" si="4"/>
        <v>3.0000000000001137E-2</v>
      </c>
      <c r="K24" s="65">
        <f t="shared" si="5"/>
        <v>1.8320000000000007</v>
      </c>
      <c r="L24" s="65">
        <f t="shared" si="7"/>
        <v>1.6375545851528999</v>
      </c>
      <c r="M24" s="191">
        <f t="shared" si="6"/>
        <v>39.831992925220355</v>
      </c>
      <c r="N24" s="191">
        <f t="shared" si="8"/>
        <v>64.246832045229581</v>
      </c>
    </row>
    <row r="25" spans="1:14">
      <c r="A25" s="53">
        <v>13</v>
      </c>
      <c r="B25" s="109">
        <v>38372</v>
      </c>
      <c r="C25" s="52">
        <v>36.42</v>
      </c>
      <c r="D25" s="52">
        <v>35.049999999999997</v>
      </c>
      <c r="E25" s="52">
        <v>35.78</v>
      </c>
      <c r="F25" s="52">
        <f t="shared" si="0"/>
        <v>0.17000000000000029</v>
      </c>
      <c r="G25" s="52">
        <f t="shared" si="1"/>
        <v>38.370000000000005</v>
      </c>
      <c r="H25" s="52">
        <f t="shared" si="2"/>
        <v>1.7000000000000171E-2</v>
      </c>
      <c r="I25" s="52">
        <f t="shared" si="3"/>
        <v>35.049999999999997</v>
      </c>
      <c r="J25" s="64">
        <f t="shared" si="4"/>
        <v>0.73000000000000398</v>
      </c>
      <c r="K25" s="64">
        <f t="shared" si="5"/>
        <v>3.3200000000000074</v>
      </c>
      <c r="L25" s="64">
        <f t="shared" si="7"/>
        <v>21.987951807228985</v>
      </c>
      <c r="M25" s="190">
        <f t="shared" si="6"/>
        <v>30.909972366224672</v>
      </c>
      <c r="N25" s="190">
        <f t="shared" si="8"/>
        <v>49.589465518910949</v>
      </c>
    </row>
    <row r="26" spans="1:14">
      <c r="A26" s="53">
        <v>14</v>
      </c>
      <c r="B26" s="109">
        <v>38373</v>
      </c>
      <c r="C26" s="52">
        <v>36.11</v>
      </c>
      <c r="D26" s="52">
        <v>35.29</v>
      </c>
      <c r="E26" s="52">
        <v>35.299999999999997</v>
      </c>
      <c r="F26" s="52">
        <f t="shared" si="0"/>
        <v>-0.22200000000000059</v>
      </c>
      <c r="G26" s="52">
        <f t="shared" si="1"/>
        <v>37.756</v>
      </c>
      <c r="H26" s="52">
        <f t="shared" si="2"/>
        <v>-0.26300000000000023</v>
      </c>
      <c r="I26" s="52">
        <f t="shared" si="3"/>
        <v>34.777999999999999</v>
      </c>
      <c r="J26" s="64">
        <f t="shared" si="4"/>
        <v>0.52199999999999847</v>
      </c>
      <c r="K26" s="64">
        <f t="shared" si="5"/>
        <v>2.9780000000000015</v>
      </c>
      <c r="L26" s="64">
        <f t="shared" si="7"/>
        <v>17.528542646071127</v>
      </c>
      <c r="M26" s="190">
        <f t="shared" si="6"/>
        <v>24.219257506147898</v>
      </c>
      <c r="N26" s="190">
        <f t="shared" si="8"/>
        <v>31.653740932530976</v>
      </c>
    </row>
    <row r="27" spans="1:14">
      <c r="A27" s="56">
        <v>15</v>
      </c>
      <c r="B27" s="110">
        <v>38376</v>
      </c>
      <c r="C27" s="55">
        <v>35.520000000000003</v>
      </c>
      <c r="D27" s="55">
        <v>33.75</v>
      </c>
      <c r="E27" s="55">
        <v>33.93</v>
      </c>
      <c r="F27" s="55">
        <f t="shared" si="0"/>
        <v>-0.59699999999999986</v>
      </c>
      <c r="G27" s="55">
        <f t="shared" si="1"/>
        <v>36.409000000000006</v>
      </c>
      <c r="H27" s="55">
        <f t="shared" si="2"/>
        <v>-0.6830000000000005</v>
      </c>
      <c r="I27" s="55">
        <f t="shared" si="3"/>
        <v>33.683999999999997</v>
      </c>
      <c r="J27" s="65">
        <f t="shared" si="4"/>
        <v>0.24600000000000222</v>
      </c>
      <c r="K27" s="65">
        <f t="shared" si="5"/>
        <v>2.7250000000000085</v>
      </c>
      <c r="L27" s="65">
        <f t="shared" si="7"/>
        <v>9.027522935779869</v>
      </c>
      <c r="M27" s="191">
        <f t="shared" si="6"/>
        <v>16.623390220963884</v>
      </c>
      <c r="N27" s="191">
        <f t="shared" si="8"/>
        <v>23.91754003111215</v>
      </c>
    </row>
    <row r="28" spans="1:14">
      <c r="A28" s="56">
        <v>16</v>
      </c>
      <c r="B28" s="110">
        <v>38377</v>
      </c>
      <c r="C28" s="55">
        <v>34.76</v>
      </c>
      <c r="D28" s="55">
        <v>33.94</v>
      </c>
      <c r="E28" s="55">
        <v>34.04</v>
      </c>
      <c r="F28" s="55">
        <f t="shared" si="0"/>
        <v>-0.7780000000000008</v>
      </c>
      <c r="G28" s="55">
        <f t="shared" si="1"/>
        <v>35.088000000000001</v>
      </c>
      <c r="H28" s="55">
        <f t="shared" si="2"/>
        <v>-0.62600000000000056</v>
      </c>
      <c r="I28" s="55">
        <f t="shared" si="3"/>
        <v>33.124000000000002</v>
      </c>
      <c r="J28" s="65">
        <f t="shared" si="4"/>
        <v>0.91599999999999682</v>
      </c>
      <c r="K28" s="65">
        <f t="shared" si="5"/>
        <v>1.9639999999999986</v>
      </c>
      <c r="L28" s="65">
        <f t="shared" si="7"/>
        <v>46.639511201629198</v>
      </c>
      <c r="M28" s="191">
        <f t="shared" si="6"/>
        <v>31.631450711296541</v>
      </c>
      <c r="N28" s="191">
        <f t="shared" si="8"/>
        <v>24.158032812802773</v>
      </c>
    </row>
    <row r="29" spans="1:14">
      <c r="A29" s="53">
        <v>17</v>
      </c>
      <c r="B29" s="109">
        <v>38378</v>
      </c>
      <c r="C29" s="52">
        <v>35.74</v>
      </c>
      <c r="D29" s="52">
        <v>34.39</v>
      </c>
      <c r="E29" s="52">
        <v>35.47</v>
      </c>
      <c r="F29" s="52">
        <f t="shared" si="0"/>
        <v>-0.27100000000000007</v>
      </c>
      <c r="G29" s="52">
        <f t="shared" si="1"/>
        <v>35.74</v>
      </c>
      <c r="H29" s="52">
        <f t="shared" si="2"/>
        <v>-0.26699999999999946</v>
      </c>
      <c r="I29" s="52">
        <f t="shared" si="3"/>
        <v>33.216000000000001</v>
      </c>
      <c r="J29" s="64">
        <f t="shared" si="4"/>
        <v>2.2539999999999978</v>
      </c>
      <c r="K29" s="64">
        <f t="shared" si="5"/>
        <v>2.5240000000000009</v>
      </c>
      <c r="L29" s="64">
        <f t="shared" si="7"/>
        <v>89.302694136291478</v>
      </c>
      <c r="M29" s="190">
        <f t="shared" si="6"/>
        <v>60.467072423794008</v>
      </c>
      <c r="N29" s="190">
        <f t="shared" si="8"/>
        <v>36.240637785351474</v>
      </c>
    </row>
    <row r="30" spans="1:14">
      <c r="A30" s="53">
        <v>18</v>
      </c>
      <c r="B30" s="109">
        <v>38379</v>
      </c>
      <c r="C30" s="52">
        <v>35.49</v>
      </c>
      <c r="D30" s="52">
        <v>34.35</v>
      </c>
      <c r="E30" s="52">
        <v>34.729999999999997</v>
      </c>
      <c r="F30" s="52">
        <f t="shared" si="0"/>
        <v>-0.1019999999999996</v>
      </c>
      <c r="G30" s="52">
        <f t="shared" si="1"/>
        <v>35.701999999999998</v>
      </c>
      <c r="H30" s="52">
        <f t="shared" si="2"/>
        <v>-0.12399999999999949</v>
      </c>
      <c r="I30" s="52">
        <f t="shared" si="3"/>
        <v>33.378</v>
      </c>
      <c r="J30" s="64">
        <f t="shared" si="4"/>
        <v>1.3519999999999968</v>
      </c>
      <c r="K30" s="64">
        <f t="shared" si="5"/>
        <v>2.3239999999999981</v>
      </c>
      <c r="L30" s="64">
        <f t="shared" si="7"/>
        <v>58.175559380378573</v>
      </c>
      <c r="M30" s="190">
        <f t="shared" si="6"/>
        <v>59.32131590208629</v>
      </c>
      <c r="N30" s="190">
        <f t="shared" si="8"/>
        <v>50.473279679058948</v>
      </c>
    </row>
    <row r="31" spans="1:14">
      <c r="A31" s="56">
        <v>19</v>
      </c>
      <c r="B31" s="110">
        <v>38380</v>
      </c>
      <c r="C31" s="55">
        <v>35.24</v>
      </c>
      <c r="D31" s="55">
        <v>34.119999999999997</v>
      </c>
      <c r="E31" s="55">
        <v>34.619999999999997</v>
      </c>
      <c r="F31" s="55">
        <f t="shared" si="0"/>
        <v>1.7000000000000171E-2</v>
      </c>
      <c r="G31" s="55">
        <f t="shared" si="1"/>
        <v>35.774000000000001</v>
      </c>
      <c r="H31" s="55">
        <f t="shared" si="2"/>
        <v>0.11499999999999985</v>
      </c>
      <c r="I31" s="55">
        <f t="shared" si="3"/>
        <v>34.119999999999997</v>
      </c>
      <c r="J31" s="65">
        <f t="shared" si="4"/>
        <v>0.5</v>
      </c>
      <c r="K31" s="65">
        <f t="shared" si="5"/>
        <v>1.6540000000000035</v>
      </c>
      <c r="L31" s="65">
        <f t="shared" si="7"/>
        <v>30.229746070132947</v>
      </c>
      <c r="M31" s="191">
        <f t="shared" si="6"/>
        <v>44.775530986109615</v>
      </c>
      <c r="N31" s="191">
        <f t="shared" si="8"/>
        <v>54.854639770663312</v>
      </c>
    </row>
    <row r="32" spans="1:14">
      <c r="A32" s="56">
        <v>20</v>
      </c>
      <c r="B32" s="110">
        <v>38383</v>
      </c>
      <c r="C32" s="55">
        <v>35.44</v>
      </c>
      <c r="D32" s="55">
        <v>34.53</v>
      </c>
      <c r="E32" s="55">
        <v>35.21</v>
      </c>
      <c r="F32" s="55">
        <f t="shared" si="0"/>
        <v>8.5999999999999938E-2</v>
      </c>
      <c r="G32" s="55">
        <f t="shared" si="1"/>
        <v>35.998000000000005</v>
      </c>
      <c r="H32" s="55">
        <f t="shared" si="2"/>
        <v>9.1000000000000372E-2</v>
      </c>
      <c r="I32" s="55">
        <f t="shared" si="3"/>
        <v>34.210999999999999</v>
      </c>
      <c r="J32" s="65">
        <f t="shared" si="4"/>
        <v>0.99900000000000233</v>
      </c>
      <c r="K32" s="65">
        <f t="shared" si="5"/>
        <v>1.7870000000000061</v>
      </c>
      <c r="L32" s="65">
        <f t="shared" si="7"/>
        <v>55.903749300503577</v>
      </c>
      <c r="M32" s="191">
        <f t="shared" si="6"/>
        <v>50.339640143306596</v>
      </c>
      <c r="N32" s="191">
        <f t="shared" si="8"/>
        <v>51.478829010500839</v>
      </c>
    </row>
    <row r="33" spans="1:14">
      <c r="A33" s="53">
        <v>21</v>
      </c>
      <c r="B33" s="109">
        <v>38384</v>
      </c>
      <c r="C33" s="52">
        <v>35.28</v>
      </c>
      <c r="D33" s="52">
        <v>34.46</v>
      </c>
      <c r="E33" s="52">
        <v>34.75</v>
      </c>
      <c r="F33" s="52">
        <f t="shared" si="0"/>
        <v>-9.70000000000006E-2</v>
      </c>
      <c r="G33" s="52">
        <f t="shared" si="1"/>
        <v>35.351999999999997</v>
      </c>
      <c r="H33" s="52">
        <f t="shared" si="2"/>
        <v>3.2000000000000028E-2</v>
      </c>
      <c r="I33" s="52">
        <f t="shared" si="3"/>
        <v>34.183999999999997</v>
      </c>
      <c r="J33" s="64">
        <f t="shared" si="4"/>
        <v>0.5660000000000025</v>
      </c>
      <c r="K33" s="64">
        <f t="shared" si="5"/>
        <v>1.1679999999999993</v>
      </c>
      <c r="L33" s="64">
        <f t="shared" si="7"/>
        <v>48.458904109589284</v>
      </c>
      <c r="M33" s="190">
        <f t="shared" si="6"/>
        <v>49.39927212644794</v>
      </c>
      <c r="N33" s="190">
        <f t="shared" si="8"/>
        <v>48.171481085288043</v>
      </c>
    </row>
    <row r="34" spans="1:14">
      <c r="A34" s="53">
        <v>22</v>
      </c>
      <c r="B34" s="109">
        <v>38385</v>
      </c>
      <c r="C34" s="52">
        <v>36.340000000000003</v>
      </c>
      <c r="D34" s="52">
        <v>35.29</v>
      </c>
      <c r="E34" s="52">
        <v>35.54</v>
      </c>
      <c r="F34" s="52">
        <f t="shared" si="0"/>
        <v>0.17400000000000021</v>
      </c>
      <c r="G34" s="52">
        <f t="shared" si="1"/>
        <v>36.340000000000003</v>
      </c>
      <c r="H34" s="52">
        <f t="shared" si="2"/>
        <v>0.22199999999999989</v>
      </c>
      <c r="I34" s="52">
        <f t="shared" si="3"/>
        <v>34.682000000000002</v>
      </c>
      <c r="J34" s="64">
        <f t="shared" si="4"/>
        <v>0.85799999999999699</v>
      </c>
      <c r="K34" s="64">
        <f t="shared" si="5"/>
        <v>1.6580000000000013</v>
      </c>
      <c r="L34" s="64">
        <f t="shared" si="7"/>
        <v>51.749095295536577</v>
      </c>
      <c r="M34" s="190">
        <f t="shared" si="6"/>
        <v>50.574183710992259</v>
      </c>
      <c r="N34" s="190">
        <f t="shared" si="8"/>
        <v>50.104365326915598</v>
      </c>
    </row>
    <row r="35" spans="1:14">
      <c r="A35" s="56">
        <v>23</v>
      </c>
      <c r="B35" s="110">
        <v>38386</v>
      </c>
      <c r="C35" s="55">
        <v>35.67</v>
      </c>
      <c r="D35" s="55">
        <v>35</v>
      </c>
      <c r="E35" s="55">
        <v>35.18</v>
      </c>
      <c r="F35" s="55">
        <f t="shared" si="0"/>
        <v>0.17600000000000052</v>
      </c>
      <c r="G35" s="55">
        <f t="shared" si="1"/>
        <v>36.516000000000005</v>
      </c>
      <c r="H35" s="55">
        <f t="shared" si="2"/>
        <v>0.25200000000000033</v>
      </c>
      <c r="I35" s="55">
        <f t="shared" si="3"/>
        <v>34.963999999999999</v>
      </c>
      <c r="J35" s="65">
        <f t="shared" si="4"/>
        <v>0.21600000000000108</v>
      </c>
      <c r="K35" s="65">
        <f t="shared" si="5"/>
        <v>1.5520000000000067</v>
      </c>
      <c r="L35" s="65">
        <f t="shared" si="7"/>
        <v>13.917525773195885</v>
      </c>
      <c r="M35" s="191">
        <f t="shared" si="6"/>
        <v>32.245854742094075</v>
      </c>
      <c r="N35" s="191">
        <f t="shared" si="8"/>
        <v>44.073103526511424</v>
      </c>
    </row>
    <row r="36" spans="1:14">
      <c r="A36" s="56">
        <v>24</v>
      </c>
      <c r="B36" s="110">
        <v>38387</v>
      </c>
      <c r="C36" s="55">
        <v>35.299999999999997</v>
      </c>
      <c r="D36" s="55">
        <v>34.71</v>
      </c>
      <c r="E36" s="55">
        <v>35.020000000000003</v>
      </c>
      <c r="F36" s="55">
        <f t="shared" si="0"/>
        <v>1.0999999999999944E-2</v>
      </c>
      <c r="G36" s="55">
        <f t="shared" si="1"/>
        <v>36.362000000000002</v>
      </c>
      <c r="H36" s="55">
        <f t="shared" si="2"/>
        <v>8.9999999999999858E-2</v>
      </c>
      <c r="I36" s="55">
        <f t="shared" si="3"/>
        <v>34.71</v>
      </c>
      <c r="J36" s="65">
        <f t="shared" si="4"/>
        <v>0.31000000000000227</v>
      </c>
      <c r="K36" s="65">
        <f t="shared" si="5"/>
        <v>1.652000000000001</v>
      </c>
      <c r="L36" s="65">
        <f t="shared" si="7"/>
        <v>18.765133171912961</v>
      </c>
      <c r="M36" s="191">
        <f t="shared" si="6"/>
        <v>25.505493957003516</v>
      </c>
      <c r="N36" s="191">
        <f t="shared" si="8"/>
        <v>36.108510803363288</v>
      </c>
    </row>
    <row r="37" spans="1:14">
      <c r="A37" s="53">
        <v>25</v>
      </c>
      <c r="B37" s="109">
        <v>38390</v>
      </c>
      <c r="C37" s="52">
        <v>35.19</v>
      </c>
      <c r="D37" s="52">
        <v>34.36</v>
      </c>
      <c r="E37" s="52">
        <v>34.47</v>
      </c>
      <c r="F37" s="52">
        <f t="shared" si="0"/>
        <v>-0.1220000000000013</v>
      </c>
      <c r="G37" s="52">
        <f t="shared" si="1"/>
        <v>35.973999999999997</v>
      </c>
      <c r="H37" s="52">
        <f t="shared" si="2"/>
        <v>-7.8000000000000111E-2</v>
      </c>
      <c r="I37" s="52">
        <f t="shared" si="3"/>
        <v>34.148000000000003</v>
      </c>
      <c r="J37" s="64">
        <f t="shared" si="4"/>
        <v>0.32199999999999562</v>
      </c>
      <c r="K37" s="64">
        <f t="shared" si="5"/>
        <v>1.8259999999999934</v>
      </c>
      <c r="L37" s="64">
        <f t="shared" si="7"/>
        <v>17.634173055859627</v>
      </c>
      <c r="M37" s="190">
        <f t="shared" si="6"/>
        <v>21.569833506431571</v>
      </c>
      <c r="N37" s="190">
        <f t="shared" si="8"/>
        <v>26.440394068509722</v>
      </c>
    </row>
    <row r="38" spans="1:14">
      <c r="A38" s="53">
        <v>26</v>
      </c>
      <c r="B38" s="109">
        <v>38391</v>
      </c>
      <c r="C38" s="52">
        <v>34.909999999999997</v>
      </c>
      <c r="D38" s="52">
        <v>34.32</v>
      </c>
      <c r="E38" s="52">
        <v>34.36</v>
      </c>
      <c r="F38" s="52">
        <f t="shared" si="0"/>
        <v>-0.33400000000000174</v>
      </c>
      <c r="G38" s="52">
        <f t="shared" si="1"/>
        <v>35.003999999999998</v>
      </c>
      <c r="H38" s="52">
        <f t="shared" si="2"/>
        <v>-0.25799999999999984</v>
      </c>
      <c r="I38" s="52">
        <f t="shared" si="3"/>
        <v>34.101999999999997</v>
      </c>
      <c r="J38" s="64">
        <f t="shared" si="4"/>
        <v>0.25800000000000267</v>
      </c>
      <c r="K38" s="64">
        <f t="shared" si="5"/>
        <v>0.90200000000000102</v>
      </c>
      <c r="L38" s="64">
        <f t="shared" si="7"/>
        <v>28.603104212860575</v>
      </c>
      <c r="M38" s="190">
        <f t="shared" si="6"/>
        <v>25.086468859646075</v>
      </c>
      <c r="N38" s="190">
        <f t="shared" si="8"/>
        <v>24.053932107693722</v>
      </c>
    </row>
    <row r="39" spans="1:14">
      <c r="A39" s="56">
        <v>27</v>
      </c>
      <c r="B39" s="110">
        <v>38392</v>
      </c>
      <c r="C39" s="55">
        <v>34.659999999999997</v>
      </c>
      <c r="D39" s="55">
        <v>33.450000000000003</v>
      </c>
      <c r="E39" s="55">
        <v>33.590000000000003</v>
      </c>
      <c r="F39" s="55">
        <f t="shared" si="0"/>
        <v>-0.24100000000000107</v>
      </c>
      <c r="G39" s="55">
        <f t="shared" si="1"/>
        <v>34.707999999999998</v>
      </c>
      <c r="H39" s="55">
        <f t="shared" si="2"/>
        <v>-0.34899999999999948</v>
      </c>
      <c r="I39" s="55">
        <f t="shared" si="3"/>
        <v>33.450000000000003</v>
      </c>
      <c r="J39" s="65">
        <f t="shared" si="4"/>
        <v>0.14000000000000057</v>
      </c>
      <c r="K39" s="65">
        <f t="shared" si="5"/>
        <v>1.2579999999999956</v>
      </c>
      <c r="L39" s="65">
        <f t="shared" si="7"/>
        <v>11.128775834658272</v>
      </c>
      <c r="M39" s="191">
        <f t="shared" si="6"/>
        <v>18.107622347152173</v>
      </c>
      <c r="N39" s="191">
        <f t="shared" si="8"/>
        <v>21.587974904409936</v>
      </c>
    </row>
    <row r="40" spans="1:14">
      <c r="A40" s="56">
        <v>28</v>
      </c>
      <c r="B40" s="110">
        <v>38393</v>
      </c>
      <c r="C40" s="55">
        <v>33.72</v>
      </c>
      <c r="D40" s="55">
        <v>32.47</v>
      </c>
      <c r="E40" s="55">
        <v>33.44</v>
      </c>
      <c r="F40" s="55">
        <f t="shared" si="0"/>
        <v>-0.36899999999999977</v>
      </c>
      <c r="G40" s="55">
        <f t="shared" si="1"/>
        <v>34.290999999999997</v>
      </c>
      <c r="H40" s="55">
        <f t="shared" si="2"/>
        <v>-0.53900000000000003</v>
      </c>
      <c r="I40" s="55">
        <f t="shared" si="3"/>
        <v>32.47</v>
      </c>
      <c r="J40" s="65">
        <f t="shared" si="4"/>
        <v>0.96999999999999886</v>
      </c>
      <c r="K40" s="65">
        <f t="shared" si="5"/>
        <v>1.820999999999998</v>
      </c>
      <c r="L40" s="65">
        <f t="shared" si="7"/>
        <v>53.267435475013727</v>
      </c>
      <c r="M40" s="191">
        <f t="shared" si="6"/>
        <v>35.68752891108295</v>
      </c>
      <c r="N40" s="191">
        <f t="shared" si="8"/>
        <v>26.293873372627065</v>
      </c>
    </row>
    <row r="41" spans="1:14">
      <c r="A41" s="53">
        <v>29</v>
      </c>
      <c r="B41" s="109">
        <v>38394</v>
      </c>
      <c r="C41" s="52">
        <v>34.700000000000003</v>
      </c>
      <c r="D41" s="52">
        <v>33.31</v>
      </c>
      <c r="E41" s="52">
        <v>34.15</v>
      </c>
      <c r="F41" s="52">
        <f t="shared" si="0"/>
        <v>-0.21699999999999875</v>
      </c>
      <c r="G41" s="52">
        <f t="shared" si="1"/>
        <v>34.700000000000003</v>
      </c>
      <c r="H41" s="52">
        <f t="shared" si="2"/>
        <v>-0.39499999999999957</v>
      </c>
      <c r="I41" s="52">
        <f t="shared" si="3"/>
        <v>32.075000000000003</v>
      </c>
      <c r="J41" s="64">
        <f t="shared" si="4"/>
        <v>2.0749999999999957</v>
      </c>
      <c r="K41" s="64">
        <f t="shared" si="5"/>
        <v>2.625</v>
      </c>
      <c r="L41" s="64">
        <f t="shared" si="7"/>
        <v>79.047619047618895</v>
      </c>
      <c r="M41" s="190">
        <f t="shared" si="6"/>
        <v>57.367573979350922</v>
      </c>
      <c r="N41" s="190">
        <f t="shared" si="8"/>
        <v>37.054241745862015</v>
      </c>
    </row>
    <row r="42" spans="1:14">
      <c r="A42" s="53">
        <v>30</v>
      </c>
      <c r="B42" s="109">
        <v>38397</v>
      </c>
      <c r="C42" s="52">
        <v>34.409999999999997</v>
      </c>
      <c r="D42" s="52">
        <v>33.78</v>
      </c>
      <c r="E42" s="52">
        <v>34.33</v>
      </c>
      <c r="F42" s="52">
        <f t="shared" si="0"/>
        <v>-9.5999999999999377E-2</v>
      </c>
      <c r="G42" s="52">
        <f t="shared" si="1"/>
        <v>34.604000000000006</v>
      </c>
      <c r="H42" s="52">
        <f t="shared" si="2"/>
        <v>-0.12199999999999989</v>
      </c>
      <c r="I42" s="52">
        <f t="shared" si="3"/>
        <v>32.225999999999999</v>
      </c>
      <c r="J42" s="64">
        <f t="shared" si="4"/>
        <v>2.1039999999999992</v>
      </c>
      <c r="K42" s="64">
        <f t="shared" si="5"/>
        <v>2.3780000000000072</v>
      </c>
      <c r="L42" s="64">
        <f t="shared" si="7"/>
        <v>88.477712363330227</v>
      </c>
      <c r="M42" s="190">
        <f t="shared" si="6"/>
        <v>72.922643171340582</v>
      </c>
      <c r="N42" s="190">
        <f t="shared" si="8"/>
        <v>55.325915353924813</v>
      </c>
    </row>
    <row r="43" spans="1:14">
      <c r="A43" s="56">
        <v>31</v>
      </c>
      <c r="B43" s="110">
        <v>38398</v>
      </c>
      <c r="C43" s="55">
        <v>34.92</v>
      </c>
      <c r="D43" s="55">
        <v>33.81</v>
      </c>
      <c r="E43" s="55">
        <v>33.979999999999997</v>
      </c>
      <c r="F43" s="55">
        <f t="shared" si="0"/>
        <v>0.1210000000000008</v>
      </c>
      <c r="G43" s="55">
        <f t="shared" si="1"/>
        <v>35.143999999999998</v>
      </c>
      <c r="H43" s="55">
        <f t="shared" si="2"/>
        <v>0.20300000000000012</v>
      </c>
      <c r="I43" s="55">
        <f t="shared" si="3"/>
        <v>33.079000000000001</v>
      </c>
      <c r="J43" s="65">
        <f t="shared" si="4"/>
        <v>0.90099999999999625</v>
      </c>
      <c r="K43" s="65">
        <f t="shared" si="5"/>
        <v>2.0649999999999977</v>
      </c>
      <c r="L43" s="65">
        <f t="shared" si="7"/>
        <v>43.631961259079773</v>
      </c>
      <c r="M43" s="191">
        <f t="shared" si="6"/>
        <v>58.277302215210177</v>
      </c>
      <c r="N43" s="191">
        <f t="shared" si="8"/>
        <v>62.855839788633887</v>
      </c>
    </row>
    <row r="44" spans="1:14">
      <c r="A44" s="56">
        <v>32</v>
      </c>
      <c r="B44" s="110">
        <v>38399</v>
      </c>
      <c r="C44" s="55">
        <v>34.82</v>
      </c>
      <c r="D44" s="55">
        <v>33.75</v>
      </c>
      <c r="E44" s="55">
        <v>34.42</v>
      </c>
      <c r="F44" s="55">
        <f t="shared" si="0"/>
        <v>0.24200000000000016</v>
      </c>
      <c r="G44" s="55">
        <f t="shared" si="1"/>
        <v>35.426000000000002</v>
      </c>
      <c r="H44" s="55">
        <f t="shared" si="2"/>
        <v>0.30600000000000022</v>
      </c>
      <c r="I44" s="55">
        <f t="shared" si="3"/>
        <v>33.694000000000003</v>
      </c>
      <c r="J44" s="65">
        <f t="shared" si="4"/>
        <v>0.72599999999999909</v>
      </c>
      <c r="K44" s="65">
        <f t="shared" si="5"/>
        <v>1.7319999999999993</v>
      </c>
      <c r="L44" s="65">
        <f t="shared" si="7"/>
        <v>41.91685912240181</v>
      </c>
      <c r="M44" s="191">
        <f t="shared" si="6"/>
        <v>50.097080668805994</v>
      </c>
      <c r="N44" s="191">
        <f t="shared" si="8"/>
        <v>60.432342018452253</v>
      </c>
    </row>
    <row r="45" spans="1:14">
      <c r="A45" s="53">
        <v>33</v>
      </c>
      <c r="B45" s="109">
        <v>38400</v>
      </c>
      <c r="C45" s="52">
        <v>34.79</v>
      </c>
      <c r="D45" s="52">
        <v>33.76</v>
      </c>
      <c r="E45" s="52">
        <v>33.82</v>
      </c>
      <c r="F45" s="52">
        <f t="shared" si="0"/>
        <v>5.8999999999999629E-2</v>
      </c>
      <c r="G45" s="52">
        <f t="shared" si="1"/>
        <v>35.038000000000004</v>
      </c>
      <c r="H45" s="52">
        <f t="shared" si="2"/>
        <v>8.6999999999999036E-2</v>
      </c>
      <c r="I45" s="52">
        <f t="shared" si="3"/>
        <v>33.658000000000001</v>
      </c>
      <c r="J45" s="64">
        <f t="shared" si="4"/>
        <v>0.16199999999999903</v>
      </c>
      <c r="K45" s="64">
        <f t="shared" si="5"/>
        <v>1.3800000000000026</v>
      </c>
      <c r="L45" s="64">
        <f t="shared" si="7"/>
        <v>11.739130434782517</v>
      </c>
      <c r="M45" s="190">
        <f t="shared" si="6"/>
        <v>30.918105551794255</v>
      </c>
      <c r="N45" s="190">
        <f t="shared" si="8"/>
        <v>46.430829478603471</v>
      </c>
    </row>
    <row r="46" spans="1:14">
      <c r="A46" s="53">
        <v>34</v>
      </c>
      <c r="B46" s="109">
        <v>38401</v>
      </c>
      <c r="C46" s="52">
        <v>33.979999999999997</v>
      </c>
      <c r="D46" s="52">
        <v>33.380000000000003</v>
      </c>
      <c r="E46" s="52">
        <v>33.6</v>
      </c>
      <c r="F46" s="52">
        <f t="shared" si="0"/>
        <v>-9.9000000000000199E-2</v>
      </c>
      <c r="G46" s="52">
        <f t="shared" si="1"/>
        <v>34.691000000000003</v>
      </c>
      <c r="H46" s="52">
        <f t="shared" si="2"/>
        <v>-8.5000000000000145E-2</v>
      </c>
      <c r="I46" s="52">
        <f t="shared" si="3"/>
        <v>33.380000000000003</v>
      </c>
      <c r="J46" s="64">
        <f t="shared" si="4"/>
        <v>0.21999999999999886</v>
      </c>
      <c r="K46" s="64">
        <f t="shared" si="5"/>
        <v>1.3109999999999999</v>
      </c>
      <c r="L46" s="64">
        <f t="shared" si="7"/>
        <v>16.781083142639119</v>
      </c>
      <c r="M46" s="190">
        <f t="shared" si="6"/>
        <v>23.849594347216687</v>
      </c>
      <c r="N46" s="190">
        <f t="shared" si="8"/>
        <v>34.954926855938972</v>
      </c>
    </row>
    <row r="47" spans="1:14">
      <c r="A47" s="56">
        <v>35</v>
      </c>
      <c r="B47" s="110">
        <v>38405</v>
      </c>
      <c r="C47" s="55">
        <v>33.82</v>
      </c>
      <c r="D47" s="55">
        <v>32.659999999999997</v>
      </c>
      <c r="E47" s="55">
        <v>32.79</v>
      </c>
      <c r="F47" s="55">
        <f t="shared" si="0"/>
        <v>-0.3040000000000006</v>
      </c>
      <c r="G47" s="55">
        <f t="shared" si="1"/>
        <v>34.181999999999995</v>
      </c>
      <c r="H47" s="55">
        <f t="shared" si="2"/>
        <v>-0.2670000000000009</v>
      </c>
      <c r="I47" s="55">
        <f t="shared" si="3"/>
        <v>32.659999999999997</v>
      </c>
      <c r="J47" s="65">
        <f t="shared" si="4"/>
        <v>0.13000000000000256</v>
      </c>
      <c r="K47" s="65">
        <f t="shared" si="5"/>
        <v>1.5219999999999985</v>
      </c>
      <c r="L47" s="65">
        <f t="shared" si="7"/>
        <v>8.5413929040737635</v>
      </c>
      <c r="M47" s="191">
        <f t="shared" si="6"/>
        <v>16.195493625645227</v>
      </c>
      <c r="N47" s="191">
        <f t="shared" si="8"/>
        <v>23.654397841552054</v>
      </c>
    </row>
    <row r="48" spans="1:14">
      <c r="A48" s="56">
        <v>36</v>
      </c>
      <c r="B48" s="110">
        <v>38406</v>
      </c>
      <c r="C48" s="55">
        <v>32.92</v>
      </c>
      <c r="D48" s="55">
        <v>31.4</v>
      </c>
      <c r="E48" s="55">
        <v>32.119999999999997</v>
      </c>
      <c r="F48" s="55">
        <f t="shared" si="0"/>
        <v>-0.47699999999999959</v>
      </c>
      <c r="G48" s="55">
        <f t="shared" si="1"/>
        <v>33.359000000000002</v>
      </c>
      <c r="H48" s="55">
        <f t="shared" si="2"/>
        <v>-0.5800000000000004</v>
      </c>
      <c r="I48" s="55">
        <f t="shared" si="3"/>
        <v>31.4</v>
      </c>
      <c r="J48" s="65">
        <f t="shared" si="4"/>
        <v>0.71999999999999886</v>
      </c>
      <c r="K48" s="65">
        <f t="shared" si="5"/>
        <v>1.9590000000000032</v>
      </c>
      <c r="L48" s="65">
        <f t="shared" si="7"/>
        <v>36.753445635528216</v>
      </c>
      <c r="M48" s="191">
        <f t="shared" si="6"/>
        <v>26.474469630586722</v>
      </c>
      <c r="N48" s="191">
        <f t="shared" si="8"/>
        <v>22.173185867816212</v>
      </c>
    </row>
    <row r="49" spans="1:14">
      <c r="A49" s="53">
        <v>37</v>
      </c>
      <c r="B49" s="109">
        <v>38407</v>
      </c>
      <c r="C49" s="52">
        <v>31.49</v>
      </c>
      <c r="D49" s="52">
        <v>30.3</v>
      </c>
      <c r="E49" s="52">
        <v>31.48</v>
      </c>
      <c r="F49" s="52">
        <f t="shared" si="0"/>
        <v>-0.76599999999999968</v>
      </c>
      <c r="G49" s="52">
        <f t="shared" si="1"/>
        <v>32.288000000000004</v>
      </c>
      <c r="H49" s="52">
        <f t="shared" si="2"/>
        <v>-0.8899999999999999</v>
      </c>
      <c r="I49" s="52">
        <f t="shared" si="3"/>
        <v>30.2</v>
      </c>
      <c r="J49" s="64">
        <f t="shared" si="4"/>
        <v>1.2800000000000011</v>
      </c>
      <c r="K49" s="64">
        <f t="shared" si="5"/>
        <v>2.0880000000000045</v>
      </c>
      <c r="L49" s="64">
        <f t="shared" si="7"/>
        <v>61.302681992337085</v>
      </c>
      <c r="M49" s="190">
        <f t="shared" si="6"/>
        <v>43.888575811461905</v>
      </c>
      <c r="N49" s="190">
        <f t="shared" si="8"/>
        <v>28.852846355897952</v>
      </c>
    </row>
    <row r="50" spans="1:14">
      <c r="A50" s="53">
        <v>38</v>
      </c>
      <c r="B50" s="109">
        <v>38408</v>
      </c>
      <c r="C50" s="52">
        <v>31.96</v>
      </c>
      <c r="D50" s="52">
        <v>31.43</v>
      </c>
      <c r="E50" s="52">
        <v>31.73</v>
      </c>
      <c r="F50" s="52">
        <f t="shared" si="0"/>
        <v>-0.63699999999999934</v>
      </c>
      <c r="G50" s="52">
        <f t="shared" si="1"/>
        <v>31.96</v>
      </c>
      <c r="H50" s="52">
        <f t="shared" si="2"/>
        <v>-0.62600000000000011</v>
      </c>
      <c r="I50" s="52">
        <f t="shared" si="3"/>
        <v>29.673999999999999</v>
      </c>
      <c r="J50" s="64">
        <f t="shared" si="4"/>
        <v>2.0560000000000009</v>
      </c>
      <c r="K50" s="64">
        <f t="shared" si="5"/>
        <v>2.2860000000000014</v>
      </c>
      <c r="L50" s="64">
        <f t="shared" si="7"/>
        <v>89.938757655293074</v>
      </c>
      <c r="M50" s="190">
        <f t="shared" si="6"/>
        <v>66.913666733377482</v>
      </c>
      <c r="N50" s="190">
        <f t="shared" si="8"/>
        <v>45.758904058475366</v>
      </c>
    </row>
    <row r="51" spans="1:14">
      <c r="A51" s="434"/>
      <c r="B51" s="435"/>
      <c r="C51" s="436"/>
      <c r="D51" s="436"/>
      <c r="E51" s="436"/>
      <c r="F51" s="436"/>
      <c r="G51" s="436"/>
      <c r="H51" s="436"/>
      <c r="I51" s="436"/>
      <c r="J51" s="436"/>
      <c r="K51" s="436"/>
      <c r="L51" s="436"/>
      <c r="M51" s="436"/>
    </row>
    <row r="52" spans="1:14">
      <c r="A52" s="434"/>
      <c r="B52" s="435"/>
      <c r="C52" s="436"/>
      <c r="D52" s="436"/>
      <c r="E52" s="436"/>
      <c r="F52" s="436"/>
      <c r="G52" s="436"/>
      <c r="H52" s="436"/>
      <c r="I52" s="436"/>
      <c r="J52" s="436"/>
      <c r="K52" s="436"/>
      <c r="L52" s="436"/>
      <c r="M52" s="436"/>
    </row>
    <row r="53" spans="1:14" ht="15">
      <c r="A53" s="437" t="s">
        <v>309</v>
      </c>
      <c r="B53" s="437"/>
      <c r="C53" s="437"/>
      <c r="D53" s="437"/>
      <c r="E53" s="437"/>
      <c r="F53" s="437"/>
      <c r="G53" s="437"/>
      <c r="H53" s="437"/>
      <c r="I53" s="437"/>
      <c r="J53" s="437"/>
    </row>
    <row r="54" spans="1:14" ht="15">
      <c r="A54" s="465" t="s">
        <v>310</v>
      </c>
      <c r="B54" s="465"/>
      <c r="C54" s="465"/>
      <c r="D54" s="465"/>
      <c r="E54" s="465"/>
      <c r="F54" s="465"/>
      <c r="G54" s="465"/>
      <c r="H54" s="465"/>
      <c r="I54" s="465"/>
      <c r="J54" s="465"/>
    </row>
    <row r="55" spans="1:14" ht="15">
      <c r="A55" s="437" t="s">
        <v>311</v>
      </c>
      <c r="B55" s="437"/>
      <c r="C55" s="437"/>
      <c r="D55" s="437"/>
      <c r="E55" s="437"/>
      <c r="F55" s="437"/>
      <c r="G55" s="437"/>
      <c r="H55" s="437"/>
      <c r="I55" s="437"/>
      <c r="J55" s="437"/>
    </row>
    <row r="56" spans="1:14" ht="17.25" customHeight="1">
      <c r="A56" s="438" t="s">
        <v>312</v>
      </c>
      <c r="B56" s="438"/>
      <c r="C56" s="438"/>
      <c r="D56" s="438"/>
      <c r="E56" s="438"/>
      <c r="F56" s="438"/>
      <c r="G56" s="438"/>
      <c r="H56" s="438"/>
      <c r="I56" s="438"/>
      <c r="J56" s="438"/>
    </row>
    <row r="57" spans="1:14" ht="15">
      <c r="A57" s="437" t="s">
        <v>313</v>
      </c>
      <c r="B57" s="439"/>
      <c r="C57" s="439"/>
      <c r="D57" s="437"/>
      <c r="E57" s="439"/>
      <c r="F57" s="439"/>
      <c r="G57" s="439"/>
      <c r="H57" s="439"/>
      <c r="I57" s="437"/>
      <c r="J57" s="437"/>
    </row>
    <row r="58" spans="1:14" ht="15">
      <c r="A58" s="437" t="s">
        <v>61</v>
      </c>
      <c r="B58" s="437"/>
      <c r="C58" s="437"/>
      <c r="D58" s="437"/>
      <c r="E58" s="437"/>
      <c r="F58" s="437"/>
      <c r="G58" s="437"/>
      <c r="H58" s="437"/>
      <c r="I58" s="437"/>
      <c r="J58" s="437"/>
    </row>
    <row r="59" spans="1:14" ht="15">
      <c r="A59" s="437" t="s">
        <v>314</v>
      </c>
      <c r="B59" s="437"/>
      <c r="C59" s="437"/>
      <c r="D59" s="437"/>
      <c r="E59" s="437"/>
      <c r="F59" s="437"/>
      <c r="G59" s="437"/>
      <c r="H59" s="437"/>
      <c r="I59" s="437"/>
      <c r="J59" s="437"/>
    </row>
    <row r="60" spans="1:14" ht="15">
      <c r="A60" s="443" t="s">
        <v>1051</v>
      </c>
    </row>
    <row r="61" spans="1:14" ht="15">
      <c r="A61" s="443" t="s">
        <v>1053</v>
      </c>
    </row>
  </sheetData>
  <mergeCells count="1">
    <mergeCell ref="A54:J54"/>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7587"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67588"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67589"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67590"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enableFormatConditionsCalculation="0"/>
  <dimension ref="A1:N83"/>
  <sheetViews>
    <sheetView workbookViewId="0"/>
  </sheetViews>
  <sheetFormatPr baseColWidth="10" defaultColWidth="8.83203125" defaultRowHeight="12" x14ac:dyDescent="0"/>
  <cols>
    <col min="1" max="1" width="11.5" customWidth="1"/>
    <col min="4" max="4" width="12.33203125" customWidth="1"/>
    <col min="5" max="5" width="11.66406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609</v>
      </c>
      <c r="C3" s="21"/>
      <c r="D3" s="21"/>
      <c r="E3" s="21"/>
      <c r="F3" s="21"/>
      <c r="G3" s="21"/>
      <c r="H3" s="21"/>
      <c r="I3" s="21"/>
      <c r="J3" s="21"/>
    </row>
    <row r="4" spans="1:14" ht="30.75" customHeight="1">
      <c r="A4" s="118" t="s">
        <v>779</v>
      </c>
      <c r="B4" s="446" t="s">
        <v>1191</v>
      </c>
      <c r="C4" s="446"/>
      <c r="D4" s="446"/>
      <c r="E4" s="446"/>
      <c r="F4" s="446"/>
      <c r="G4" s="446"/>
      <c r="H4" s="446"/>
      <c r="I4" s="446"/>
      <c r="J4" s="446"/>
    </row>
    <row r="5" spans="1:14" ht="36" customHeight="1">
      <c r="A5" s="21"/>
      <c r="B5" s="21"/>
      <c r="C5" s="21"/>
      <c r="D5" s="21"/>
      <c r="E5" s="21"/>
      <c r="F5" s="21"/>
      <c r="G5" s="21"/>
      <c r="H5" s="21"/>
      <c r="I5" s="21"/>
      <c r="J5" s="21"/>
    </row>
    <row r="6" spans="1:14" ht="48">
      <c r="A6" s="22" t="s">
        <v>1090</v>
      </c>
      <c r="B6" s="22" t="s">
        <v>245</v>
      </c>
      <c r="C6" s="22" t="s">
        <v>244</v>
      </c>
      <c r="D6" s="22" t="s">
        <v>609</v>
      </c>
      <c r="E6" s="22"/>
      <c r="F6" s="22"/>
      <c r="G6" s="22"/>
      <c r="H6" s="22"/>
      <c r="I6" s="22"/>
      <c r="J6" s="22"/>
    </row>
    <row r="7" spans="1:14">
      <c r="A7" s="26">
        <v>35797</v>
      </c>
      <c r="B7" s="91">
        <v>74.5</v>
      </c>
      <c r="C7" s="28">
        <v>195</v>
      </c>
      <c r="D7" s="41">
        <f>B7/C7 * 100</f>
        <v>38.205128205128204</v>
      </c>
      <c r="E7" s="72"/>
      <c r="F7" s="28"/>
      <c r="G7" s="28"/>
      <c r="H7" s="28"/>
      <c r="I7" s="28"/>
      <c r="J7" s="54"/>
    </row>
    <row r="8" spans="1:14">
      <c r="A8" s="26">
        <v>35804</v>
      </c>
      <c r="B8" s="91">
        <v>154.69999999999999</v>
      </c>
      <c r="C8" s="28">
        <v>310</v>
      </c>
      <c r="D8" s="41">
        <f t="shared" ref="D8:D23" si="0">B8/C8 * 100</f>
        <v>49.903225806451609</v>
      </c>
      <c r="E8" s="72"/>
      <c r="F8" s="28"/>
      <c r="G8" s="28"/>
      <c r="H8" s="28"/>
      <c r="I8" s="28"/>
      <c r="J8" s="54"/>
    </row>
    <row r="9" spans="1:14">
      <c r="A9" s="27">
        <v>35811</v>
      </c>
      <c r="B9" s="90">
        <v>142.4</v>
      </c>
      <c r="C9" s="29">
        <v>324</v>
      </c>
      <c r="D9" s="45">
        <f t="shared" si="0"/>
        <v>43.950617283950621</v>
      </c>
      <c r="E9" s="73"/>
      <c r="F9" s="29"/>
      <c r="G9" s="29"/>
      <c r="H9" s="29"/>
      <c r="I9" s="29"/>
      <c r="J9" s="57"/>
    </row>
    <row r="10" spans="1:14">
      <c r="A10" s="27">
        <v>35818</v>
      </c>
      <c r="B10" s="90">
        <v>114.1</v>
      </c>
      <c r="C10" s="29">
        <v>263</v>
      </c>
      <c r="D10" s="45">
        <f t="shared" si="0"/>
        <v>43.384030418250944</v>
      </c>
      <c r="E10" s="73"/>
      <c r="F10" s="29"/>
      <c r="G10" s="29"/>
      <c r="H10" s="29"/>
      <c r="I10" s="29"/>
      <c r="J10" s="57"/>
    </row>
    <row r="11" spans="1:14">
      <c r="A11" s="26">
        <v>35825</v>
      </c>
      <c r="B11" s="91">
        <v>137.6</v>
      </c>
      <c r="C11" s="28">
        <v>337</v>
      </c>
      <c r="D11" s="41">
        <f t="shared" si="0"/>
        <v>40.830860534124632</v>
      </c>
      <c r="E11" s="72"/>
      <c r="F11" s="28"/>
      <c r="G11" s="28"/>
      <c r="H11" s="28"/>
      <c r="I11" s="28"/>
      <c r="J11" s="54"/>
    </row>
    <row r="12" spans="1:14">
      <c r="A12" s="26">
        <v>35832</v>
      </c>
      <c r="B12" s="91">
        <v>162.69999999999999</v>
      </c>
      <c r="C12" s="28">
        <v>398</v>
      </c>
      <c r="D12" s="41">
        <f t="shared" si="0"/>
        <v>40.879396984924618</v>
      </c>
      <c r="E12" s="72"/>
      <c r="F12" s="28"/>
      <c r="G12" s="28"/>
      <c r="H12" s="28"/>
      <c r="I12" s="28"/>
      <c r="J12" s="54"/>
    </row>
    <row r="13" spans="1:14">
      <c r="A13" s="27">
        <v>35839</v>
      </c>
      <c r="B13" s="90">
        <v>149.30000000000001</v>
      </c>
      <c r="C13" s="29">
        <v>350</v>
      </c>
      <c r="D13" s="45">
        <f t="shared" si="0"/>
        <v>42.657142857142858</v>
      </c>
      <c r="E13" s="73"/>
      <c r="F13" s="29"/>
      <c r="G13" s="29"/>
      <c r="H13" s="29"/>
      <c r="I13" s="29"/>
      <c r="J13" s="57"/>
    </row>
    <row r="14" spans="1:14">
      <c r="A14" s="27">
        <v>35846</v>
      </c>
      <c r="B14" s="90">
        <v>110.8</v>
      </c>
      <c r="C14" s="29">
        <v>256</v>
      </c>
      <c r="D14" s="45">
        <f t="shared" si="0"/>
        <v>43.28125</v>
      </c>
      <c r="E14" s="73"/>
      <c r="F14" s="29"/>
      <c r="G14" s="29"/>
      <c r="H14" s="29"/>
      <c r="I14" s="29"/>
      <c r="J14" s="57"/>
    </row>
    <row r="15" spans="1:14">
      <c r="A15" s="26">
        <v>35853</v>
      </c>
      <c r="B15" s="91">
        <v>128.80000000000001</v>
      </c>
      <c r="C15" s="28">
        <v>312</v>
      </c>
      <c r="D15" s="41">
        <f t="shared" si="0"/>
        <v>41.282051282051285</v>
      </c>
      <c r="E15" s="72"/>
      <c r="F15" s="28"/>
      <c r="G15" s="28"/>
      <c r="H15" s="28"/>
      <c r="I15" s="28"/>
      <c r="J15" s="54"/>
    </row>
    <row r="16" spans="1:14">
      <c r="A16" s="26">
        <v>35860</v>
      </c>
      <c r="B16" s="91">
        <v>153.6</v>
      </c>
      <c r="C16" s="28">
        <v>340</v>
      </c>
      <c r="D16" s="41">
        <f t="shared" si="0"/>
        <v>45.17647058823529</v>
      </c>
      <c r="E16" s="72"/>
      <c r="F16" s="28"/>
      <c r="G16" s="28"/>
      <c r="H16" s="28"/>
      <c r="I16" s="28"/>
      <c r="J16" s="54"/>
    </row>
    <row r="17" spans="1:10">
      <c r="A17" s="27">
        <v>35867</v>
      </c>
      <c r="B17" s="90">
        <v>148.80000000000001</v>
      </c>
      <c r="C17" s="29">
        <v>338</v>
      </c>
      <c r="D17" s="45">
        <f t="shared" si="0"/>
        <v>44.023668639053263</v>
      </c>
      <c r="E17" s="73"/>
      <c r="F17" s="29"/>
      <c r="G17" s="29"/>
      <c r="H17" s="29"/>
      <c r="I17" s="29"/>
      <c r="J17" s="57"/>
    </row>
    <row r="18" spans="1:10">
      <c r="A18" s="27">
        <v>35874</v>
      </c>
      <c r="B18" s="90">
        <v>149.30000000000001</v>
      </c>
      <c r="C18" s="29">
        <v>343</v>
      </c>
      <c r="D18" s="45">
        <f t="shared" si="0"/>
        <v>43.527696793002917</v>
      </c>
      <c r="E18" s="73"/>
      <c r="F18" s="29"/>
      <c r="G18" s="29"/>
      <c r="H18" s="29"/>
      <c r="I18" s="29"/>
      <c r="J18" s="57"/>
    </row>
    <row r="19" spans="1:10">
      <c r="A19" s="26">
        <v>35881</v>
      </c>
      <c r="B19" s="91">
        <v>141.69999999999999</v>
      </c>
      <c r="C19" s="28">
        <v>325</v>
      </c>
      <c r="D19" s="41">
        <f t="shared" si="0"/>
        <v>43.599999999999994</v>
      </c>
      <c r="E19" s="72"/>
      <c r="F19" s="28"/>
      <c r="G19" s="28"/>
      <c r="H19" s="28"/>
      <c r="I19" s="28"/>
      <c r="J19" s="54"/>
    </row>
    <row r="20" spans="1:10">
      <c r="A20" s="26">
        <v>35888</v>
      </c>
      <c r="B20" s="91">
        <v>145.19999999999999</v>
      </c>
      <c r="C20" s="28">
        <v>349</v>
      </c>
      <c r="D20" s="41">
        <f t="shared" si="0"/>
        <v>41.604584527220631</v>
      </c>
      <c r="E20" s="72"/>
      <c r="F20" s="28"/>
      <c r="G20" s="28"/>
      <c r="H20" s="28"/>
      <c r="I20" s="28"/>
      <c r="J20" s="54"/>
    </row>
    <row r="21" spans="1:10">
      <c r="A21" s="27">
        <v>35894</v>
      </c>
      <c r="B21" s="90">
        <v>121.3</v>
      </c>
      <c r="C21" s="29">
        <v>261</v>
      </c>
      <c r="D21" s="45">
        <f t="shared" si="0"/>
        <v>46.475095785440615</v>
      </c>
      <c r="E21" s="73"/>
      <c r="F21" s="29"/>
      <c r="G21" s="29"/>
      <c r="H21" s="29"/>
      <c r="I21" s="29"/>
      <c r="J21" s="57"/>
    </row>
    <row r="22" spans="1:10">
      <c r="A22" s="27">
        <v>35902</v>
      </c>
      <c r="B22" s="90">
        <v>144.4</v>
      </c>
      <c r="C22" s="29">
        <v>317</v>
      </c>
      <c r="D22" s="45">
        <f t="shared" si="0"/>
        <v>45.552050473186121</v>
      </c>
      <c r="E22" s="73"/>
      <c r="F22" s="29"/>
      <c r="G22" s="29"/>
      <c r="H22" s="29"/>
      <c r="I22" s="29"/>
      <c r="J22" s="57"/>
    </row>
    <row r="23" spans="1:10">
      <c r="A23" s="26">
        <v>35909</v>
      </c>
      <c r="B23" s="91">
        <v>146.1</v>
      </c>
      <c r="C23" s="28">
        <v>325</v>
      </c>
      <c r="D23" s="41">
        <f t="shared" si="0"/>
        <v>44.95384615384615</v>
      </c>
      <c r="E23" s="72"/>
      <c r="F23" s="28"/>
      <c r="G23" s="28"/>
      <c r="H23" s="28"/>
      <c r="I23" s="28"/>
      <c r="J23" s="54"/>
    </row>
    <row r="24" spans="1:10">
      <c r="A24" s="26">
        <v>35916</v>
      </c>
      <c r="B24" s="91">
        <v>140.69999999999999</v>
      </c>
      <c r="C24" s="28">
        <v>340</v>
      </c>
      <c r="D24" s="41">
        <f t="shared" ref="D24:D39" si="1">B24/C24 * 100</f>
        <v>41.382352941176464</v>
      </c>
      <c r="E24" s="72"/>
      <c r="F24" s="28"/>
      <c r="G24" s="28"/>
      <c r="H24" s="28"/>
      <c r="I24" s="28"/>
      <c r="J24" s="54"/>
    </row>
    <row r="25" spans="1:10">
      <c r="A25" s="27">
        <v>35923</v>
      </c>
      <c r="B25" s="90">
        <v>136.69999999999999</v>
      </c>
      <c r="C25" s="29">
        <v>297</v>
      </c>
      <c r="D25" s="45">
        <f t="shared" si="1"/>
        <v>46.026936026936021</v>
      </c>
      <c r="E25" s="73"/>
      <c r="F25" s="29"/>
      <c r="G25" s="29"/>
      <c r="H25" s="29"/>
      <c r="I25" s="29"/>
      <c r="J25" s="57"/>
    </row>
    <row r="26" spans="1:10">
      <c r="A26" s="27">
        <v>35930</v>
      </c>
      <c r="B26" s="90">
        <v>136.1</v>
      </c>
      <c r="C26" s="29">
        <v>292</v>
      </c>
      <c r="D26" s="45">
        <f t="shared" si="1"/>
        <v>46.609589041095887</v>
      </c>
      <c r="E26" s="73"/>
      <c r="F26" s="29"/>
      <c r="G26" s="29"/>
      <c r="H26" s="29"/>
      <c r="I26" s="29"/>
      <c r="J26" s="57"/>
    </row>
    <row r="27" spans="1:10">
      <c r="A27" s="26">
        <v>35937</v>
      </c>
      <c r="B27" s="91">
        <v>121.1</v>
      </c>
      <c r="C27" s="28">
        <v>263</v>
      </c>
      <c r="D27" s="41">
        <f t="shared" si="1"/>
        <v>46.045627376425848</v>
      </c>
      <c r="E27" s="72"/>
      <c r="F27" s="28"/>
      <c r="G27" s="28"/>
      <c r="H27" s="28"/>
      <c r="I27" s="28"/>
      <c r="J27" s="54"/>
    </row>
    <row r="28" spans="1:10">
      <c r="A28" s="26">
        <v>35944</v>
      </c>
      <c r="B28" s="91">
        <v>111.2</v>
      </c>
      <c r="C28" s="28">
        <v>228</v>
      </c>
      <c r="D28" s="41">
        <f t="shared" si="1"/>
        <v>48.771929824561404</v>
      </c>
      <c r="E28" s="72"/>
      <c r="F28" s="28"/>
      <c r="G28" s="28"/>
      <c r="H28" s="28"/>
      <c r="I28" s="28"/>
      <c r="J28" s="54"/>
    </row>
    <row r="29" spans="1:10">
      <c r="A29" s="27">
        <v>35951</v>
      </c>
      <c r="B29" s="90">
        <v>145.30000000000001</v>
      </c>
      <c r="C29" s="29">
        <v>305</v>
      </c>
      <c r="D29" s="45">
        <f t="shared" si="1"/>
        <v>47.639344262295083</v>
      </c>
      <c r="E29" s="73"/>
      <c r="F29" s="29"/>
      <c r="G29" s="29"/>
      <c r="H29" s="29"/>
      <c r="I29" s="29"/>
      <c r="J29" s="57"/>
    </row>
    <row r="30" spans="1:10">
      <c r="A30" s="27">
        <v>35958</v>
      </c>
      <c r="B30" s="90">
        <v>174.8</v>
      </c>
      <c r="C30" s="29">
        <v>331</v>
      </c>
      <c r="D30" s="45">
        <f t="shared" si="1"/>
        <v>52.809667673716021</v>
      </c>
      <c r="E30" s="73"/>
      <c r="F30" s="29"/>
      <c r="G30" s="29"/>
      <c r="H30" s="29"/>
      <c r="I30" s="29"/>
      <c r="J30" s="57"/>
    </row>
    <row r="31" spans="1:10">
      <c r="A31" s="26">
        <v>35965</v>
      </c>
      <c r="B31" s="91">
        <v>163.30000000000001</v>
      </c>
      <c r="C31" s="28">
        <v>335</v>
      </c>
      <c r="D31" s="41">
        <f t="shared" si="1"/>
        <v>48.746268656716424</v>
      </c>
      <c r="E31" s="72"/>
      <c r="F31" s="28"/>
      <c r="G31" s="28"/>
      <c r="H31" s="28"/>
      <c r="I31" s="28"/>
      <c r="J31" s="54"/>
    </row>
    <row r="32" spans="1:10">
      <c r="A32" s="26">
        <v>35972</v>
      </c>
      <c r="B32" s="91">
        <v>167.7</v>
      </c>
      <c r="C32" s="28">
        <v>349</v>
      </c>
      <c r="D32" s="41">
        <f t="shared" si="1"/>
        <v>48.051575931232087</v>
      </c>
      <c r="E32" s="72"/>
      <c r="F32" s="28"/>
      <c r="G32" s="28"/>
      <c r="H32" s="28"/>
      <c r="I32" s="28"/>
      <c r="J32" s="54"/>
    </row>
    <row r="33" spans="1:10">
      <c r="A33" s="27">
        <v>35978</v>
      </c>
      <c r="B33" s="90">
        <v>132.69999999999999</v>
      </c>
      <c r="C33" s="29">
        <v>291</v>
      </c>
      <c r="D33" s="45">
        <f t="shared" si="1"/>
        <v>45.60137457044673</v>
      </c>
      <c r="E33" s="73"/>
      <c r="F33" s="29"/>
      <c r="G33" s="29"/>
      <c r="H33" s="29"/>
      <c r="I33" s="29"/>
      <c r="J33" s="57"/>
    </row>
    <row r="34" spans="1:10">
      <c r="A34" s="27">
        <v>35986</v>
      </c>
      <c r="B34" s="90">
        <v>178.1</v>
      </c>
      <c r="C34" s="29">
        <v>361</v>
      </c>
      <c r="D34" s="45">
        <f t="shared" si="1"/>
        <v>49.335180055401665</v>
      </c>
      <c r="E34" s="73"/>
      <c r="F34" s="29"/>
      <c r="G34" s="29"/>
      <c r="H34" s="29"/>
      <c r="I34" s="29"/>
      <c r="J34" s="57"/>
    </row>
    <row r="35" spans="1:10">
      <c r="A35" s="26">
        <v>35993</v>
      </c>
      <c r="B35" s="91">
        <v>151.80000000000001</v>
      </c>
      <c r="C35" s="28">
        <v>338</v>
      </c>
      <c r="D35" s="41">
        <f t="shared" si="1"/>
        <v>44.911242603550299</v>
      </c>
      <c r="E35" s="72"/>
      <c r="F35" s="28"/>
      <c r="G35" s="28"/>
      <c r="H35" s="28"/>
      <c r="I35" s="28"/>
      <c r="J35" s="54"/>
    </row>
    <row r="36" spans="1:10">
      <c r="A36" s="26">
        <v>36000</v>
      </c>
      <c r="B36" s="91">
        <v>147.4</v>
      </c>
      <c r="C36" s="28">
        <v>308</v>
      </c>
      <c r="D36" s="41">
        <f t="shared" si="1"/>
        <v>47.857142857142861</v>
      </c>
      <c r="E36" s="72"/>
      <c r="F36" s="28"/>
      <c r="G36" s="28"/>
      <c r="H36" s="28"/>
      <c r="I36" s="28"/>
      <c r="J36" s="54"/>
    </row>
    <row r="37" spans="1:10">
      <c r="A37" s="27">
        <v>36007</v>
      </c>
      <c r="B37" s="90">
        <v>142.5</v>
      </c>
      <c r="C37" s="29">
        <v>317</v>
      </c>
      <c r="D37" s="45">
        <f t="shared" si="1"/>
        <v>44.952681388012614</v>
      </c>
      <c r="E37" s="73"/>
      <c r="F37" s="29"/>
      <c r="G37" s="29"/>
      <c r="H37" s="29"/>
      <c r="I37" s="29"/>
      <c r="J37" s="57"/>
    </row>
    <row r="38" spans="1:10">
      <c r="A38" s="27">
        <v>36014</v>
      </c>
      <c r="B38" s="90">
        <v>175.8</v>
      </c>
      <c r="C38" s="29">
        <v>376</v>
      </c>
      <c r="D38" s="45">
        <f t="shared" si="1"/>
        <v>46.755319148936174</v>
      </c>
      <c r="E38" s="73"/>
      <c r="F38" s="29"/>
      <c r="G38" s="29"/>
      <c r="H38" s="29"/>
      <c r="I38" s="29"/>
      <c r="J38" s="57"/>
    </row>
    <row r="39" spans="1:10">
      <c r="A39" s="26">
        <v>36021</v>
      </c>
      <c r="B39" s="91">
        <v>173.5</v>
      </c>
      <c r="C39" s="28">
        <v>346</v>
      </c>
      <c r="D39" s="41">
        <f t="shared" si="1"/>
        <v>50.144508670520224</v>
      </c>
      <c r="E39" s="72"/>
      <c r="F39" s="28"/>
      <c r="G39" s="28"/>
      <c r="H39" s="28"/>
      <c r="I39" s="28"/>
      <c r="J39" s="54"/>
    </row>
    <row r="40" spans="1:10">
      <c r="A40" s="26">
        <v>36028</v>
      </c>
      <c r="B40" s="91">
        <v>163.80000000000001</v>
      </c>
      <c r="C40" s="28">
        <v>346</v>
      </c>
      <c r="D40" s="41">
        <f t="shared" ref="D40:D55" si="2">B40/C40 * 100</f>
        <v>47.341040462427749</v>
      </c>
      <c r="E40" s="72"/>
      <c r="F40" s="28"/>
      <c r="G40" s="28"/>
      <c r="H40" s="28"/>
      <c r="I40" s="28"/>
      <c r="J40" s="54"/>
    </row>
    <row r="41" spans="1:10">
      <c r="A41" s="27">
        <v>36035</v>
      </c>
      <c r="B41" s="90">
        <v>198.5</v>
      </c>
      <c r="C41" s="29">
        <v>378</v>
      </c>
      <c r="D41" s="45">
        <f t="shared" si="2"/>
        <v>52.513227513227513</v>
      </c>
      <c r="E41" s="73"/>
      <c r="F41" s="29"/>
      <c r="G41" s="29"/>
      <c r="H41" s="29"/>
      <c r="I41" s="29"/>
      <c r="J41" s="57"/>
    </row>
    <row r="42" spans="1:10">
      <c r="A42" s="27">
        <v>36042</v>
      </c>
      <c r="B42" s="90">
        <v>227.4</v>
      </c>
      <c r="C42" s="29">
        <v>464</v>
      </c>
      <c r="D42" s="45">
        <f t="shared" si="2"/>
        <v>49.008620689655174</v>
      </c>
      <c r="E42" s="73"/>
      <c r="F42" s="29"/>
      <c r="G42" s="29"/>
      <c r="H42" s="29"/>
      <c r="I42" s="29"/>
      <c r="J42" s="57"/>
    </row>
    <row r="43" spans="1:10">
      <c r="A43" s="26">
        <v>36049</v>
      </c>
      <c r="B43" s="91">
        <v>163.19999999999999</v>
      </c>
      <c r="C43" s="28">
        <v>360</v>
      </c>
      <c r="D43" s="41">
        <f t="shared" si="2"/>
        <v>45.333333333333329</v>
      </c>
      <c r="E43" s="72"/>
      <c r="F43" s="28"/>
      <c r="G43" s="28"/>
      <c r="H43" s="28"/>
      <c r="I43" s="28"/>
      <c r="J43" s="54"/>
    </row>
    <row r="44" spans="1:10">
      <c r="A44" s="26">
        <v>36056</v>
      </c>
      <c r="B44" s="91">
        <v>190.8</v>
      </c>
      <c r="C44" s="28">
        <v>419</v>
      </c>
      <c r="D44" s="41">
        <f t="shared" si="2"/>
        <v>45.536992840095472</v>
      </c>
      <c r="E44" s="72"/>
      <c r="F44" s="28"/>
      <c r="G44" s="28"/>
      <c r="H44" s="28"/>
      <c r="I44" s="28"/>
      <c r="J44" s="54"/>
    </row>
    <row r="45" spans="1:10">
      <c r="A45" s="27">
        <v>36063</v>
      </c>
      <c r="B45" s="90">
        <v>181.6</v>
      </c>
      <c r="C45" s="29">
        <v>406</v>
      </c>
      <c r="D45" s="45">
        <f t="shared" si="2"/>
        <v>44.729064039408868</v>
      </c>
      <c r="E45" s="73"/>
      <c r="F45" s="29"/>
      <c r="G45" s="29"/>
      <c r="H45" s="29"/>
      <c r="I45" s="29"/>
      <c r="J45" s="57"/>
    </row>
    <row r="46" spans="1:10">
      <c r="A46" s="27">
        <v>36070</v>
      </c>
      <c r="B46" s="90">
        <v>193.6</v>
      </c>
      <c r="C46" s="29">
        <v>395</v>
      </c>
      <c r="D46" s="45">
        <f t="shared" si="2"/>
        <v>49.0126582278481</v>
      </c>
      <c r="E46" s="73"/>
      <c r="F46" s="29"/>
      <c r="G46" s="29"/>
      <c r="H46" s="29"/>
      <c r="I46" s="29"/>
      <c r="J46" s="57"/>
    </row>
    <row r="47" spans="1:10">
      <c r="A47" s="26">
        <v>36077</v>
      </c>
      <c r="B47" s="91">
        <v>213.5</v>
      </c>
      <c r="C47" s="28">
        <v>453</v>
      </c>
      <c r="D47" s="41">
        <f t="shared" si="2"/>
        <v>47.130242825607063</v>
      </c>
      <c r="E47" s="72"/>
      <c r="F47" s="28"/>
      <c r="G47" s="28"/>
      <c r="H47" s="28"/>
      <c r="I47" s="28"/>
      <c r="J47" s="54"/>
    </row>
    <row r="48" spans="1:10">
      <c r="A48" s="26">
        <v>36084</v>
      </c>
      <c r="B48" s="91">
        <v>174.3</v>
      </c>
      <c r="C48" s="28">
        <v>446</v>
      </c>
      <c r="D48" s="41">
        <f t="shared" si="2"/>
        <v>39.08071748878924</v>
      </c>
      <c r="E48" s="72"/>
      <c r="F48" s="28"/>
      <c r="G48" s="28"/>
      <c r="H48" s="28"/>
      <c r="I48" s="28"/>
      <c r="J48" s="54"/>
    </row>
    <row r="49" spans="1:10">
      <c r="A49" s="27">
        <v>36091</v>
      </c>
      <c r="B49" s="90">
        <v>156.1</v>
      </c>
      <c r="C49" s="29">
        <v>414</v>
      </c>
      <c r="D49" s="45">
        <f t="shared" si="2"/>
        <v>37.705314009661834</v>
      </c>
      <c r="E49" s="73"/>
      <c r="F49" s="29"/>
      <c r="G49" s="29"/>
      <c r="H49" s="29"/>
      <c r="I49" s="29"/>
      <c r="J49" s="57"/>
    </row>
    <row r="50" spans="1:10">
      <c r="A50" s="27">
        <v>36098</v>
      </c>
      <c r="B50" s="90">
        <v>165.4</v>
      </c>
      <c r="C50" s="29">
        <v>393</v>
      </c>
      <c r="D50" s="45">
        <f t="shared" si="2"/>
        <v>42.086513994910945</v>
      </c>
      <c r="E50" s="73"/>
      <c r="F50" s="29"/>
      <c r="G50" s="29"/>
      <c r="H50" s="29"/>
      <c r="I50" s="29"/>
      <c r="J50" s="57"/>
    </row>
    <row r="51" spans="1:10">
      <c r="A51" s="26">
        <v>36105</v>
      </c>
      <c r="B51" s="91">
        <v>196.4</v>
      </c>
      <c r="C51" s="28">
        <v>471</v>
      </c>
      <c r="D51" s="41">
        <f t="shared" si="2"/>
        <v>41.698513800424628</v>
      </c>
      <c r="E51" s="72"/>
      <c r="F51" s="28"/>
      <c r="G51" s="28"/>
      <c r="H51" s="28"/>
      <c r="I51" s="28"/>
      <c r="J51" s="54"/>
    </row>
    <row r="52" spans="1:10">
      <c r="A52" s="26">
        <v>36112</v>
      </c>
      <c r="B52" s="91">
        <v>152.80000000000001</v>
      </c>
      <c r="C52" s="28">
        <v>348</v>
      </c>
      <c r="D52" s="41">
        <f t="shared" si="2"/>
        <v>43.908045977011497</v>
      </c>
      <c r="E52" s="72"/>
      <c r="F52" s="28"/>
      <c r="G52" s="28"/>
      <c r="H52" s="28"/>
      <c r="I52" s="28"/>
      <c r="J52" s="54"/>
    </row>
    <row r="53" spans="1:10">
      <c r="A53" s="27">
        <v>36119</v>
      </c>
      <c r="B53" s="90">
        <v>171.2</v>
      </c>
      <c r="C53" s="29">
        <v>397</v>
      </c>
      <c r="D53" s="45">
        <f t="shared" si="2"/>
        <v>43.123425692695214</v>
      </c>
      <c r="E53" s="73"/>
      <c r="F53" s="29"/>
      <c r="G53" s="29"/>
      <c r="H53" s="29"/>
      <c r="I53" s="29"/>
      <c r="J53" s="57"/>
    </row>
    <row r="54" spans="1:10">
      <c r="A54" s="27">
        <v>36126</v>
      </c>
      <c r="B54" s="90">
        <v>109.8</v>
      </c>
      <c r="C54" s="29">
        <v>272</v>
      </c>
      <c r="D54" s="45">
        <f t="shared" si="2"/>
        <v>40.367647058823529</v>
      </c>
      <c r="E54" s="73"/>
      <c r="F54" s="29"/>
      <c r="G54" s="29"/>
      <c r="H54" s="29"/>
      <c r="I54" s="29"/>
      <c r="J54" s="57"/>
    </row>
    <row r="55" spans="1:10">
      <c r="A55" s="26">
        <v>36133</v>
      </c>
      <c r="B55" s="91">
        <v>168.7</v>
      </c>
      <c r="C55" s="28">
        <v>370</v>
      </c>
      <c r="D55" s="41">
        <f t="shared" si="2"/>
        <v>45.594594594594589</v>
      </c>
      <c r="E55" s="72"/>
      <c r="F55" s="28"/>
      <c r="G55" s="28"/>
      <c r="H55" s="28"/>
      <c r="I55" s="28"/>
      <c r="J55" s="54"/>
    </row>
    <row r="56" spans="1:10">
      <c r="A56" s="26">
        <v>36140</v>
      </c>
      <c r="B56" s="91">
        <v>143.5</v>
      </c>
      <c r="C56" s="28">
        <v>324</v>
      </c>
      <c r="D56" s="41">
        <f>B56/C56 * 100</f>
        <v>44.290123456790127</v>
      </c>
      <c r="E56" s="72"/>
      <c r="F56" s="28"/>
      <c r="G56" s="28"/>
      <c r="H56" s="28"/>
      <c r="I56" s="28"/>
      <c r="J56" s="54"/>
    </row>
    <row r="57" spans="1:10">
      <c r="A57" s="27">
        <v>36147</v>
      </c>
      <c r="B57" s="90">
        <v>157</v>
      </c>
      <c r="C57" s="29">
        <v>362</v>
      </c>
      <c r="D57" s="45">
        <f>B57/C57 * 100</f>
        <v>43.370165745856355</v>
      </c>
      <c r="E57" s="73"/>
      <c r="F57" s="29"/>
      <c r="G57" s="29"/>
      <c r="H57" s="29"/>
      <c r="I57" s="29"/>
      <c r="J57" s="57"/>
    </row>
    <row r="58" spans="1:10">
      <c r="A58" s="27">
        <v>36153</v>
      </c>
      <c r="B58" s="90">
        <v>97.2</v>
      </c>
      <c r="C58" s="29">
        <v>251</v>
      </c>
      <c r="D58" s="45">
        <f>B58/C58 * 100</f>
        <v>38.725099601593627</v>
      </c>
      <c r="E58" s="73"/>
      <c r="F58" s="29"/>
      <c r="G58" s="29"/>
      <c r="H58" s="29"/>
      <c r="I58" s="29"/>
      <c r="J58" s="57"/>
    </row>
    <row r="59" spans="1:10">
      <c r="A59" s="26">
        <v>36160</v>
      </c>
      <c r="B59" s="91">
        <v>99.6</v>
      </c>
      <c r="C59" s="28">
        <v>243</v>
      </c>
      <c r="D59" s="41">
        <f>B59/C59 * 100</f>
        <v>40.987654320987652</v>
      </c>
      <c r="E59" s="72"/>
      <c r="F59" s="28"/>
      <c r="G59" s="28"/>
      <c r="H59" s="28"/>
      <c r="I59" s="28"/>
      <c r="J59" s="54"/>
    </row>
    <row r="60" spans="1:10">
      <c r="E60" s="2"/>
    </row>
    <row r="61" spans="1:10">
      <c r="E61" s="2"/>
    </row>
    <row r="62" spans="1:10">
      <c r="A62" t="s">
        <v>62</v>
      </c>
      <c r="E62" s="2"/>
    </row>
    <row r="63" spans="1:10">
      <c r="E63" s="2"/>
    </row>
    <row r="64" spans="1:10">
      <c r="E64" s="2"/>
    </row>
    <row r="65" spans="5:5">
      <c r="E65" s="2"/>
    </row>
    <row r="66" spans="5:5">
      <c r="E66" s="2"/>
    </row>
    <row r="67" spans="5:5">
      <c r="E67" s="2"/>
    </row>
    <row r="68" spans="5:5">
      <c r="E68" s="2"/>
    </row>
    <row r="69" spans="5:5">
      <c r="E69" s="2"/>
    </row>
    <row r="70" spans="5:5">
      <c r="E70" s="2"/>
    </row>
    <row r="71" spans="5:5">
      <c r="E71" s="2"/>
    </row>
    <row r="72" spans="5:5">
      <c r="E72" s="2"/>
    </row>
    <row r="73" spans="5:5">
      <c r="E73" s="2"/>
    </row>
    <row r="74" spans="5:5">
      <c r="E74" s="2"/>
    </row>
    <row r="75" spans="5:5">
      <c r="E75" s="2"/>
    </row>
    <row r="76" spans="5:5">
      <c r="E76" s="2"/>
    </row>
    <row r="77" spans="5:5">
      <c r="E77" s="2"/>
    </row>
    <row r="78" spans="5:5">
      <c r="E78" s="2"/>
    </row>
    <row r="79" spans="5:5">
      <c r="E79" s="2"/>
    </row>
    <row r="80" spans="5:5">
      <c r="E80" s="2"/>
    </row>
    <row r="81" spans="5:5">
      <c r="E81" s="2"/>
    </row>
    <row r="82" spans="5:5">
      <c r="E82" s="2"/>
    </row>
    <row r="83" spans="5:5">
      <c r="E83" s="2"/>
    </row>
  </sheetData>
  <mergeCells count="1">
    <mergeCell ref="B4:J4"/>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7411"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7412"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7413"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7414"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enableFormatConditionsCalculation="0"/>
  <dimension ref="A1:N131"/>
  <sheetViews>
    <sheetView workbookViewId="0"/>
  </sheetViews>
  <sheetFormatPr baseColWidth="10" defaultColWidth="8.83203125" defaultRowHeight="12" x14ac:dyDescent="0"/>
  <cols>
    <col min="1" max="1" width="12.5" customWidth="1"/>
    <col min="4" max="4" width="10.5" customWidth="1"/>
    <col min="5" max="5" width="10"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1193</v>
      </c>
      <c r="C3" s="21"/>
      <c r="D3" s="21"/>
      <c r="E3" s="21"/>
      <c r="F3" s="21"/>
      <c r="G3" s="21"/>
      <c r="H3" s="21"/>
      <c r="I3" s="21"/>
      <c r="J3" s="21"/>
      <c r="K3" s="30"/>
    </row>
    <row r="4" spans="1:14" ht="33" customHeight="1">
      <c r="A4" s="118" t="s">
        <v>779</v>
      </c>
      <c r="B4" s="446" t="s">
        <v>1192</v>
      </c>
      <c r="C4" s="446"/>
      <c r="D4" s="446"/>
      <c r="E4" s="446"/>
      <c r="F4" s="446"/>
      <c r="G4" s="446"/>
      <c r="H4" s="446"/>
      <c r="I4" s="446"/>
      <c r="J4" s="446"/>
      <c r="K4" s="30"/>
    </row>
    <row r="5" spans="1:14" ht="36" customHeight="1">
      <c r="A5" s="21"/>
      <c r="B5" s="21"/>
      <c r="C5" s="21"/>
      <c r="D5" s="21"/>
      <c r="E5" s="21"/>
      <c r="F5" s="21"/>
      <c r="G5" s="21"/>
      <c r="H5" s="21"/>
      <c r="I5" s="21"/>
      <c r="J5" s="21"/>
    </row>
    <row r="6" spans="1:14" ht="24">
      <c r="A6" s="22" t="s">
        <v>1090</v>
      </c>
      <c r="B6" s="22" t="s">
        <v>610</v>
      </c>
      <c r="C6" s="22" t="s">
        <v>611</v>
      </c>
      <c r="D6" s="31" t="s">
        <v>1193</v>
      </c>
      <c r="E6" s="22"/>
      <c r="F6" s="22"/>
      <c r="G6" s="22"/>
      <c r="H6" s="22"/>
      <c r="I6" s="22"/>
      <c r="J6" s="22"/>
    </row>
    <row r="7" spans="1:14">
      <c r="A7" s="26">
        <v>35797</v>
      </c>
      <c r="B7" s="28">
        <v>183</v>
      </c>
      <c r="C7" s="28">
        <v>239</v>
      </c>
      <c r="D7" s="52">
        <f>B7/C7 * 100</f>
        <v>76.569037656903774</v>
      </c>
      <c r="E7" s="72"/>
      <c r="F7" s="28"/>
      <c r="G7" s="28"/>
      <c r="H7" s="28"/>
      <c r="I7" s="28"/>
      <c r="J7" s="54"/>
    </row>
    <row r="8" spans="1:14">
      <c r="A8" s="26">
        <v>35800</v>
      </c>
      <c r="B8" s="28">
        <v>255</v>
      </c>
      <c r="C8" s="28">
        <v>447</v>
      </c>
      <c r="D8" s="52">
        <f t="shared" ref="D8:D23" si="0">B8/C8 * 100</f>
        <v>57.04697986577181</v>
      </c>
      <c r="E8" s="72"/>
      <c r="F8" s="28"/>
      <c r="G8" s="28"/>
      <c r="H8" s="28"/>
      <c r="I8" s="28"/>
      <c r="J8" s="54"/>
    </row>
    <row r="9" spans="1:14">
      <c r="A9" s="27">
        <v>35801</v>
      </c>
      <c r="B9" s="29">
        <v>245</v>
      </c>
      <c r="C9" s="29">
        <v>413</v>
      </c>
      <c r="D9" s="55">
        <f t="shared" si="0"/>
        <v>59.322033898305079</v>
      </c>
      <c r="E9" s="73"/>
      <c r="F9" s="29"/>
      <c r="G9" s="29"/>
      <c r="H9" s="29"/>
      <c r="I9" s="29"/>
      <c r="J9" s="57"/>
    </row>
    <row r="10" spans="1:14">
      <c r="A10" s="27">
        <v>35802</v>
      </c>
      <c r="B10" s="29">
        <v>329</v>
      </c>
      <c r="C10" s="29">
        <v>445</v>
      </c>
      <c r="D10" s="55">
        <f t="shared" si="0"/>
        <v>73.932584269662925</v>
      </c>
      <c r="E10" s="73"/>
      <c r="F10" s="29"/>
      <c r="G10" s="29"/>
      <c r="H10" s="29"/>
      <c r="I10" s="29"/>
      <c r="J10" s="57"/>
    </row>
    <row r="11" spans="1:14">
      <c r="A11" s="26">
        <v>35803</v>
      </c>
      <c r="B11" s="28">
        <v>340</v>
      </c>
      <c r="C11" s="28">
        <v>464</v>
      </c>
      <c r="D11" s="52">
        <f t="shared" si="0"/>
        <v>73.275862068965509</v>
      </c>
      <c r="E11" s="72"/>
      <c r="F11" s="28"/>
      <c r="G11" s="28"/>
      <c r="H11" s="28"/>
      <c r="I11" s="28"/>
      <c r="J11" s="54"/>
    </row>
    <row r="12" spans="1:14">
      <c r="A12" s="26">
        <v>35804</v>
      </c>
      <c r="B12" s="28">
        <v>511</v>
      </c>
      <c r="C12" s="28">
        <v>675</v>
      </c>
      <c r="D12" s="52">
        <f t="shared" si="0"/>
        <v>75.703703703703709</v>
      </c>
      <c r="E12" s="72"/>
      <c r="F12" s="28"/>
      <c r="G12" s="28"/>
      <c r="H12" s="28"/>
      <c r="I12" s="28"/>
      <c r="J12" s="54"/>
    </row>
    <row r="13" spans="1:14">
      <c r="A13" s="27">
        <v>35807</v>
      </c>
      <c r="B13" s="29">
        <v>467</v>
      </c>
      <c r="C13" s="29">
        <v>543</v>
      </c>
      <c r="D13" s="55">
        <f t="shared" si="0"/>
        <v>86.003683241252304</v>
      </c>
      <c r="E13" s="73"/>
      <c r="F13" s="29"/>
      <c r="G13" s="29"/>
      <c r="H13" s="29"/>
      <c r="I13" s="29"/>
      <c r="J13" s="57"/>
    </row>
    <row r="14" spans="1:14">
      <c r="A14" s="27">
        <v>35808</v>
      </c>
      <c r="B14" s="29">
        <v>378</v>
      </c>
      <c r="C14" s="29">
        <v>572</v>
      </c>
      <c r="D14" s="55">
        <f t="shared" si="0"/>
        <v>66.08391608391608</v>
      </c>
      <c r="E14" s="73"/>
      <c r="F14" s="29"/>
      <c r="G14" s="29"/>
      <c r="H14" s="29"/>
      <c r="I14" s="29"/>
      <c r="J14" s="57"/>
    </row>
    <row r="15" spans="1:14">
      <c r="A15" s="26">
        <v>35809</v>
      </c>
      <c r="B15" s="28">
        <v>323</v>
      </c>
      <c r="C15" s="28">
        <v>556</v>
      </c>
      <c r="D15" s="52">
        <f t="shared" si="0"/>
        <v>58.093525179856123</v>
      </c>
      <c r="E15" s="72"/>
      <c r="F15" s="28"/>
      <c r="G15" s="28"/>
      <c r="H15" s="28"/>
      <c r="I15" s="28"/>
      <c r="J15" s="54"/>
    </row>
    <row r="16" spans="1:14">
      <c r="A16" s="26">
        <v>35810</v>
      </c>
      <c r="B16" s="28">
        <v>442</v>
      </c>
      <c r="C16" s="28">
        <v>605</v>
      </c>
      <c r="D16" s="52">
        <f t="shared" si="0"/>
        <v>73.057851239669418</v>
      </c>
      <c r="E16" s="72"/>
      <c r="F16" s="28"/>
      <c r="G16" s="28"/>
      <c r="H16" s="28"/>
      <c r="I16" s="28"/>
      <c r="J16" s="54"/>
    </row>
    <row r="17" spans="1:10">
      <c r="A17" s="27">
        <v>35811</v>
      </c>
      <c r="B17" s="29">
        <v>478</v>
      </c>
      <c r="C17" s="29">
        <v>811</v>
      </c>
      <c r="D17" s="55">
        <f t="shared" si="0"/>
        <v>58.939580764488284</v>
      </c>
      <c r="E17" s="73"/>
      <c r="F17" s="29"/>
      <c r="G17" s="29"/>
      <c r="H17" s="29"/>
      <c r="I17" s="29"/>
      <c r="J17" s="57"/>
    </row>
    <row r="18" spans="1:10">
      <c r="A18" s="27">
        <v>35815</v>
      </c>
      <c r="B18" s="29">
        <v>247</v>
      </c>
      <c r="C18" s="29">
        <v>546</v>
      </c>
      <c r="D18" s="55">
        <f t="shared" si="0"/>
        <v>45.238095238095241</v>
      </c>
      <c r="E18" s="73"/>
      <c r="F18" s="29"/>
      <c r="G18" s="29"/>
      <c r="H18" s="29"/>
      <c r="I18" s="29"/>
      <c r="J18" s="57"/>
    </row>
    <row r="19" spans="1:10">
      <c r="A19" s="26">
        <v>35816</v>
      </c>
      <c r="B19" s="28">
        <v>307</v>
      </c>
      <c r="C19" s="28">
        <v>437</v>
      </c>
      <c r="D19" s="52">
        <f t="shared" si="0"/>
        <v>70.251716247139584</v>
      </c>
      <c r="E19" s="72"/>
      <c r="F19" s="28"/>
      <c r="G19" s="28"/>
      <c r="H19" s="28"/>
      <c r="I19" s="28"/>
      <c r="J19" s="54"/>
    </row>
    <row r="20" spans="1:10">
      <c r="A20" s="26">
        <v>35817</v>
      </c>
      <c r="B20" s="28">
        <v>228</v>
      </c>
      <c r="C20" s="28">
        <v>368</v>
      </c>
      <c r="D20" s="52">
        <f t="shared" si="0"/>
        <v>61.95652173913043</v>
      </c>
      <c r="E20" s="72"/>
      <c r="F20" s="28"/>
      <c r="G20" s="28"/>
      <c r="H20" s="28"/>
      <c r="I20" s="28"/>
      <c r="J20" s="54"/>
    </row>
    <row r="21" spans="1:10">
      <c r="A21" s="27">
        <v>35818</v>
      </c>
      <c r="B21" s="29">
        <v>307</v>
      </c>
      <c r="C21" s="29">
        <v>341</v>
      </c>
      <c r="D21" s="55">
        <f t="shared" si="0"/>
        <v>90.029325513196483</v>
      </c>
      <c r="E21" s="73"/>
      <c r="F21" s="29"/>
      <c r="G21" s="29"/>
      <c r="H21" s="29"/>
      <c r="I21" s="29"/>
      <c r="J21" s="57"/>
    </row>
    <row r="22" spans="1:10">
      <c r="A22" s="27">
        <v>35821</v>
      </c>
      <c r="B22" s="29">
        <v>184</v>
      </c>
      <c r="C22" s="29">
        <v>249</v>
      </c>
      <c r="D22" s="55">
        <f t="shared" si="0"/>
        <v>73.895582329317264</v>
      </c>
      <c r="E22" s="73"/>
      <c r="F22" s="29"/>
      <c r="G22" s="29"/>
      <c r="H22" s="29"/>
      <c r="I22" s="29"/>
      <c r="J22" s="57"/>
    </row>
    <row r="23" spans="1:10">
      <c r="A23" s="26">
        <v>35822</v>
      </c>
      <c r="B23" s="28">
        <v>238</v>
      </c>
      <c r="C23" s="28">
        <v>413</v>
      </c>
      <c r="D23" s="52">
        <f t="shared" si="0"/>
        <v>57.627118644067799</v>
      </c>
      <c r="E23" s="72"/>
      <c r="F23" s="28"/>
      <c r="G23" s="28"/>
      <c r="H23" s="28"/>
      <c r="I23" s="28"/>
      <c r="J23" s="54"/>
    </row>
    <row r="24" spans="1:10">
      <c r="A24" s="26">
        <v>35823</v>
      </c>
      <c r="B24" s="28">
        <v>240</v>
      </c>
      <c r="C24" s="28">
        <v>449</v>
      </c>
      <c r="D24" s="52">
        <f t="shared" ref="D24:D39" si="1">B24/C24 * 100</f>
        <v>53.452115812917597</v>
      </c>
      <c r="E24" s="72"/>
      <c r="F24" s="28"/>
      <c r="G24" s="28"/>
      <c r="H24" s="28"/>
      <c r="I24" s="28"/>
      <c r="J24" s="54"/>
    </row>
    <row r="25" spans="1:10">
      <c r="A25" s="27">
        <v>35824</v>
      </c>
      <c r="B25" s="29">
        <v>285</v>
      </c>
      <c r="C25" s="29">
        <v>476</v>
      </c>
      <c r="D25" s="55">
        <f t="shared" si="1"/>
        <v>59.87394957983193</v>
      </c>
      <c r="E25" s="73"/>
      <c r="F25" s="29"/>
      <c r="G25" s="29"/>
      <c r="H25" s="29"/>
      <c r="I25" s="29"/>
      <c r="J25" s="57"/>
    </row>
    <row r="26" spans="1:10">
      <c r="A26" s="27">
        <v>35825</v>
      </c>
      <c r="B26" s="29">
        <v>196</v>
      </c>
      <c r="C26" s="29">
        <v>355</v>
      </c>
      <c r="D26" s="55">
        <f t="shared" si="1"/>
        <v>55.211267605633807</v>
      </c>
      <c r="E26" s="73"/>
      <c r="F26" s="29"/>
      <c r="G26" s="29"/>
      <c r="H26" s="29"/>
      <c r="I26" s="29"/>
      <c r="J26" s="57"/>
    </row>
    <row r="27" spans="1:10">
      <c r="A27" s="26">
        <v>35828</v>
      </c>
      <c r="B27" s="28">
        <v>263</v>
      </c>
      <c r="C27" s="28">
        <v>486</v>
      </c>
      <c r="D27" s="52">
        <f t="shared" si="1"/>
        <v>54.115226337448561</v>
      </c>
      <c r="E27" s="72"/>
      <c r="F27" s="28"/>
      <c r="G27" s="28"/>
      <c r="H27" s="28"/>
      <c r="I27" s="28"/>
      <c r="J27" s="54"/>
    </row>
    <row r="28" spans="1:10">
      <c r="A28" s="26">
        <v>35829</v>
      </c>
      <c r="B28" s="28">
        <v>266</v>
      </c>
      <c r="C28" s="28">
        <v>487</v>
      </c>
      <c r="D28" s="52">
        <f t="shared" si="1"/>
        <v>54.620123203285416</v>
      </c>
      <c r="E28" s="72"/>
      <c r="F28" s="28"/>
      <c r="G28" s="28"/>
      <c r="H28" s="28"/>
      <c r="I28" s="28"/>
      <c r="J28" s="54"/>
    </row>
    <row r="29" spans="1:10">
      <c r="A29" s="27">
        <v>35830</v>
      </c>
      <c r="B29" s="29">
        <v>258</v>
      </c>
      <c r="C29" s="29">
        <v>460</v>
      </c>
      <c r="D29" s="55">
        <f t="shared" si="1"/>
        <v>56.086956521739125</v>
      </c>
      <c r="E29" s="73"/>
      <c r="F29" s="29"/>
      <c r="G29" s="29"/>
      <c r="H29" s="29"/>
      <c r="I29" s="29"/>
      <c r="J29" s="57"/>
    </row>
    <row r="30" spans="1:10">
      <c r="A30" s="27">
        <v>35831</v>
      </c>
      <c r="B30" s="29">
        <v>331</v>
      </c>
      <c r="C30" s="29">
        <v>516</v>
      </c>
      <c r="D30" s="55">
        <f t="shared" si="1"/>
        <v>64.147286821705436</v>
      </c>
      <c r="E30" s="73"/>
      <c r="F30" s="29"/>
      <c r="G30" s="29"/>
      <c r="H30" s="29"/>
      <c r="I30" s="29"/>
      <c r="J30" s="57"/>
    </row>
    <row r="31" spans="1:10">
      <c r="A31" s="26">
        <v>35832</v>
      </c>
      <c r="B31" s="28">
        <v>253</v>
      </c>
      <c r="C31" s="28">
        <v>411</v>
      </c>
      <c r="D31" s="52">
        <f t="shared" si="1"/>
        <v>61.557177615571781</v>
      </c>
      <c r="E31" s="72"/>
      <c r="F31" s="28"/>
      <c r="G31" s="28"/>
      <c r="H31" s="28"/>
      <c r="I31" s="28"/>
      <c r="J31" s="54"/>
    </row>
    <row r="32" spans="1:10">
      <c r="A32" s="26">
        <v>35835</v>
      </c>
      <c r="B32" s="28">
        <v>203</v>
      </c>
      <c r="C32" s="28">
        <v>353</v>
      </c>
      <c r="D32" s="52">
        <f t="shared" si="1"/>
        <v>57.507082152974512</v>
      </c>
      <c r="E32" s="72"/>
      <c r="F32" s="28"/>
      <c r="G32" s="28"/>
      <c r="H32" s="28"/>
      <c r="I32" s="28"/>
      <c r="J32" s="54"/>
    </row>
    <row r="33" spans="1:10">
      <c r="A33" s="27">
        <v>35836</v>
      </c>
      <c r="B33" s="29">
        <v>312</v>
      </c>
      <c r="C33" s="29">
        <v>520</v>
      </c>
      <c r="D33" s="55">
        <f t="shared" si="1"/>
        <v>60</v>
      </c>
      <c r="E33" s="73"/>
      <c r="F33" s="29"/>
      <c r="G33" s="29"/>
      <c r="H33" s="29"/>
      <c r="I33" s="29"/>
      <c r="J33" s="57"/>
    </row>
    <row r="34" spans="1:10">
      <c r="A34" s="27">
        <v>35837</v>
      </c>
      <c r="B34" s="29">
        <v>258</v>
      </c>
      <c r="C34" s="29">
        <v>473</v>
      </c>
      <c r="D34" s="55">
        <f t="shared" si="1"/>
        <v>54.54545454545454</v>
      </c>
      <c r="E34" s="73"/>
      <c r="F34" s="29"/>
      <c r="G34" s="29"/>
      <c r="H34" s="29"/>
      <c r="I34" s="29"/>
      <c r="J34" s="57"/>
    </row>
    <row r="35" spans="1:10">
      <c r="A35" s="26">
        <v>35838</v>
      </c>
      <c r="B35" s="28">
        <v>291</v>
      </c>
      <c r="C35" s="28">
        <v>458</v>
      </c>
      <c r="D35" s="52">
        <f t="shared" si="1"/>
        <v>63.537117903930131</v>
      </c>
      <c r="E35" s="72"/>
      <c r="F35" s="28"/>
      <c r="G35" s="28"/>
      <c r="H35" s="28"/>
      <c r="I35" s="28"/>
      <c r="J35" s="54"/>
    </row>
    <row r="36" spans="1:10">
      <c r="A36" s="26">
        <v>35839</v>
      </c>
      <c r="B36" s="28">
        <v>270</v>
      </c>
      <c r="C36" s="28">
        <v>382</v>
      </c>
      <c r="D36" s="52">
        <f t="shared" si="1"/>
        <v>70.680628272251312</v>
      </c>
      <c r="E36" s="72"/>
      <c r="F36" s="28"/>
      <c r="G36" s="28"/>
      <c r="H36" s="28"/>
      <c r="I36" s="28"/>
      <c r="J36" s="54"/>
    </row>
    <row r="37" spans="1:10">
      <c r="A37" s="27">
        <v>35843</v>
      </c>
      <c r="B37" s="29">
        <v>323</v>
      </c>
      <c r="C37" s="29">
        <v>472</v>
      </c>
      <c r="D37" s="55">
        <f t="shared" si="1"/>
        <v>68.432203389830505</v>
      </c>
      <c r="E37" s="73"/>
      <c r="F37" s="29"/>
      <c r="G37" s="29"/>
      <c r="H37" s="29"/>
      <c r="I37" s="29"/>
      <c r="J37" s="57"/>
    </row>
    <row r="38" spans="1:10">
      <c r="A38" s="27">
        <v>35844</v>
      </c>
      <c r="B38" s="29">
        <v>366</v>
      </c>
      <c r="C38" s="29">
        <v>530</v>
      </c>
      <c r="D38" s="55">
        <f t="shared" si="1"/>
        <v>69.056603773584897</v>
      </c>
      <c r="E38" s="73"/>
      <c r="F38" s="29"/>
      <c r="G38" s="29"/>
      <c r="H38" s="29"/>
      <c r="I38" s="29"/>
      <c r="J38" s="57"/>
    </row>
    <row r="39" spans="1:10">
      <c r="A39" s="26">
        <v>35845</v>
      </c>
      <c r="B39" s="28">
        <v>381</v>
      </c>
      <c r="C39" s="28">
        <v>582</v>
      </c>
      <c r="D39" s="52">
        <f t="shared" si="1"/>
        <v>65.463917525773198</v>
      </c>
      <c r="E39" s="72"/>
      <c r="F39" s="28"/>
      <c r="G39" s="28"/>
      <c r="H39" s="28"/>
      <c r="I39" s="28"/>
      <c r="J39" s="54"/>
    </row>
    <row r="40" spans="1:10">
      <c r="A40" s="26">
        <v>35846</v>
      </c>
      <c r="B40" s="28">
        <v>420</v>
      </c>
      <c r="C40" s="28">
        <v>673</v>
      </c>
      <c r="D40" s="52">
        <f>B40/C40 * 100</f>
        <v>62.407132243684991</v>
      </c>
      <c r="E40" s="72"/>
      <c r="F40" s="28"/>
      <c r="G40" s="28"/>
      <c r="H40" s="28"/>
      <c r="I40" s="28"/>
      <c r="J40" s="54"/>
    </row>
    <row r="41" spans="1:10">
      <c r="A41" s="27">
        <v>35849</v>
      </c>
      <c r="B41" s="29">
        <v>256</v>
      </c>
      <c r="C41" s="29">
        <v>446</v>
      </c>
      <c r="D41" s="55">
        <f>B41/C41 * 100</f>
        <v>57.399103139013455</v>
      </c>
      <c r="E41" s="73"/>
      <c r="F41" s="29"/>
      <c r="G41" s="29"/>
      <c r="H41" s="29"/>
      <c r="I41" s="29"/>
      <c r="J41" s="57"/>
    </row>
    <row r="42" spans="1:10">
      <c r="A42" s="27">
        <v>35850</v>
      </c>
      <c r="B42" s="29">
        <v>247</v>
      </c>
      <c r="C42" s="29">
        <v>360</v>
      </c>
      <c r="D42" s="55">
        <f>B42/C42 * 100</f>
        <v>68.611111111111114</v>
      </c>
      <c r="E42" s="73"/>
      <c r="F42" s="29"/>
      <c r="G42" s="29"/>
      <c r="H42" s="29"/>
      <c r="I42" s="29"/>
      <c r="J42" s="57"/>
    </row>
    <row r="43" spans="1:10">
      <c r="A43" s="2"/>
      <c r="E43" s="2"/>
    </row>
    <row r="44" spans="1:10">
      <c r="A44" s="2"/>
      <c r="E44" s="2"/>
    </row>
    <row r="45" spans="1:10">
      <c r="A45" s="2" t="s">
        <v>63</v>
      </c>
      <c r="E45" s="2"/>
    </row>
    <row r="46" spans="1:10">
      <c r="A46" s="2"/>
      <c r="E46" s="2"/>
    </row>
    <row r="47" spans="1:10">
      <c r="A47" s="2"/>
      <c r="E47" s="2"/>
    </row>
    <row r="48" spans="1:10">
      <c r="A48" s="2"/>
      <c r="E48" s="2"/>
    </row>
    <row r="49" spans="1:5">
      <c r="A49" s="2"/>
      <c r="E49" s="2"/>
    </row>
    <row r="50" spans="1:5">
      <c r="A50" s="2"/>
      <c r="E50" s="2"/>
    </row>
    <row r="51" spans="1:5">
      <c r="A51" s="2"/>
      <c r="E51" s="2"/>
    </row>
    <row r="52" spans="1:5">
      <c r="A52" s="2"/>
      <c r="E52" s="2"/>
    </row>
    <row r="53" spans="1:5">
      <c r="A53" s="2"/>
      <c r="E53" s="2"/>
    </row>
    <row r="54" spans="1:5">
      <c r="A54" s="2"/>
      <c r="E54" s="2"/>
    </row>
    <row r="55" spans="1:5">
      <c r="A55" s="2"/>
      <c r="E55" s="2"/>
    </row>
    <row r="56" spans="1:5">
      <c r="A56" s="2"/>
      <c r="E56" s="2"/>
    </row>
    <row r="57" spans="1:5">
      <c r="A57" s="2"/>
      <c r="E57" s="2"/>
    </row>
    <row r="58" spans="1:5">
      <c r="A58" s="2"/>
      <c r="E58" s="2"/>
    </row>
    <row r="59" spans="1:5">
      <c r="A59" s="2"/>
      <c r="E59" s="2"/>
    </row>
    <row r="60" spans="1:5">
      <c r="A60" s="2"/>
      <c r="E60" s="2"/>
    </row>
    <row r="61" spans="1:5">
      <c r="A61" s="2"/>
      <c r="E61" s="2"/>
    </row>
    <row r="62" spans="1:5">
      <c r="A62" s="2"/>
      <c r="E62" s="2"/>
    </row>
    <row r="63" spans="1:5">
      <c r="A63" s="2"/>
      <c r="E63" s="2"/>
    </row>
    <row r="64" spans="1:5">
      <c r="A64" s="2"/>
      <c r="E64" s="2"/>
    </row>
    <row r="65" spans="1:5">
      <c r="A65" s="2"/>
      <c r="E65" s="2"/>
    </row>
    <row r="66" spans="1:5">
      <c r="A66" s="2"/>
      <c r="E66" s="2"/>
    </row>
    <row r="67" spans="1:5">
      <c r="A67" s="2"/>
      <c r="E67" s="2"/>
    </row>
    <row r="68" spans="1:5">
      <c r="A68" s="2"/>
      <c r="E68" s="2"/>
    </row>
    <row r="69" spans="1:5">
      <c r="A69" s="2"/>
      <c r="E69" s="2"/>
    </row>
    <row r="70" spans="1:5">
      <c r="A70" s="2"/>
      <c r="E70" s="2"/>
    </row>
    <row r="71" spans="1:5">
      <c r="A71" s="2"/>
      <c r="E71" s="2"/>
    </row>
    <row r="72" spans="1:5">
      <c r="A72" s="2"/>
      <c r="E72" s="2"/>
    </row>
    <row r="73" spans="1:5">
      <c r="A73" s="2"/>
      <c r="E73" s="2"/>
    </row>
    <row r="74" spans="1:5">
      <c r="A74" s="2"/>
      <c r="E74" s="2"/>
    </row>
    <row r="75" spans="1:5">
      <c r="A75" s="2"/>
      <c r="E75" s="2"/>
    </row>
    <row r="76" spans="1:5">
      <c r="A76" s="2"/>
      <c r="E76" s="2"/>
    </row>
    <row r="77" spans="1:5">
      <c r="A77" s="2"/>
      <c r="E77" s="2"/>
    </row>
    <row r="78" spans="1:5">
      <c r="A78" s="2"/>
      <c r="E78" s="2"/>
    </row>
    <row r="79" spans="1:5">
      <c r="A79" s="2"/>
      <c r="E79" s="2"/>
    </row>
    <row r="80" spans="1:5">
      <c r="A80" s="2"/>
      <c r="E80" s="2"/>
    </row>
    <row r="81" spans="1:5">
      <c r="A81" s="2"/>
      <c r="E81" s="2"/>
    </row>
    <row r="82" spans="1:5">
      <c r="A82" s="2"/>
      <c r="E82" s="2"/>
    </row>
    <row r="83" spans="1:5">
      <c r="A83" s="2"/>
      <c r="E83" s="2"/>
    </row>
    <row r="84" spans="1:5">
      <c r="A84" s="2"/>
      <c r="E84" s="2"/>
    </row>
    <row r="85" spans="1:5">
      <c r="A85" s="2"/>
      <c r="E85" s="2"/>
    </row>
    <row r="86" spans="1:5">
      <c r="A86" s="2"/>
      <c r="E86" s="2"/>
    </row>
    <row r="87" spans="1:5">
      <c r="A87" s="2"/>
      <c r="E87" s="2"/>
    </row>
    <row r="88" spans="1:5">
      <c r="A88" s="2"/>
      <c r="E88" s="2"/>
    </row>
    <row r="89" spans="1:5">
      <c r="A89" s="2"/>
      <c r="E89" s="2"/>
    </row>
    <row r="90" spans="1:5">
      <c r="A90" s="2"/>
      <c r="E90" s="2"/>
    </row>
    <row r="91" spans="1:5">
      <c r="A91" s="2"/>
      <c r="E91" s="2"/>
    </row>
    <row r="92" spans="1:5">
      <c r="A92" s="2"/>
      <c r="E92" s="2"/>
    </row>
    <row r="93" spans="1:5">
      <c r="A93" s="2"/>
      <c r="E93" s="2"/>
    </row>
    <row r="94" spans="1:5">
      <c r="A94" s="2"/>
      <c r="E94" s="2"/>
    </row>
    <row r="95" spans="1:5">
      <c r="A95" s="2"/>
      <c r="E95" s="2"/>
    </row>
    <row r="96" spans="1:5">
      <c r="A96" s="2"/>
      <c r="E96" s="2"/>
    </row>
    <row r="97" spans="1:5">
      <c r="A97" s="2"/>
      <c r="E97" s="2"/>
    </row>
    <row r="98" spans="1:5">
      <c r="A98" s="2"/>
      <c r="E98" s="2"/>
    </row>
    <row r="99" spans="1:5">
      <c r="A99" s="2"/>
      <c r="E99" s="2"/>
    </row>
    <row r="100" spans="1:5">
      <c r="A100" s="2"/>
      <c r="E100" s="2"/>
    </row>
    <row r="101" spans="1:5">
      <c r="A101" s="2"/>
      <c r="E101" s="2"/>
    </row>
    <row r="102" spans="1:5">
      <c r="A102" s="2"/>
      <c r="E102" s="2"/>
    </row>
    <row r="103" spans="1:5">
      <c r="A103" s="2"/>
      <c r="E103" s="2"/>
    </row>
    <row r="104" spans="1:5">
      <c r="A104" s="2"/>
      <c r="E104" s="2"/>
    </row>
    <row r="105" spans="1:5">
      <c r="A105" s="2"/>
      <c r="E105" s="2"/>
    </row>
    <row r="106" spans="1:5">
      <c r="A106" s="2"/>
      <c r="E106" s="2"/>
    </row>
    <row r="107" spans="1:5">
      <c r="A107" s="2"/>
      <c r="E107" s="2"/>
    </row>
    <row r="108" spans="1:5">
      <c r="A108" s="2"/>
      <c r="E108" s="2"/>
    </row>
    <row r="109" spans="1:5">
      <c r="A109" s="2"/>
      <c r="E109" s="2"/>
    </row>
    <row r="110" spans="1:5">
      <c r="A110" s="2"/>
      <c r="E110" s="2"/>
    </row>
    <row r="111" spans="1:5">
      <c r="A111" s="2"/>
      <c r="E111" s="2"/>
    </row>
    <row r="112" spans="1:5">
      <c r="A112" s="2"/>
      <c r="E112" s="2"/>
    </row>
    <row r="113" spans="1:5">
      <c r="A113" s="2"/>
      <c r="E113" s="2"/>
    </row>
    <row r="114" spans="1:5">
      <c r="A114" s="2"/>
      <c r="E114" s="2"/>
    </row>
    <row r="115" spans="1:5">
      <c r="A115" s="2"/>
      <c r="E115" s="2"/>
    </row>
    <row r="116" spans="1:5">
      <c r="A116" s="2"/>
      <c r="E116" s="2"/>
    </row>
    <row r="117" spans="1:5">
      <c r="A117" s="2"/>
      <c r="E117" s="2"/>
    </row>
    <row r="118" spans="1:5">
      <c r="A118" s="2"/>
      <c r="E118" s="2"/>
    </row>
    <row r="119" spans="1:5">
      <c r="A119" s="2"/>
      <c r="E119" s="2"/>
    </row>
    <row r="120" spans="1:5">
      <c r="A120" s="2"/>
      <c r="E120" s="2"/>
    </row>
    <row r="121" spans="1:5">
      <c r="A121" s="2"/>
      <c r="E121" s="2"/>
    </row>
    <row r="122" spans="1:5">
      <c r="A122" s="2"/>
      <c r="E122" s="2"/>
    </row>
    <row r="123" spans="1:5">
      <c r="A123" s="2"/>
      <c r="E123" s="2"/>
    </row>
    <row r="124" spans="1:5">
      <c r="A124" s="2"/>
      <c r="E124" s="2"/>
    </row>
    <row r="125" spans="1:5">
      <c r="A125" s="2"/>
      <c r="E125" s="2"/>
    </row>
    <row r="126" spans="1:5">
      <c r="A126" s="2"/>
      <c r="E126" s="2"/>
    </row>
    <row r="127" spans="1:5">
      <c r="A127" s="2"/>
      <c r="E127" s="2"/>
    </row>
    <row r="128" spans="1:5">
      <c r="A128" s="2"/>
      <c r="E128" s="2"/>
    </row>
    <row r="129" spans="1:5">
      <c r="A129" s="2"/>
      <c r="E129" s="2"/>
    </row>
    <row r="130" spans="1:5">
      <c r="A130" s="2"/>
      <c r="E130" s="2"/>
    </row>
    <row r="131" spans="1:5">
      <c r="A131" s="2"/>
      <c r="E131" s="2"/>
    </row>
  </sheetData>
  <mergeCells count="1">
    <mergeCell ref="B4:J4"/>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8435" r:id="rId3" name="Button 3">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18436"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8437"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8438"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enableFormatConditionsCalculation="0"/>
  <dimension ref="A1:N181"/>
  <sheetViews>
    <sheetView workbookViewId="0"/>
  </sheetViews>
  <sheetFormatPr baseColWidth="10" defaultColWidth="8.83203125" defaultRowHeight="12" x14ac:dyDescent="0"/>
  <cols>
    <col min="1" max="1" width="12" customWidth="1"/>
    <col min="4" max="4" width="11.33203125" customWidth="1"/>
    <col min="5" max="5" width="13.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612</v>
      </c>
      <c r="C3" s="21"/>
      <c r="D3" s="21"/>
      <c r="E3" s="21"/>
      <c r="F3" s="21"/>
      <c r="G3" s="21"/>
      <c r="H3" s="21"/>
      <c r="I3" s="21"/>
      <c r="J3" s="21"/>
    </row>
    <row r="4" spans="1:14">
      <c r="A4" s="19" t="s">
        <v>774</v>
      </c>
      <c r="B4" s="20" t="s">
        <v>844</v>
      </c>
      <c r="C4" s="21"/>
      <c r="D4" s="21"/>
      <c r="E4" s="21"/>
      <c r="F4" s="21"/>
      <c r="G4" s="21"/>
      <c r="H4" s="21"/>
      <c r="I4" s="21"/>
      <c r="J4" s="21"/>
    </row>
    <row r="5" spans="1:14" ht="16.5" customHeight="1">
      <c r="A5" s="118" t="s">
        <v>779</v>
      </c>
      <c r="B5" s="127" t="s">
        <v>1194</v>
      </c>
      <c r="C5" s="21"/>
      <c r="D5" s="21"/>
      <c r="E5" s="21"/>
      <c r="F5" s="21"/>
      <c r="G5" s="21"/>
      <c r="H5" s="21"/>
      <c r="I5" s="21"/>
      <c r="J5" s="21"/>
    </row>
    <row r="6" spans="1:14" ht="52.5" customHeight="1">
      <c r="A6" s="21"/>
      <c r="B6" s="21"/>
      <c r="C6" s="21"/>
      <c r="D6" s="21"/>
      <c r="E6" s="21"/>
      <c r="F6" s="21"/>
      <c r="G6" s="21"/>
      <c r="H6" s="21"/>
      <c r="I6" s="21"/>
      <c r="J6" s="21"/>
    </row>
    <row r="7" spans="1:14">
      <c r="A7" s="19" t="s">
        <v>635</v>
      </c>
      <c r="B7" s="20" t="s">
        <v>845</v>
      </c>
      <c r="C7" s="21"/>
      <c r="D7" s="21"/>
      <c r="E7" s="21"/>
      <c r="F7" s="21"/>
      <c r="G7" s="21"/>
      <c r="H7" s="21"/>
      <c r="I7" s="21"/>
      <c r="J7" s="21"/>
    </row>
    <row r="8" spans="1:14" s="1" customFormat="1" ht="28.5" customHeight="1">
      <c r="A8" s="22" t="s">
        <v>1090</v>
      </c>
      <c r="B8" s="22" t="s">
        <v>1206</v>
      </c>
      <c r="C8" s="22" t="s">
        <v>1098</v>
      </c>
      <c r="D8" s="31" t="s">
        <v>1197</v>
      </c>
      <c r="E8" s="31" t="s">
        <v>1198</v>
      </c>
      <c r="F8" s="31" t="s">
        <v>1199</v>
      </c>
      <c r="G8" s="22"/>
      <c r="H8" s="22"/>
      <c r="I8" s="22"/>
      <c r="J8" s="22"/>
    </row>
    <row r="9" spans="1:14">
      <c r="A9" s="26">
        <v>35797</v>
      </c>
      <c r="B9" s="100">
        <v>62.5625</v>
      </c>
      <c r="C9" s="100">
        <v>64.5625</v>
      </c>
      <c r="D9" s="100">
        <f>C9-B9</f>
        <v>2</v>
      </c>
      <c r="E9" s="100"/>
      <c r="F9" s="100"/>
      <c r="G9" s="28"/>
      <c r="H9" s="28"/>
      <c r="I9" s="28"/>
      <c r="J9" s="54"/>
      <c r="K9" s="2"/>
    </row>
    <row r="10" spans="1:14">
      <c r="A10" s="26">
        <v>35800</v>
      </c>
      <c r="B10" s="100">
        <v>64.625</v>
      </c>
      <c r="C10" s="100">
        <v>64.125</v>
      </c>
      <c r="D10" s="100">
        <f t="shared" ref="D10:D25" si="0">C10-B10</f>
        <v>-0.5</v>
      </c>
      <c r="E10" s="100"/>
      <c r="F10" s="100"/>
      <c r="G10" s="28"/>
      <c r="H10" s="28"/>
      <c r="I10" s="28"/>
      <c r="J10" s="54"/>
      <c r="K10" s="2"/>
    </row>
    <row r="11" spans="1:14">
      <c r="A11" s="27">
        <v>35801</v>
      </c>
      <c r="B11" s="99">
        <v>63.5625</v>
      </c>
      <c r="C11" s="99">
        <v>64.3125</v>
      </c>
      <c r="D11" s="99">
        <f t="shared" si="0"/>
        <v>0.75</v>
      </c>
      <c r="E11" s="99"/>
      <c r="F11" s="99"/>
      <c r="G11" s="29"/>
      <c r="H11" s="29"/>
      <c r="I11" s="29"/>
      <c r="J11" s="57"/>
      <c r="K11" s="2"/>
    </row>
    <row r="12" spans="1:14">
      <c r="A12" s="27">
        <v>35802</v>
      </c>
      <c r="B12" s="99">
        <v>63.9375</v>
      </c>
      <c r="C12" s="99">
        <v>64.875</v>
      </c>
      <c r="D12" s="99">
        <f t="shared" si="0"/>
        <v>0.9375</v>
      </c>
      <c r="E12" s="99"/>
      <c r="F12" s="99"/>
      <c r="G12" s="29"/>
      <c r="H12" s="29"/>
      <c r="I12" s="29"/>
      <c r="J12" s="57"/>
      <c r="K12" s="2"/>
    </row>
    <row r="13" spans="1:14">
      <c r="A13" s="26">
        <v>35803</v>
      </c>
      <c r="B13" s="100">
        <v>64.5</v>
      </c>
      <c r="C13" s="100">
        <v>65.1875</v>
      </c>
      <c r="D13" s="100">
        <f t="shared" si="0"/>
        <v>0.6875</v>
      </c>
      <c r="E13" s="100"/>
      <c r="F13" s="100"/>
      <c r="G13" s="28"/>
      <c r="H13" s="28"/>
      <c r="I13" s="28"/>
      <c r="J13" s="54"/>
      <c r="K13" s="2"/>
    </row>
    <row r="14" spans="1:14">
      <c r="A14" s="26">
        <v>35804</v>
      </c>
      <c r="B14" s="100">
        <v>65.1875</v>
      </c>
      <c r="C14" s="100">
        <v>62</v>
      </c>
      <c r="D14" s="100">
        <f t="shared" si="0"/>
        <v>-3.1875</v>
      </c>
      <c r="E14" s="100"/>
      <c r="F14" s="100"/>
      <c r="G14" s="28"/>
      <c r="H14" s="28"/>
      <c r="I14" s="28"/>
      <c r="J14" s="54"/>
      <c r="K14" s="2"/>
    </row>
    <row r="15" spans="1:14">
      <c r="A15" s="27">
        <v>35807</v>
      </c>
      <c r="B15" s="99">
        <v>60.5625</v>
      </c>
      <c r="C15" s="99">
        <v>62.1875</v>
      </c>
      <c r="D15" s="99">
        <f t="shared" si="0"/>
        <v>1.625</v>
      </c>
      <c r="E15" s="99"/>
      <c r="F15" s="99"/>
      <c r="G15" s="29"/>
      <c r="H15" s="29"/>
      <c r="I15" s="29"/>
      <c r="J15" s="57"/>
      <c r="K15" s="2"/>
    </row>
    <row r="16" spans="1:14">
      <c r="A16" s="27">
        <v>35808</v>
      </c>
      <c r="B16" s="99">
        <v>62.25</v>
      </c>
      <c r="C16" s="99">
        <v>63.875</v>
      </c>
      <c r="D16" s="99">
        <f t="shared" si="0"/>
        <v>1.625</v>
      </c>
      <c r="E16" s="99">
        <f>SUM(D9:D16)</f>
        <v>3.9375</v>
      </c>
      <c r="F16" s="99">
        <f>E16/8</f>
        <v>0.4921875</v>
      </c>
      <c r="G16" s="29"/>
      <c r="H16" s="29"/>
      <c r="I16" s="29"/>
      <c r="J16" s="57"/>
      <c r="K16" s="2"/>
    </row>
    <row r="17" spans="1:11">
      <c r="A17" s="26">
        <v>35809</v>
      </c>
      <c r="B17" s="100">
        <v>63.9375</v>
      </c>
      <c r="C17" s="100">
        <v>63</v>
      </c>
      <c r="D17" s="100">
        <f t="shared" si="0"/>
        <v>-0.9375</v>
      </c>
      <c r="E17" s="100">
        <f t="shared" ref="E17:E28" si="1">SUM(D10:D17)</f>
        <v>1</v>
      </c>
      <c r="F17" s="100">
        <f t="shared" ref="F17:F62" si="2">E17/8</f>
        <v>0.125</v>
      </c>
      <c r="G17" s="28"/>
      <c r="H17" s="28"/>
      <c r="I17" s="28"/>
      <c r="J17" s="54"/>
      <c r="K17" s="2"/>
    </row>
    <row r="18" spans="1:11">
      <c r="A18" s="26">
        <v>35810</v>
      </c>
      <c r="B18" s="100">
        <v>63</v>
      </c>
      <c r="C18" s="100">
        <v>64</v>
      </c>
      <c r="D18" s="100">
        <f t="shared" si="0"/>
        <v>1</v>
      </c>
      <c r="E18" s="100">
        <f t="shared" si="1"/>
        <v>2.5</v>
      </c>
      <c r="F18" s="100">
        <f t="shared" si="2"/>
        <v>0.3125</v>
      </c>
      <c r="G18" s="28"/>
      <c r="H18" s="28"/>
      <c r="I18" s="28"/>
      <c r="J18" s="54"/>
      <c r="K18" s="2"/>
    </row>
    <row r="19" spans="1:11">
      <c r="A19" s="27">
        <v>35811</v>
      </c>
      <c r="B19" s="99">
        <v>64.625</v>
      </c>
      <c r="C19" s="99">
        <v>63.75</v>
      </c>
      <c r="D19" s="99">
        <f t="shared" si="0"/>
        <v>-0.875</v>
      </c>
      <c r="E19" s="99">
        <f t="shared" si="1"/>
        <v>0.875</v>
      </c>
      <c r="F19" s="99">
        <f t="shared" si="2"/>
        <v>0.109375</v>
      </c>
      <c r="G19" s="29"/>
      <c r="H19" s="29"/>
      <c r="I19" s="29"/>
      <c r="J19" s="57"/>
      <c r="K19" s="2"/>
    </row>
    <row r="20" spans="1:11">
      <c r="A20" s="27">
        <v>35815</v>
      </c>
      <c r="B20" s="99">
        <v>63.9375</v>
      </c>
      <c r="C20" s="99">
        <v>64.0625</v>
      </c>
      <c r="D20" s="99">
        <f t="shared" si="0"/>
        <v>0.125</v>
      </c>
      <c r="E20" s="99">
        <f t="shared" si="1"/>
        <v>6.25E-2</v>
      </c>
      <c r="F20" s="99">
        <f t="shared" si="2"/>
        <v>7.8125E-3</v>
      </c>
      <c r="G20" s="29"/>
      <c r="H20" s="29"/>
      <c r="I20" s="29"/>
      <c r="J20" s="57"/>
      <c r="K20" s="2"/>
    </row>
    <row r="21" spans="1:11">
      <c r="A21" s="26">
        <v>35816</v>
      </c>
      <c r="B21" s="100">
        <v>63.0625</v>
      </c>
      <c r="C21" s="100">
        <v>63.0625</v>
      </c>
      <c r="D21" s="100">
        <f t="shared" si="0"/>
        <v>0</v>
      </c>
      <c r="E21" s="100">
        <f t="shared" si="1"/>
        <v>-0.625</v>
      </c>
      <c r="F21" s="100">
        <f t="shared" si="2"/>
        <v>-7.8125E-2</v>
      </c>
      <c r="G21" s="28"/>
      <c r="H21" s="28"/>
      <c r="I21" s="28"/>
      <c r="J21" s="54"/>
      <c r="K21" s="2"/>
    </row>
    <row r="22" spans="1:11">
      <c r="A22" s="26">
        <v>35817</v>
      </c>
      <c r="B22" s="100">
        <v>62.3125</v>
      </c>
      <c r="C22" s="100">
        <v>62.125</v>
      </c>
      <c r="D22" s="100">
        <f t="shared" si="0"/>
        <v>-0.1875</v>
      </c>
      <c r="E22" s="100">
        <f t="shared" si="1"/>
        <v>2.375</v>
      </c>
      <c r="F22" s="100">
        <f t="shared" si="2"/>
        <v>0.296875</v>
      </c>
      <c r="G22" s="28"/>
      <c r="H22" s="28"/>
      <c r="I22" s="28"/>
      <c r="J22" s="54"/>
      <c r="K22" s="2"/>
    </row>
    <row r="23" spans="1:11">
      <c r="A23" s="27">
        <v>35818</v>
      </c>
      <c r="B23" s="99">
        <v>62</v>
      </c>
      <c r="C23" s="99">
        <v>61.625</v>
      </c>
      <c r="D23" s="99">
        <f t="shared" si="0"/>
        <v>-0.375</v>
      </c>
      <c r="E23" s="99">
        <f t="shared" si="1"/>
        <v>0.375</v>
      </c>
      <c r="F23" s="99">
        <f t="shared" si="2"/>
        <v>4.6875E-2</v>
      </c>
      <c r="G23" s="29"/>
      <c r="H23" s="29"/>
      <c r="I23" s="29"/>
      <c r="J23" s="57"/>
      <c r="K23" s="2"/>
    </row>
    <row r="24" spans="1:11">
      <c r="A24" s="27">
        <v>35821</v>
      </c>
      <c r="B24" s="99">
        <v>61.625</v>
      </c>
      <c r="C24" s="99">
        <v>61.5</v>
      </c>
      <c r="D24" s="99">
        <f t="shared" si="0"/>
        <v>-0.125</v>
      </c>
      <c r="E24" s="99">
        <f t="shared" si="1"/>
        <v>-1.375</v>
      </c>
      <c r="F24" s="99">
        <f t="shared" si="2"/>
        <v>-0.171875</v>
      </c>
      <c r="G24" s="29"/>
      <c r="H24" s="29"/>
      <c r="I24" s="29"/>
      <c r="J24" s="57"/>
      <c r="K24" s="2"/>
    </row>
    <row r="25" spans="1:11">
      <c r="A25" s="26">
        <v>35822</v>
      </c>
      <c r="B25" s="100">
        <v>61.875</v>
      </c>
      <c r="C25" s="100">
        <v>63.375</v>
      </c>
      <c r="D25" s="100">
        <f t="shared" si="0"/>
        <v>1.5</v>
      </c>
      <c r="E25" s="100">
        <f t="shared" si="1"/>
        <v>1.0625</v>
      </c>
      <c r="F25" s="100">
        <f t="shared" si="2"/>
        <v>0.1328125</v>
      </c>
      <c r="G25" s="28"/>
      <c r="H25" s="28"/>
      <c r="I25" s="28"/>
      <c r="J25" s="54"/>
      <c r="K25" s="2"/>
    </row>
    <row r="26" spans="1:11">
      <c r="A26" s="26">
        <v>35823</v>
      </c>
      <c r="B26" s="100">
        <v>63.1875</v>
      </c>
      <c r="C26" s="100">
        <v>63.375</v>
      </c>
      <c r="D26" s="100">
        <f>C26-B26</f>
        <v>0.1875</v>
      </c>
      <c r="E26" s="100">
        <f t="shared" si="1"/>
        <v>0.25</v>
      </c>
      <c r="F26" s="100">
        <f t="shared" si="2"/>
        <v>3.125E-2</v>
      </c>
      <c r="G26" s="28"/>
      <c r="H26" s="28"/>
      <c r="I26" s="28"/>
      <c r="J26" s="54"/>
      <c r="K26" s="2"/>
    </row>
    <row r="27" spans="1:11">
      <c r="A27" s="27">
        <v>35824</v>
      </c>
      <c r="B27" s="99">
        <v>61</v>
      </c>
      <c r="C27" s="99">
        <v>60.5</v>
      </c>
      <c r="D27" s="99">
        <f>C27-B27</f>
        <v>-0.5</v>
      </c>
      <c r="E27" s="99">
        <f t="shared" si="1"/>
        <v>0.625</v>
      </c>
      <c r="F27" s="99">
        <f t="shared" si="2"/>
        <v>7.8125E-2</v>
      </c>
      <c r="G27" s="29"/>
      <c r="H27" s="29"/>
      <c r="I27" s="29"/>
      <c r="J27" s="57"/>
      <c r="K27" s="2"/>
    </row>
    <row r="28" spans="1:11">
      <c r="A28" s="27">
        <v>35825</v>
      </c>
      <c r="B28" s="99">
        <v>60.6875</v>
      </c>
      <c r="C28" s="99">
        <v>60.125</v>
      </c>
      <c r="D28" s="99">
        <f>C28-B28</f>
        <v>-0.5625</v>
      </c>
      <c r="E28" s="99">
        <f t="shared" si="1"/>
        <v>-6.25E-2</v>
      </c>
      <c r="F28" s="99">
        <f t="shared" si="2"/>
        <v>-7.8125E-3</v>
      </c>
      <c r="G28" s="29"/>
      <c r="H28" s="29"/>
      <c r="I28" s="29"/>
      <c r="J28" s="57"/>
      <c r="K28" s="2"/>
    </row>
    <row r="29" spans="1:11">
      <c r="A29" s="26">
        <v>35828</v>
      </c>
      <c r="B29" s="52">
        <v>60.8125</v>
      </c>
      <c r="C29" s="52">
        <v>61.75</v>
      </c>
      <c r="D29" s="52">
        <f t="shared" ref="D29:D62" si="3">C29-B29</f>
        <v>0.9375</v>
      </c>
      <c r="E29" s="52">
        <f t="shared" ref="E29:E62" si="4">SUM(D22:D29)</f>
        <v>0.875</v>
      </c>
      <c r="F29" s="52">
        <f t="shared" si="2"/>
        <v>0.109375</v>
      </c>
      <c r="G29" s="28"/>
      <c r="H29" s="28"/>
      <c r="I29" s="28"/>
      <c r="J29" s="54"/>
      <c r="K29" s="2"/>
    </row>
    <row r="30" spans="1:11">
      <c r="A30" s="26">
        <v>35829</v>
      </c>
      <c r="B30" s="52">
        <v>61.0625</v>
      </c>
      <c r="C30" s="52">
        <v>60.25</v>
      </c>
      <c r="D30" s="52">
        <f t="shared" si="3"/>
        <v>-0.8125</v>
      </c>
      <c r="E30" s="52">
        <f t="shared" si="4"/>
        <v>0.25</v>
      </c>
      <c r="F30" s="52">
        <f t="shared" si="2"/>
        <v>3.125E-2</v>
      </c>
      <c r="G30" s="28"/>
      <c r="H30" s="28"/>
      <c r="I30" s="28"/>
      <c r="J30" s="54"/>
      <c r="K30" s="2"/>
    </row>
    <row r="31" spans="1:11">
      <c r="A31" s="27">
        <v>35830</v>
      </c>
      <c r="B31" s="55">
        <v>60.0625</v>
      </c>
      <c r="C31" s="55">
        <v>60.5</v>
      </c>
      <c r="D31" s="55">
        <f t="shared" si="3"/>
        <v>0.4375</v>
      </c>
      <c r="E31" s="55">
        <f t="shared" si="4"/>
        <v>1.0625</v>
      </c>
      <c r="F31" s="55">
        <f t="shared" si="2"/>
        <v>0.1328125</v>
      </c>
      <c r="G31" s="29"/>
      <c r="H31" s="29"/>
      <c r="I31" s="29"/>
      <c r="J31" s="57"/>
      <c r="K31" s="2"/>
    </row>
    <row r="32" spans="1:11">
      <c r="A32" s="27">
        <v>35831</v>
      </c>
      <c r="B32" s="55">
        <v>61.6875</v>
      </c>
      <c r="C32" s="55">
        <v>61.6875</v>
      </c>
      <c r="D32" s="55">
        <f t="shared" si="3"/>
        <v>0</v>
      </c>
      <c r="E32" s="55">
        <f t="shared" si="4"/>
        <v>1.1875</v>
      </c>
      <c r="F32" s="55">
        <f t="shared" si="2"/>
        <v>0.1484375</v>
      </c>
      <c r="G32" s="29"/>
      <c r="H32" s="29"/>
      <c r="I32" s="29"/>
      <c r="J32" s="57"/>
      <c r="K32" s="2"/>
    </row>
    <row r="33" spans="1:11">
      <c r="A33" s="26">
        <v>35832</v>
      </c>
      <c r="B33" s="52">
        <v>61.3125</v>
      </c>
      <c r="C33" s="52">
        <v>62.125</v>
      </c>
      <c r="D33" s="52">
        <f t="shared" si="3"/>
        <v>0.8125</v>
      </c>
      <c r="E33" s="52">
        <f t="shared" si="4"/>
        <v>0.5</v>
      </c>
      <c r="F33" s="52">
        <f t="shared" si="2"/>
        <v>6.25E-2</v>
      </c>
      <c r="G33" s="28"/>
      <c r="H33" s="28"/>
      <c r="I33" s="28"/>
      <c r="J33" s="54"/>
      <c r="K33" s="2"/>
    </row>
    <row r="34" spans="1:11">
      <c r="A34" s="26">
        <v>35835</v>
      </c>
      <c r="B34" s="52">
        <v>61.8125</v>
      </c>
      <c r="C34" s="52">
        <v>61.3125</v>
      </c>
      <c r="D34" s="52">
        <f t="shared" si="3"/>
        <v>-0.5</v>
      </c>
      <c r="E34" s="52">
        <f t="shared" si="4"/>
        <v>-0.1875</v>
      </c>
      <c r="F34" s="52">
        <f t="shared" si="2"/>
        <v>-2.34375E-2</v>
      </c>
      <c r="G34" s="28"/>
      <c r="H34" s="28"/>
      <c r="I34" s="28"/>
      <c r="J34" s="54"/>
      <c r="K34" s="2"/>
    </row>
    <row r="35" spans="1:11">
      <c r="A35" s="27">
        <v>35836</v>
      </c>
      <c r="B35" s="55">
        <v>62.4375</v>
      </c>
      <c r="C35" s="55">
        <v>63.375</v>
      </c>
      <c r="D35" s="55">
        <f t="shared" si="3"/>
        <v>0.9375</v>
      </c>
      <c r="E35" s="55">
        <f t="shared" si="4"/>
        <v>1.25</v>
      </c>
      <c r="F35" s="55">
        <f t="shared" si="2"/>
        <v>0.15625</v>
      </c>
      <c r="G35" s="29"/>
      <c r="H35" s="29"/>
      <c r="I35" s="29"/>
      <c r="J35" s="57"/>
      <c r="K35" s="2"/>
    </row>
    <row r="36" spans="1:11">
      <c r="A36" s="27">
        <v>35837</v>
      </c>
      <c r="B36" s="55">
        <v>63.1875</v>
      </c>
      <c r="C36" s="55">
        <v>62.5</v>
      </c>
      <c r="D36" s="55">
        <f t="shared" si="3"/>
        <v>-0.6875</v>
      </c>
      <c r="E36" s="55">
        <f t="shared" si="4"/>
        <v>1.125</v>
      </c>
      <c r="F36" s="55">
        <f t="shared" si="2"/>
        <v>0.140625</v>
      </c>
      <c r="G36" s="29"/>
      <c r="H36" s="29"/>
      <c r="I36" s="29"/>
      <c r="J36" s="57"/>
      <c r="K36" s="2"/>
    </row>
    <row r="37" spans="1:11">
      <c r="A37" s="26">
        <v>35838</v>
      </c>
      <c r="B37" s="52">
        <v>62.125</v>
      </c>
      <c r="C37" s="52">
        <v>62.375</v>
      </c>
      <c r="D37" s="52">
        <f t="shared" si="3"/>
        <v>0.25</v>
      </c>
      <c r="E37" s="52">
        <f t="shared" si="4"/>
        <v>0.4375</v>
      </c>
      <c r="F37" s="52">
        <f t="shared" si="2"/>
        <v>5.46875E-2</v>
      </c>
      <c r="G37" s="28"/>
      <c r="H37" s="28"/>
      <c r="I37" s="28"/>
      <c r="J37" s="54"/>
      <c r="K37" s="2"/>
    </row>
    <row r="38" spans="1:11">
      <c r="A38" s="26">
        <v>35839</v>
      </c>
      <c r="B38" s="52">
        <v>61.8125</v>
      </c>
      <c r="C38" s="52">
        <v>61.875</v>
      </c>
      <c r="D38" s="52">
        <f t="shared" si="3"/>
        <v>6.25E-2</v>
      </c>
      <c r="E38" s="52">
        <f t="shared" si="4"/>
        <v>1.3125</v>
      </c>
      <c r="F38" s="52">
        <f t="shared" si="2"/>
        <v>0.1640625</v>
      </c>
      <c r="G38" s="28"/>
      <c r="H38" s="28"/>
      <c r="I38" s="28"/>
      <c r="J38" s="54"/>
      <c r="K38" s="2"/>
    </row>
    <row r="39" spans="1:11">
      <c r="A39" s="27">
        <v>35843</v>
      </c>
      <c r="B39" s="55">
        <v>62.875</v>
      </c>
      <c r="C39" s="55">
        <v>61.625</v>
      </c>
      <c r="D39" s="55">
        <f t="shared" si="3"/>
        <v>-1.25</v>
      </c>
      <c r="E39" s="55">
        <f t="shared" si="4"/>
        <v>-0.375</v>
      </c>
      <c r="F39" s="55">
        <f t="shared" si="2"/>
        <v>-4.6875E-2</v>
      </c>
      <c r="G39" s="29"/>
      <c r="H39" s="29"/>
      <c r="I39" s="29"/>
      <c r="J39" s="57"/>
      <c r="K39" s="2"/>
    </row>
    <row r="40" spans="1:11">
      <c r="A40" s="27">
        <v>35844</v>
      </c>
      <c r="B40" s="55">
        <v>61.5</v>
      </c>
      <c r="C40" s="55">
        <v>63.125</v>
      </c>
      <c r="D40" s="55">
        <f t="shared" si="3"/>
        <v>1.625</v>
      </c>
      <c r="E40" s="55">
        <f t="shared" si="4"/>
        <v>1.25</v>
      </c>
      <c r="F40" s="55">
        <f t="shared" si="2"/>
        <v>0.15625</v>
      </c>
      <c r="G40" s="29"/>
      <c r="H40" s="29"/>
      <c r="I40" s="29"/>
      <c r="J40" s="57"/>
      <c r="K40" s="2"/>
    </row>
    <row r="41" spans="1:11">
      <c r="A41" s="26">
        <v>35845</v>
      </c>
      <c r="B41" s="52">
        <v>63.6875</v>
      </c>
      <c r="C41" s="52">
        <v>64.9375</v>
      </c>
      <c r="D41" s="52">
        <f t="shared" si="3"/>
        <v>1.25</v>
      </c>
      <c r="E41" s="52">
        <f t="shared" si="4"/>
        <v>1.6875</v>
      </c>
      <c r="F41" s="52">
        <f t="shared" si="2"/>
        <v>0.2109375</v>
      </c>
      <c r="G41" s="28"/>
      <c r="H41" s="28"/>
      <c r="I41" s="28"/>
      <c r="J41" s="54"/>
      <c r="K41" s="2"/>
    </row>
    <row r="42" spans="1:11">
      <c r="A42" s="26">
        <v>35846</v>
      </c>
      <c r="B42" s="52">
        <v>64.5</v>
      </c>
      <c r="C42" s="52">
        <v>64.9375</v>
      </c>
      <c r="D42" s="52">
        <f t="shared" si="3"/>
        <v>0.4375</v>
      </c>
      <c r="E42" s="52">
        <f t="shared" si="4"/>
        <v>2.625</v>
      </c>
      <c r="F42" s="52">
        <f t="shared" si="2"/>
        <v>0.328125</v>
      </c>
      <c r="G42" s="28"/>
      <c r="H42" s="28"/>
      <c r="I42" s="28"/>
      <c r="J42" s="54"/>
      <c r="K42" s="2"/>
    </row>
    <row r="43" spans="1:11">
      <c r="A43" s="27">
        <v>35849</v>
      </c>
      <c r="B43" s="55">
        <v>65.1875</v>
      </c>
      <c r="C43" s="55">
        <v>64.375</v>
      </c>
      <c r="D43" s="55">
        <f t="shared" si="3"/>
        <v>-0.8125</v>
      </c>
      <c r="E43" s="55">
        <f t="shared" si="4"/>
        <v>0.875</v>
      </c>
      <c r="F43" s="55">
        <f t="shared" si="2"/>
        <v>0.109375</v>
      </c>
      <c r="G43" s="29"/>
      <c r="H43" s="29"/>
      <c r="I43" s="29"/>
      <c r="J43" s="57"/>
      <c r="K43" s="2"/>
    </row>
    <row r="44" spans="1:11">
      <c r="A44" s="27">
        <v>35850</v>
      </c>
      <c r="B44" s="55">
        <v>64.25</v>
      </c>
      <c r="C44" s="55">
        <v>62.5625</v>
      </c>
      <c r="D44" s="55">
        <f t="shared" si="3"/>
        <v>-1.6875</v>
      </c>
      <c r="E44" s="55">
        <f t="shared" si="4"/>
        <v>-0.125</v>
      </c>
      <c r="F44" s="55">
        <f t="shared" si="2"/>
        <v>-1.5625E-2</v>
      </c>
      <c r="G44" s="29"/>
      <c r="H44" s="29"/>
      <c r="I44" s="29"/>
      <c r="J44" s="57"/>
      <c r="K44" s="2"/>
    </row>
    <row r="45" spans="1:11">
      <c r="A45" s="26">
        <v>35851</v>
      </c>
      <c r="B45" s="52">
        <v>63.4375</v>
      </c>
      <c r="C45" s="52">
        <v>64.625</v>
      </c>
      <c r="D45" s="52">
        <f t="shared" si="3"/>
        <v>1.1875</v>
      </c>
      <c r="E45" s="52">
        <f t="shared" si="4"/>
        <v>0.8125</v>
      </c>
      <c r="F45" s="52">
        <f t="shared" si="2"/>
        <v>0.1015625</v>
      </c>
      <c r="G45" s="28"/>
      <c r="H45" s="28"/>
      <c r="I45" s="28"/>
      <c r="J45" s="54"/>
      <c r="K45" s="2"/>
    </row>
    <row r="46" spans="1:11">
      <c r="A46" s="26">
        <v>35852</v>
      </c>
      <c r="B46" s="52">
        <v>64.6875</v>
      </c>
      <c r="C46" s="52">
        <v>65</v>
      </c>
      <c r="D46" s="52">
        <f t="shared" si="3"/>
        <v>0.3125</v>
      </c>
      <c r="E46" s="52">
        <f t="shared" si="4"/>
        <v>1.0625</v>
      </c>
      <c r="F46" s="52">
        <f t="shared" si="2"/>
        <v>0.1328125</v>
      </c>
      <c r="G46" s="28"/>
      <c r="H46" s="28"/>
      <c r="I46" s="28"/>
      <c r="J46" s="54"/>
      <c r="K46" s="2"/>
    </row>
    <row r="47" spans="1:11">
      <c r="A47" s="27">
        <v>35853</v>
      </c>
      <c r="B47" s="55">
        <v>66.8125</v>
      </c>
      <c r="C47" s="55">
        <v>67</v>
      </c>
      <c r="D47" s="55">
        <f t="shared" si="3"/>
        <v>0.1875</v>
      </c>
      <c r="E47" s="55">
        <f t="shared" si="4"/>
        <v>2.5</v>
      </c>
      <c r="F47" s="55">
        <f t="shared" si="2"/>
        <v>0.3125</v>
      </c>
      <c r="G47" s="29"/>
      <c r="H47" s="29"/>
      <c r="I47" s="29"/>
      <c r="J47" s="57"/>
      <c r="K47" s="2"/>
    </row>
    <row r="48" spans="1:11">
      <c r="A48" s="27">
        <v>35856</v>
      </c>
      <c r="B48" s="55">
        <v>67.125</v>
      </c>
      <c r="C48" s="55">
        <v>65.25</v>
      </c>
      <c r="D48" s="55">
        <f t="shared" si="3"/>
        <v>-1.875</v>
      </c>
      <c r="E48" s="55">
        <f t="shared" si="4"/>
        <v>-1</v>
      </c>
      <c r="F48" s="55">
        <f t="shared" si="2"/>
        <v>-0.125</v>
      </c>
      <c r="G48" s="29"/>
      <c r="H48" s="29"/>
      <c r="I48" s="29"/>
      <c r="J48" s="57"/>
      <c r="K48" s="2"/>
    </row>
    <row r="49" spans="1:11">
      <c r="A49" s="26">
        <v>35857</v>
      </c>
      <c r="B49" s="52">
        <v>64.375</v>
      </c>
      <c r="C49" s="52">
        <v>64.5</v>
      </c>
      <c r="D49" s="52">
        <f t="shared" si="3"/>
        <v>0.125</v>
      </c>
      <c r="E49" s="52">
        <f t="shared" si="4"/>
        <v>-2.125</v>
      </c>
      <c r="F49" s="52">
        <f t="shared" si="2"/>
        <v>-0.265625</v>
      </c>
      <c r="G49" s="28"/>
      <c r="H49" s="28"/>
      <c r="I49" s="28"/>
      <c r="J49" s="54"/>
      <c r="K49" s="2"/>
    </row>
    <row r="50" spans="1:11">
      <c r="A50" s="26">
        <v>35858</v>
      </c>
      <c r="B50" s="52">
        <v>64.375</v>
      </c>
      <c r="C50" s="52">
        <v>62.5</v>
      </c>
      <c r="D50" s="52">
        <f t="shared" si="3"/>
        <v>-1.875</v>
      </c>
      <c r="E50" s="52">
        <f t="shared" si="4"/>
        <v>-4.4375</v>
      </c>
      <c r="F50" s="52">
        <f t="shared" si="2"/>
        <v>-0.5546875</v>
      </c>
      <c r="G50" s="28"/>
      <c r="H50" s="28"/>
      <c r="I50" s="28"/>
      <c r="J50" s="54"/>
      <c r="K50" s="2"/>
    </row>
    <row r="51" spans="1:11">
      <c r="A51" s="27">
        <v>35859</v>
      </c>
      <c r="B51" s="55">
        <v>63</v>
      </c>
      <c r="C51" s="55">
        <v>61.9375</v>
      </c>
      <c r="D51" s="55">
        <f t="shared" si="3"/>
        <v>-1.0625</v>
      </c>
      <c r="E51" s="55">
        <f t="shared" si="4"/>
        <v>-4.6875</v>
      </c>
      <c r="F51" s="55">
        <f t="shared" si="2"/>
        <v>-0.5859375</v>
      </c>
      <c r="G51" s="29"/>
      <c r="H51" s="29"/>
      <c r="I51" s="29"/>
      <c r="J51" s="57"/>
      <c r="K51" s="2"/>
    </row>
    <row r="52" spans="1:11">
      <c r="A52" s="27">
        <v>35860</v>
      </c>
      <c r="B52" s="55">
        <v>61.25</v>
      </c>
      <c r="C52" s="55">
        <v>61.5625</v>
      </c>
      <c r="D52" s="55">
        <f t="shared" si="3"/>
        <v>0.3125</v>
      </c>
      <c r="E52" s="55">
        <f t="shared" si="4"/>
        <v>-2.6875</v>
      </c>
      <c r="F52" s="55">
        <f t="shared" si="2"/>
        <v>-0.3359375</v>
      </c>
      <c r="G52" s="29"/>
      <c r="H52" s="29"/>
      <c r="I52" s="29"/>
      <c r="J52" s="57"/>
      <c r="K52" s="2"/>
    </row>
    <row r="53" spans="1:11">
      <c r="A53" s="26">
        <v>35863</v>
      </c>
      <c r="B53" s="52">
        <v>60.8125</v>
      </c>
      <c r="C53" s="52">
        <v>60.25</v>
      </c>
      <c r="D53" s="52">
        <f t="shared" si="3"/>
        <v>-0.5625</v>
      </c>
      <c r="E53" s="52">
        <f t="shared" si="4"/>
        <v>-4.4375</v>
      </c>
      <c r="F53" s="52">
        <f t="shared" si="2"/>
        <v>-0.5546875</v>
      </c>
      <c r="G53" s="28"/>
      <c r="H53" s="28"/>
      <c r="I53" s="28"/>
      <c r="J53" s="54"/>
      <c r="K53" s="2"/>
    </row>
    <row r="54" spans="1:11">
      <c r="A54" s="26">
        <v>35864</v>
      </c>
      <c r="B54" s="52">
        <v>60.5</v>
      </c>
      <c r="C54" s="52">
        <v>61.5</v>
      </c>
      <c r="D54" s="52">
        <f t="shared" si="3"/>
        <v>1</v>
      </c>
      <c r="E54" s="52">
        <f t="shared" si="4"/>
        <v>-3.75</v>
      </c>
      <c r="F54" s="52">
        <f t="shared" si="2"/>
        <v>-0.46875</v>
      </c>
      <c r="G54" s="28"/>
      <c r="H54" s="28"/>
      <c r="I54" s="28"/>
      <c r="J54" s="54"/>
      <c r="K54" s="2"/>
    </row>
    <row r="55" spans="1:11">
      <c r="A55" s="27">
        <v>35865</v>
      </c>
      <c r="B55" s="55">
        <v>61.75</v>
      </c>
      <c r="C55" s="55">
        <v>60.625</v>
      </c>
      <c r="D55" s="55">
        <f t="shared" si="3"/>
        <v>-1.125</v>
      </c>
      <c r="E55" s="55">
        <f t="shared" si="4"/>
        <v>-5.0625</v>
      </c>
      <c r="F55" s="55">
        <f t="shared" si="2"/>
        <v>-0.6328125</v>
      </c>
      <c r="G55" s="29"/>
      <c r="H55" s="29"/>
      <c r="I55" s="29"/>
      <c r="J55" s="57"/>
      <c r="K55" s="2"/>
    </row>
    <row r="56" spans="1:11">
      <c r="A56" s="27">
        <v>35866</v>
      </c>
      <c r="B56" s="55">
        <v>60.5625</v>
      </c>
      <c r="C56" s="55">
        <v>61.875</v>
      </c>
      <c r="D56" s="55">
        <f t="shared" si="3"/>
        <v>1.3125</v>
      </c>
      <c r="E56" s="55">
        <f t="shared" si="4"/>
        <v>-1.875</v>
      </c>
      <c r="F56" s="55">
        <f t="shared" si="2"/>
        <v>-0.234375</v>
      </c>
      <c r="G56" s="29"/>
      <c r="H56" s="29"/>
      <c r="I56" s="29"/>
      <c r="J56" s="57"/>
      <c r="K56" s="2"/>
    </row>
    <row r="57" spans="1:11">
      <c r="A57" s="26">
        <v>35867</v>
      </c>
      <c r="B57" s="52">
        <v>62.0625</v>
      </c>
      <c r="C57" s="52">
        <v>61.75</v>
      </c>
      <c r="D57" s="52">
        <f t="shared" si="3"/>
        <v>-0.3125</v>
      </c>
      <c r="E57" s="52">
        <f t="shared" si="4"/>
        <v>-2.3125</v>
      </c>
      <c r="F57" s="52">
        <f t="shared" si="2"/>
        <v>-0.2890625</v>
      </c>
      <c r="G57" s="28"/>
      <c r="H57" s="28"/>
      <c r="I57" s="28"/>
      <c r="J57" s="54"/>
      <c r="K57" s="2"/>
    </row>
    <row r="58" spans="1:11">
      <c r="A58" s="26">
        <v>35870</v>
      </c>
      <c r="B58" s="52">
        <v>62.0625</v>
      </c>
      <c r="C58" s="52">
        <v>62.1875</v>
      </c>
      <c r="D58" s="52">
        <f t="shared" si="3"/>
        <v>0.125</v>
      </c>
      <c r="E58" s="52">
        <f t="shared" si="4"/>
        <v>-0.3125</v>
      </c>
      <c r="F58" s="52">
        <f t="shared" si="2"/>
        <v>-3.90625E-2</v>
      </c>
      <c r="G58" s="28"/>
      <c r="H58" s="28"/>
      <c r="I58" s="28"/>
      <c r="J58" s="54"/>
      <c r="K58" s="2"/>
    </row>
    <row r="59" spans="1:11">
      <c r="A59" s="27">
        <v>35871</v>
      </c>
      <c r="B59" s="55">
        <v>62.1875</v>
      </c>
      <c r="C59" s="55">
        <v>61.4375</v>
      </c>
      <c r="D59" s="55">
        <f t="shared" si="3"/>
        <v>-0.75</v>
      </c>
      <c r="E59" s="55">
        <f t="shared" si="4"/>
        <v>0</v>
      </c>
      <c r="F59" s="55">
        <f t="shared" si="2"/>
        <v>0</v>
      </c>
      <c r="G59" s="29"/>
      <c r="H59" s="29"/>
      <c r="I59" s="29"/>
      <c r="J59" s="57"/>
      <c r="K59" s="2"/>
    </row>
    <row r="60" spans="1:11">
      <c r="A60" s="27">
        <v>35872</v>
      </c>
      <c r="B60" s="55">
        <v>61.9375</v>
      </c>
      <c r="C60" s="55">
        <v>62.625</v>
      </c>
      <c r="D60" s="55">
        <f t="shared" si="3"/>
        <v>0.6875</v>
      </c>
      <c r="E60" s="55">
        <f t="shared" si="4"/>
        <v>0.375</v>
      </c>
      <c r="F60" s="55">
        <f t="shared" si="2"/>
        <v>4.6875E-2</v>
      </c>
      <c r="G60" s="29"/>
      <c r="H60" s="29"/>
      <c r="I60" s="29"/>
      <c r="J60" s="57"/>
      <c r="K60" s="2"/>
    </row>
    <row r="61" spans="1:11">
      <c r="A61" s="26">
        <v>35873</v>
      </c>
      <c r="B61" s="52">
        <v>63</v>
      </c>
      <c r="C61" s="52">
        <v>62.8125</v>
      </c>
      <c r="D61" s="52">
        <f t="shared" si="3"/>
        <v>-0.1875</v>
      </c>
      <c r="E61" s="52">
        <f t="shared" si="4"/>
        <v>0.75</v>
      </c>
      <c r="F61" s="52">
        <f t="shared" si="2"/>
        <v>9.375E-2</v>
      </c>
      <c r="G61" s="28"/>
      <c r="H61" s="28"/>
      <c r="I61" s="28"/>
      <c r="J61" s="54"/>
      <c r="K61" s="2"/>
    </row>
    <row r="62" spans="1:11">
      <c r="A62" s="26">
        <v>35874</v>
      </c>
      <c r="B62" s="52">
        <v>64</v>
      </c>
      <c r="C62" s="52">
        <v>62.8125</v>
      </c>
      <c r="D62" s="52">
        <f t="shared" si="3"/>
        <v>-1.1875</v>
      </c>
      <c r="E62" s="52">
        <f t="shared" si="4"/>
        <v>-1.4375</v>
      </c>
      <c r="F62" s="52">
        <f t="shared" si="2"/>
        <v>-0.1796875</v>
      </c>
      <c r="G62" s="28"/>
      <c r="H62" s="28"/>
      <c r="I62" s="28"/>
      <c r="J62" s="54"/>
      <c r="K62" s="2"/>
    </row>
    <row r="63" spans="1:11">
      <c r="K63" s="2"/>
    </row>
    <row r="64" spans="1:11">
      <c r="K64" s="2"/>
    </row>
    <row r="65" spans="1:11" ht="15">
      <c r="A65" s="241" t="s">
        <v>581</v>
      </c>
      <c r="K65" s="2"/>
    </row>
    <row r="66" spans="1:11" ht="15">
      <c r="A66" s="241" t="s">
        <v>1195</v>
      </c>
      <c r="K66" s="2"/>
    </row>
    <row r="67" spans="1:11" ht="16.5" customHeight="1">
      <c r="A67" s="241" t="s">
        <v>1196</v>
      </c>
      <c r="K67" s="2"/>
    </row>
    <row r="68" spans="1:11">
      <c r="K68" s="2"/>
    </row>
    <row r="69" spans="1:11">
      <c r="K69" s="2"/>
    </row>
    <row r="70" spans="1:11">
      <c r="K70" s="2"/>
    </row>
    <row r="71" spans="1:11">
      <c r="K71" s="2"/>
    </row>
    <row r="72" spans="1:11">
      <c r="K72" s="2"/>
    </row>
    <row r="73" spans="1:11">
      <c r="K73" s="2"/>
    </row>
    <row r="74" spans="1:11">
      <c r="K74" s="2"/>
    </row>
    <row r="75" spans="1:11">
      <c r="K75" s="2"/>
    </row>
    <row r="76" spans="1:11">
      <c r="K76" s="2"/>
    </row>
    <row r="77" spans="1:11">
      <c r="K77" s="2"/>
    </row>
    <row r="78" spans="1:11">
      <c r="K78" s="2"/>
    </row>
    <row r="79" spans="1:11">
      <c r="K79" s="2"/>
    </row>
    <row r="80" spans="1:11">
      <c r="K80" s="2"/>
    </row>
    <row r="81" spans="11:11">
      <c r="K81" s="2"/>
    </row>
    <row r="82" spans="11:11">
      <c r="K82" s="2"/>
    </row>
    <row r="83" spans="11:11">
      <c r="K83" s="2"/>
    </row>
    <row r="84" spans="11:11">
      <c r="K84" s="2"/>
    </row>
    <row r="85" spans="11:11">
      <c r="K85" s="2"/>
    </row>
    <row r="86" spans="11:11">
      <c r="K86" s="2"/>
    </row>
    <row r="87" spans="11:11">
      <c r="K87" s="2"/>
    </row>
    <row r="88" spans="11:11">
      <c r="K88" s="2"/>
    </row>
    <row r="89" spans="11:11">
      <c r="K89" s="2"/>
    </row>
    <row r="90" spans="11:11">
      <c r="K90" s="2"/>
    </row>
    <row r="91" spans="11:11">
      <c r="K91" s="2"/>
    </row>
    <row r="92" spans="11:11">
      <c r="K92" s="2"/>
    </row>
    <row r="93" spans="11:11">
      <c r="K93" s="2"/>
    </row>
    <row r="94" spans="11:11">
      <c r="K94" s="2"/>
    </row>
    <row r="95" spans="11:11">
      <c r="K95" s="2"/>
    </row>
    <row r="96" spans="11:11">
      <c r="K96" s="2"/>
    </row>
    <row r="97" spans="11:11">
      <c r="K97" s="2"/>
    </row>
    <row r="98" spans="11:11">
      <c r="K98" s="2"/>
    </row>
    <row r="99" spans="11:11">
      <c r="K99" s="2"/>
    </row>
    <row r="100" spans="11:11">
      <c r="K100" s="2"/>
    </row>
    <row r="101" spans="11:11">
      <c r="K101" s="2"/>
    </row>
    <row r="102" spans="11:11">
      <c r="K102" s="2"/>
    </row>
    <row r="103" spans="11:11">
      <c r="K103" s="2"/>
    </row>
    <row r="104" spans="11:11">
      <c r="K104" s="2"/>
    </row>
    <row r="105" spans="11:11">
      <c r="K105" s="2"/>
    </row>
    <row r="106" spans="11:11">
      <c r="K106" s="2"/>
    </row>
    <row r="107" spans="11:11">
      <c r="K107" s="2"/>
    </row>
    <row r="108" spans="11:11">
      <c r="K108" s="2"/>
    </row>
    <row r="109" spans="11:11">
      <c r="K109" s="2"/>
    </row>
    <row r="110" spans="11:11">
      <c r="K110" s="2"/>
    </row>
    <row r="111" spans="11:11">
      <c r="K111" s="2"/>
    </row>
    <row r="112" spans="11:11">
      <c r="K112" s="2"/>
    </row>
    <row r="113" spans="11:11">
      <c r="K113" s="2"/>
    </row>
    <row r="114" spans="11:11">
      <c r="K114" s="2"/>
    </row>
    <row r="115" spans="11:11">
      <c r="K115" s="2"/>
    </row>
    <row r="116" spans="11:11">
      <c r="K116" s="2"/>
    </row>
    <row r="117" spans="11:11">
      <c r="K117" s="2"/>
    </row>
    <row r="118" spans="11:11">
      <c r="K118" s="2"/>
    </row>
    <row r="119" spans="11:11">
      <c r="K119" s="2"/>
    </row>
    <row r="120" spans="11:11">
      <c r="K120" s="2"/>
    </row>
    <row r="121" spans="11:11">
      <c r="K121" s="2"/>
    </row>
    <row r="122" spans="11:11">
      <c r="K122" s="2"/>
    </row>
    <row r="123" spans="11:11">
      <c r="K123" s="2"/>
    </row>
    <row r="124" spans="11:11">
      <c r="K124" s="2"/>
    </row>
    <row r="125" spans="11:11">
      <c r="K125" s="2"/>
    </row>
    <row r="126" spans="11:11">
      <c r="K126" s="2"/>
    </row>
    <row r="127" spans="11:11">
      <c r="K127" s="2"/>
    </row>
    <row r="128" spans="11:11">
      <c r="K128" s="2"/>
    </row>
    <row r="129" spans="11:11">
      <c r="K129" s="2"/>
    </row>
    <row r="130" spans="11:11">
      <c r="K130" s="2"/>
    </row>
    <row r="131" spans="11:11">
      <c r="K131" s="2"/>
    </row>
    <row r="132" spans="11:11">
      <c r="K132" s="2"/>
    </row>
    <row r="133" spans="11:11">
      <c r="K133" s="2"/>
    </row>
    <row r="134" spans="11:11">
      <c r="K134" s="2"/>
    </row>
    <row r="135" spans="11:11">
      <c r="K135" s="2"/>
    </row>
    <row r="136" spans="11:11">
      <c r="K136" s="2"/>
    </row>
    <row r="137" spans="11:11">
      <c r="K137" s="2"/>
    </row>
    <row r="138" spans="11:11">
      <c r="K138" s="2"/>
    </row>
    <row r="139" spans="11:11">
      <c r="K139" s="2"/>
    </row>
    <row r="140" spans="11:11">
      <c r="K140" s="2"/>
    </row>
    <row r="141" spans="11:11">
      <c r="K141" s="2"/>
    </row>
    <row r="142" spans="11:11">
      <c r="K142" s="2"/>
    </row>
    <row r="143" spans="11:11">
      <c r="K143" s="2"/>
    </row>
    <row r="144" spans="11:11">
      <c r="K144" s="2"/>
    </row>
    <row r="145" spans="11:11">
      <c r="K145" s="2"/>
    </row>
    <row r="146" spans="11:11">
      <c r="K146" s="2"/>
    </row>
    <row r="147" spans="11:11">
      <c r="K147" s="2"/>
    </row>
    <row r="148" spans="11:11">
      <c r="K148" s="2"/>
    </row>
    <row r="149" spans="11:11">
      <c r="K149" s="2"/>
    </row>
    <row r="150" spans="11:11">
      <c r="K150" s="2"/>
    </row>
    <row r="151" spans="11:11">
      <c r="K151" s="2"/>
    </row>
    <row r="152" spans="11:11">
      <c r="K152" s="2"/>
    </row>
    <row r="153" spans="11:11">
      <c r="K153" s="2"/>
    </row>
    <row r="154" spans="11:11">
      <c r="K154" s="2"/>
    </row>
    <row r="155" spans="11:11">
      <c r="K155" s="2"/>
    </row>
    <row r="156" spans="11:11">
      <c r="K156" s="2"/>
    </row>
    <row r="157" spans="11:11">
      <c r="K157" s="2"/>
    </row>
    <row r="158" spans="11:11">
      <c r="K158" s="2"/>
    </row>
    <row r="159" spans="11:11">
      <c r="K159" s="2"/>
    </row>
    <row r="160" spans="11:11">
      <c r="K160" s="2"/>
    </row>
    <row r="161" spans="11:11">
      <c r="K161" s="2"/>
    </row>
    <row r="162" spans="11:11">
      <c r="K162" s="2"/>
    </row>
    <row r="163" spans="11:11">
      <c r="K163" s="2"/>
    </row>
    <row r="164" spans="11:11">
      <c r="K164" s="2"/>
    </row>
    <row r="165" spans="11:11">
      <c r="K165" s="2"/>
    </row>
    <row r="166" spans="11:11">
      <c r="K166" s="2"/>
    </row>
    <row r="167" spans="11:11">
      <c r="K167" s="2"/>
    </row>
    <row r="168" spans="11:11">
      <c r="K168" s="2"/>
    </row>
    <row r="169" spans="11:11">
      <c r="K169" s="2"/>
    </row>
    <row r="170" spans="11:11">
      <c r="K170" s="2"/>
    </row>
    <row r="171" spans="11:11">
      <c r="K171" s="2"/>
    </row>
    <row r="172" spans="11:11">
      <c r="K172" s="2"/>
    </row>
    <row r="173" spans="11:11">
      <c r="K173" s="2"/>
    </row>
    <row r="174" spans="11:11">
      <c r="K174" s="2"/>
    </row>
    <row r="175" spans="11:11">
      <c r="K175" s="2"/>
    </row>
    <row r="176" spans="11:11">
      <c r="K176" s="2"/>
    </row>
    <row r="177" spans="11:11">
      <c r="K177" s="2"/>
    </row>
    <row r="178" spans="11:11">
      <c r="K178" s="2"/>
    </row>
    <row r="179" spans="11:11">
      <c r="K179" s="2"/>
    </row>
    <row r="180" spans="11:11">
      <c r="K180" s="2"/>
    </row>
    <row r="181" spans="11:11">
      <c r="K181" s="2"/>
    </row>
  </sheetData>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49156" r:id="rId3" name="Button 4">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49157"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49158"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49159"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enableFormatConditionsCalculation="0"/>
  <dimension ref="A1:N45"/>
  <sheetViews>
    <sheetView workbookViewId="0"/>
  </sheetViews>
  <sheetFormatPr baseColWidth="10" defaultColWidth="8.83203125" defaultRowHeight="12" x14ac:dyDescent="0"/>
  <cols>
    <col min="1" max="1" width="10.83203125" customWidth="1"/>
    <col min="2" max="2" width="11" customWidth="1"/>
    <col min="4" max="4" width="11.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614</v>
      </c>
      <c r="C3" s="21"/>
      <c r="D3" s="21"/>
      <c r="E3" s="21"/>
      <c r="F3" s="21"/>
      <c r="G3" s="21"/>
      <c r="H3" s="21"/>
      <c r="I3" s="21"/>
      <c r="J3" s="21"/>
    </row>
    <row r="4" spans="1:14">
      <c r="A4" s="19" t="s">
        <v>774</v>
      </c>
      <c r="B4" s="20" t="s">
        <v>613</v>
      </c>
      <c r="C4" s="21"/>
      <c r="D4" s="21"/>
      <c r="E4" s="21"/>
      <c r="F4" s="21"/>
      <c r="G4" s="21"/>
      <c r="H4" s="21"/>
      <c r="I4" s="21"/>
      <c r="J4" s="21"/>
    </row>
    <row r="5" spans="1:14" ht="105" customHeight="1">
      <c r="A5" s="118" t="s">
        <v>779</v>
      </c>
      <c r="B5" s="21"/>
      <c r="C5" s="21"/>
      <c r="D5" s="21"/>
      <c r="E5" s="21"/>
      <c r="F5" s="21"/>
      <c r="G5" s="21"/>
      <c r="H5" s="21"/>
      <c r="I5" s="21"/>
      <c r="J5" s="21"/>
    </row>
    <row r="6" spans="1:14" ht="16.5" customHeight="1">
      <c r="A6" s="19"/>
      <c r="B6" s="457" t="s">
        <v>842</v>
      </c>
      <c r="C6" s="453"/>
      <c r="D6" s="453"/>
      <c r="E6" s="453"/>
      <c r="F6" s="453"/>
      <c r="G6" s="453"/>
      <c r="H6" s="453"/>
      <c r="I6" s="453"/>
      <c r="J6" s="453"/>
    </row>
    <row r="7" spans="1:14" ht="18.75" customHeight="1">
      <c r="A7" s="19"/>
      <c r="B7" s="457" t="s">
        <v>843</v>
      </c>
      <c r="C7" s="453"/>
      <c r="D7" s="453"/>
      <c r="E7" s="453"/>
      <c r="F7" s="453"/>
      <c r="G7" s="453"/>
      <c r="H7" s="453"/>
      <c r="I7" s="453"/>
      <c r="J7" s="453"/>
    </row>
    <row r="8" spans="1:14" ht="18.75" customHeight="1">
      <c r="A8" s="19"/>
      <c r="B8" s="452" t="s">
        <v>800</v>
      </c>
      <c r="C8" s="453"/>
      <c r="D8" s="453"/>
      <c r="E8" s="453"/>
      <c r="F8" s="453"/>
      <c r="G8" s="453"/>
      <c r="H8" s="453"/>
      <c r="I8" s="453"/>
      <c r="J8" s="453"/>
    </row>
    <row r="9" spans="1:14">
      <c r="A9" s="19" t="s">
        <v>635</v>
      </c>
      <c r="B9" s="20" t="s">
        <v>640</v>
      </c>
      <c r="C9" s="21"/>
      <c r="D9" s="21"/>
      <c r="E9" s="21"/>
      <c r="F9" s="21"/>
      <c r="G9" s="21"/>
      <c r="H9" s="21"/>
      <c r="I9" s="21"/>
      <c r="J9" s="21"/>
    </row>
    <row r="10" spans="1:14">
      <c r="A10" s="22"/>
      <c r="B10" s="22" t="s">
        <v>1090</v>
      </c>
      <c r="C10" s="22" t="s">
        <v>1098</v>
      </c>
      <c r="D10" s="22" t="s">
        <v>614</v>
      </c>
      <c r="E10" s="22"/>
      <c r="F10" s="22"/>
      <c r="G10" s="22"/>
      <c r="H10" s="22"/>
      <c r="I10" s="22"/>
      <c r="J10" s="22"/>
    </row>
    <row r="11" spans="1:14">
      <c r="A11" s="103">
        <v>1</v>
      </c>
      <c r="B11" s="105">
        <v>35779</v>
      </c>
      <c r="C11" s="112">
        <v>29.5</v>
      </c>
      <c r="D11" s="175"/>
      <c r="E11" s="101"/>
      <c r="F11" s="101"/>
      <c r="G11" s="101"/>
      <c r="H11" s="101"/>
      <c r="I11" s="101"/>
      <c r="J11" s="102"/>
    </row>
    <row r="12" spans="1:14">
      <c r="A12" s="103">
        <v>2</v>
      </c>
      <c r="B12" s="109">
        <v>35780</v>
      </c>
      <c r="C12" s="112">
        <v>29.25</v>
      </c>
      <c r="D12" s="112"/>
      <c r="E12" s="28"/>
      <c r="F12" s="28"/>
      <c r="G12" s="28"/>
      <c r="H12" s="28"/>
      <c r="I12" s="28"/>
      <c r="J12" s="54"/>
    </row>
    <row r="13" spans="1:14">
      <c r="A13" s="104">
        <v>3</v>
      </c>
      <c r="B13" s="110">
        <v>35781</v>
      </c>
      <c r="C13" s="111">
        <v>29.625</v>
      </c>
      <c r="D13" s="111"/>
      <c r="E13" s="29"/>
      <c r="F13" s="29"/>
      <c r="G13" s="29"/>
      <c r="H13" s="29"/>
      <c r="I13" s="29"/>
      <c r="J13" s="57"/>
    </row>
    <row r="14" spans="1:14">
      <c r="A14" s="104">
        <v>4</v>
      </c>
      <c r="B14" s="110">
        <v>35782</v>
      </c>
      <c r="C14" s="111">
        <v>29.0625</v>
      </c>
      <c r="D14" s="111"/>
      <c r="E14" s="29"/>
      <c r="F14" s="29"/>
      <c r="G14" s="29"/>
      <c r="H14" s="29"/>
      <c r="I14" s="29"/>
      <c r="J14" s="57"/>
    </row>
    <row r="15" spans="1:14">
      <c r="A15" s="103">
        <v>5</v>
      </c>
      <c r="B15" s="109">
        <v>35783</v>
      </c>
      <c r="C15" s="112">
        <v>28.9375</v>
      </c>
      <c r="D15" s="112"/>
      <c r="E15" s="28"/>
      <c r="F15" s="28"/>
      <c r="G15" s="28"/>
      <c r="H15" s="28"/>
      <c r="I15" s="28"/>
      <c r="J15" s="54"/>
    </row>
    <row r="16" spans="1:14">
      <c r="A16" s="103">
        <v>6</v>
      </c>
      <c r="B16" s="109">
        <v>35786</v>
      </c>
      <c r="C16" s="112">
        <v>29.1875</v>
      </c>
      <c r="D16" s="112"/>
      <c r="E16" s="28"/>
      <c r="F16" s="28"/>
      <c r="G16" s="28"/>
      <c r="H16" s="28"/>
      <c r="I16" s="28"/>
      <c r="J16" s="54"/>
    </row>
    <row r="17" spans="1:10">
      <c r="A17" s="104">
        <v>7</v>
      </c>
      <c r="B17" s="110">
        <v>35787</v>
      </c>
      <c r="C17" s="111">
        <v>30.5</v>
      </c>
      <c r="D17" s="111"/>
      <c r="E17" s="29"/>
      <c r="F17" s="29"/>
      <c r="G17" s="29"/>
      <c r="H17" s="29"/>
      <c r="I17" s="29"/>
      <c r="J17" s="57"/>
    </row>
    <row r="18" spans="1:10">
      <c r="A18" s="104">
        <v>8</v>
      </c>
      <c r="B18" s="110">
        <v>35788</v>
      </c>
      <c r="C18" s="111">
        <v>29.8125</v>
      </c>
      <c r="D18" s="111"/>
      <c r="E18" s="29"/>
      <c r="F18" s="29"/>
      <c r="G18" s="29"/>
      <c r="H18" s="29"/>
      <c r="I18" s="29"/>
      <c r="J18" s="57"/>
    </row>
    <row r="19" spans="1:10">
      <c r="A19" s="103">
        <v>9</v>
      </c>
      <c r="B19" s="109">
        <v>35790</v>
      </c>
      <c r="C19" s="112">
        <v>29.625</v>
      </c>
      <c r="D19" s="112"/>
      <c r="E19" s="28"/>
      <c r="F19" s="28"/>
      <c r="G19" s="28"/>
      <c r="H19" s="28"/>
      <c r="I19" s="28"/>
      <c r="J19" s="54"/>
    </row>
    <row r="20" spans="1:10">
      <c r="A20" s="103">
        <v>10</v>
      </c>
      <c r="B20" s="109">
        <v>35793</v>
      </c>
      <c r="C20" s="112">
        <v>30.0625</v>
      </c>
      <c r="D20" s="112"/>
      <c r="E20" s="28"/>
      <c r="F20" s="28"/>
      <c r="G20" s="28"/>
      <c r="H20" s="28"/>
      <c r="I20" s="28"/>
      <c r="J20" s="54"/>
    </row>
    <row r="21" spans="1:10">
      <c r="A21" s="104">
        <v>11</v>
      </c>
      <c r="B21" s="110">
        <v>35794</v>
      </c>
      <c r="C21" s="111">
        <v>30.4375</v>
      </c>
      <c r="D21" s="111"/>
      <c r="E21" s="29"/>
      <c r="F21" s="29"/>
      <c r="G21" s="29"/>
      <c r="H21" s="29"/>
      <c r="I21" s="29"/>
      <c r="J21" s="57"/>
    </row>
    <row r="22" spans="1:10">
      <c r="A22" s="104">
        <v>12</v>
      </c>
      <c r="B22" s="110">
        <v>35795</v>
      </c>
      <c r="C22" s="111">
        <v>30.25</v>
      </c>
      <c r="D22" s="111"/>
      <c r="E22" s="29"/>
      <c r="F22" s="29"/>
      <c r="G22" s="29"/>
      <c r="H22" s="29"/>
      <c r="I22" s="29"/>
      <c r="J22" s="57"/>
    </row>
    <row r="23" spans="1:10">
      <c r="A23" s="103">
        <v>13</v>
      </c>
      <c r="B23" s="109">
        <v>35797</v>
      </c>
      <c r="C23" s="112">
        <v>30.1875</v>
      </c>
      <c r="D23" s="112"/>
      <c r="E23" s="28"/>
      <c r="F23" s="28"/>
      <c r="G23" s="28"/>
      <c r="H23" s="28"/>
      <c r="I23" s="28"/>
      <c r="J23" s="54"/>
    </row>
    <row r="24" spans="1:10">
      <c r="A24" s="103">
        <v>14</v>
      </c>
      <c r="B24" s="109">
        <v>35800</v>
      </c>
      <c r="C24" s="112">
        <v>30</v>
      </c>
      <c r="D24" s="112">
        <f>RSQ(A11:A24,C11:C24)</f>
        <v>0.46981402181727239</v>
      </c>
      <c r="E24" s="28"/>
      <c r="F24" s="28"/>
      <c r="G24" s="28"/>
      <c r="H24" s="28"/>
      <c r="I24" s="28"/>
      <c r="J24" s="54"/>
    </row>
    <row r="25" spans="1:10">
      <c r="A25" s="104">
        <v>15</v>
      </c>
      <c r="B25" s="110">
        <v>35801</v>
      </c>
      <c r="C25" s="111">
        <v>30.0625</v>
      </c>
      <c r="D25" s="111">
        <f t="shared" ref="D25:D40" si="0">RSQ(A12:A25,C12:C25)</f>
        <v>0.47815703055030367</v>
      </c>
      <c r="E25" s="29"/>
      <c r="F25" s="29"/>
      <c r="G25" s="29"/>
      <c r="H25" s="29"/>
      <c r="I25" s="29"/>
      <c r="J25" s="57"/>
    </row>
    <row r="26" spans="1:10">
      <c r="A26" s="104">
        <v>16</v>
      </c>
      <c r="B26" s="110">
        <v>35802</v>
      </c>
      <c r="C26" s="111">
        <v>30.75</v>
      </c>
      <c r="D26" s="111">
        <f t="shared" si="0"/>
        <v>0.52264035623854022</v>
      </c>
      <c r="E26" s="29"/>
      <c r="F26" s="29"/>
      <c r="G26" s="29"/>
      <c r="H26" s="29"/>
      <c r="I26" s="29"/>
      <c r="J26" s="57"/>
    </row>
    <row r="27" spans="1:10">
      <c r="A27" s="103">
        <v>17</v>
      </c>
      <c r="B27" s="109">
        <v>35803</v>
      </c>
      <c r="C27" s="112">
        <v>31.375</v>
      </c>
      <c r="D27" s="112">
        <f t="shared" si="0"/>
        <v>0.64403669724770662</v>
      </c>
      <c r="E27" s="28"/>
      <c r="F27" s="28"/>
      <c r="G27" s="28"/>
      <c r="H27" s="28"/>
      <c r="I27" s="28"/>
      <c r="J27" s="54"/>
    </row>
    <row r="28" spans="1:10">
      <c r="A28" s="103">
        <v>18</v>
      </c>
      <c r="B28" s="109">
        <v>35804</v>
      </c>
      <c r="C28" s="112">
        <v>31.25</v>
      </c>
      <c r="D28" s="112">
        <f t="shared" si="0"/>
        <v>0.65227519702900305</v>
      </c>
      <c r="E28" s="28"/>
      <c r="F28" s="28"/>
      <c r="G28" s="28"/>
      <c r="H28" s="28"/>
      <c r="I28" s="28"/>
      <c r="J28" s="54"/>
    </row>
    <row r="29" spans="1:10">
      <c r="A29" s="104">
        <v>19</v>
      </c>
      <c r="B29" s="110">
        <v>35807</v>
      </c>
      <c r="C29" s="111">
        <v>31.1875</v>
      </c>
      <c r="D29" s="111">
        <f t="shared" si="0"/>
        <v>0.63017275635904801</v>
      </c>
      <c r="E29" s="29"/>
      <c r="F29" s="29"/>
      <c r="G29" s="29"/>
      <c r="H29" s="29"/>
      <c r="I29" s="29"/>
      <c r="J29" s="57"/>
    </row>
    <row r="30" spans="1:10">
      <c r="A30" s="104">
        <v>20</v>
      </c>
      <c r="B30" s="110">
        <v>35808</v>
      </c>
      <c r="C30" s="111">
        <v>31.5625</v>
      </c>
      <c r="D30" s="111">
        <f t="shared" si="0"/>
        <v>0.62714188736278975</v>
      </c>
      <c r="E30" s="29"/>
      <c r="F30" s="29"/>
      <c r="G30" s="29"/>
      <c r="H30" s="29"/>
      <c r="I30" s="29"/>
      <c r="J30" s="57"/>
    </row>
    <row r="31" spans="1:10">
      <c r="A31" s="103">
        <v>21</v>
      </c>
      <c r="B31" s="109">
        <v>35809</v>
      </c>
      <c r="C31" s="112">
        <v>32.5</v>
      </c>
      <c r="D31" s="112">
        <f t="shared" si="0"/>
        <v>0.79491247278229527</v>
      </c>
      <c r="E31" s="28"/>
      <c r="F31" s="28"/>
      <c r="G31" s="28"/>
      <c r="H31" s="28"/>
      <c r="I31" s="28"/>
      <c r="J31" s="54"/>
    </row>
    <row r="32" spans="1:10">
      <c r="A32" s="103">
        <v>22</v>
      </c>
      <c r="B32" s="109">
        <v>35810</v>
      </c>
      <c r="C32" s="112">
        <v>32</v>
      </c>
      <c r="D32" s="112">
        <f t="shared" si="0"/>
        <v>0.82468035190615818</v>
      </c>
      <c r="E32" s="28"/>
      <c r="F32" s="28"/>
      <c r="G32" s="28"/>
      <c r="H32" s="28"/>
      <c r="I32" s="28"/>
      <c r="J32" s="54"/>
    </row>
    <row r="33" spans="1:10">
      <c r="A33" s="104">
        <v>23</v>
      </c>
      <c r="B33" s="110">
        <v>35811</v>
      </c>
      <c r="C33" s="111">
        <v>32.0625</v>
      </c>
      <c r="D33" s="111">
        <f t="shared" si="0"/>
        <v>0.81892925739564959</v>
      </c>
      <c r="E33" s="29"/>
      <c r="F33" s="29"/>
      <c r="G33" s="29"/>
      <c r="H33" s="29"/>
      <c r="I33" s="29"/>
      <c r="J33" s="57"/>
    </row>
    <row r="34" spans="1:10">
      <c r="A34" s="104">
        <v>24</v>
      </c>
      <c r="B34" s="110">
        <v>35815</v>
      </c>
      <c r="C34" s="111">
        <v>32.75</v>
      </c>
      <c r="D34" s="111">
        <f t="shared" si="0"/>
        <v>0.84908439675623704</v>
      </c>
      <c r="E34" s="29"/>
      <c r="F34" s="29"/>
      <c r="G34" s="29"/>
      <c r="H34" s="29"/>
      <c r="I34" s="29"/>
      <c r="J34" s="57"/>
    </row>
    <row r="35" spans="1:10">
      <c r="A35" s="103">
        <v>25</v>
      </c>
      <c r="B35" s="109">
        <v>35816</v>
      </c>
      <c r="C35" s="112">
        <v>32.625</v>
      </c>
      <c r="D35" s="112">
        <f t="shared" si="0"/>
        <v>0.90023303685189326</v>
      </c>
      <c r="E35" s="28"/>
      <c r="F35" s="28"/>
      <c r="G35" s="28"/>
      <c r="H35" s="28"/>
      <c r="I35" s="28"/>
      <c r="J35" s="54"/>
    </row>
    <row r="36" spans="1:10">
      <c r="A36" s="103">
        <v>26</v>
      </c>
      <c r="B36" s="109">
        <v>35817</v>
      </c>
      <c r="C36" s="112">
        <v>32.6875</v>
      </c>
      <c r="D36" s="112">
        <f t="shared" si="0"/>
        <v>0.90839216649272514</v>
      </c>
      <c r="E36" s="28"/>
      <c r="F36" s="28"/>
      <c r="G36" s="28"/>
      <c r="H36" s="28"/>
      <c r="I36" s="28"/>
      <c r="J36" s="54"/>
    </row>
    <row r="37" spans="1:10">
      <c r="A37" s="104">
        <v>27</v>
      </c>
      <c r="B37" s="110">
        <v>35818</v>
      </c>
      <c r="C37" s="111">
        <v>32.8125</v>
      </c>
      <c r="D37" s="111">
        <f t="shared" si="0"/>
        <v>0.89732941477127515</v>
      </c>
      <c r="E37" s="29"/>
      <c r="F37" s="29"/>
      <c r="G37" s="29"/>
      <c r="H37" s="29"/>
      <c r="I37" s="29"/>
      <c r="J37" s="57"/>
    </row>
    <row r="38" spans="1:10">
      <c r="A38" s="104">
        <v>28</v>
      </c>
      <c r="B38" s="110">
        <v>35821</v>
      </c>
      <c r="C38" s="111">
        <v>33.3125</v>
      </c>
      <c r="D38" s="111">
        <f t="shared" si="0"/>
        <v>0.89676730928709969</v>
      </c>
      <c r="E38" s="29"/>
      <c r="F38" s="29"/>
      <c r="G38" s="29"/>
      <c r="H38" s="29"/>
      <c r="I38" s="29"/>
      <c r="J38" s="57"/>
    </row>
    <row r="39" spans="1:10">
      <c r="A39" s="103">
        <v>29</v>
      </c>
      <c r="B39" s="109">
        <v>35822</v>
      </c>
      <c r="C39" s="112">
        <v>33.4375</v>
      </c>
      <c r="D39" s="112">
        <f t="shared" si="0"/>
        <v>0.9112934333384356</v>
      </c>
      <c r="E39" s="28"/>
      <c r="F39" s="28"/>
      <c r="G39" s="28"/>
      <c r="H39" s="28"/>
      <c r="I39" s="28"/>
      <c r="J39" s="54"/>
    </row>
    <row r="40" spans="1:10">
      <c r="A40" s="103">
        <v>30</v>
      </c>
      <c r="B40" s="109">
        <v>35823</v>
      </c>
      <c r="C40" s="112">
        <v>33.8125</v>
      </c>
      <c r="D40" s="112">
        <f t="shared" si="0"/>
        <v>0.91112819887658358</v>
      </c>
      <c r="E40" s="28"/>
      <c r="F40" s="28"/>
      <c r="G40" s="28"/>
      <c r="H40" s="28"/>
      <c r="I40" s="28"/>
      <c r="J40" s="54"/>
    </row>
    <row r="41" spans="1:10">
      <c r="A41" s="104">
        <v>31</v>
      </c>
      <c r="B41" s="110">
        <v>35824</v>
      </c>
      <c r="C41" s="111">
        <v>33.625</v>
      </c>
      <c r="D41" s="111">
        <f>RSQ(A28:A41,C28:C41)</f>
        <v>0.91608224051017917</v>
      </c>
      <c r="E41" s="29"/>
      <c r="F41" s="29"/>
      <c r="G41" s="29"/>
      <c r="H41" s="29"/>
      <c r="I41" s="29"/>
      <c r="J41" s="57"/>
    </row>
    <row r="42" spans="1:10">
      <c r="A42" s="104">
        <v>32</v>
      </c>
      <c r="B42" s="110">
        <v>35825</v>
      </c>
      <c r="C42" s="111">
        <v>33.875</v>
      </c>
      <c r="D42" s="111">
        <f>RSQ(A29:A42,C29:C42)</f>
        <v>0.91141619331857138</v>
      </c>
      <c r="E42" s="29"/>
      <c r="F42" s="29"/>
      <c r="G42" s="29"/>
      <c r="H42" s="29"/>
      <c r="I42" s="29"/>
      <c r="J42" s="57"/>
    </row>
    <row r="44" spans="1:10">
      <c r="A44" t="s">
        <v>1037</v>
      </c>
    </row>
    <row r="45" spans="1:10">
      <c r="A45" t="s">
        <v>240</v>
      </c>
    </row>
  </sheetData>
  <mergeCells count="3">
    <mergeCell ref="B6:J6"/>
    <mergeCell ref="B7:J7"/>
    <mergeCell ref="B8:J8"/>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48136" r:id="rId3" name="Button 8">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48137" r:id="rId4" name="Button 9">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48138" r:id="rId5" name="Button 10">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48139" r:id="rId6" name="Button 11">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48140" r:id="rId7" name="Button 12">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48141" r:id="rId8" name="Button 13">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48142" r:id="rId9" name="Button 14">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48143" r:id="rId10" name="Button 15">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enableFormatConditionsCalculation="0"/>
  <dimension ref="A1:N474"/>
  <sheetViews>
    <sheetView workbookViewId="0"/>
  </sheetViews>
  <sheetFormatPr baseColWidth="10" defaultColWidth="8.83203125" defaultRowHeight="12" x14ac:dyDescent="0"/>
  <cols>
    <col min="2" max="2" width="10.1640625" customWidth="1"/>
    <col min="4" max="4" width="10.83203125" customWidth="1"/>
    <col min="6" max="6" width="11.5" customWidth="1"/>
    <col min="9" max="9" width="14.164062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ht="15">
      <c r="A3" s="19" t="s">
        <v>1045</v>
      </c>
      <c r="B3" s="20" t="s">
        <v>841</v>
      </c>
      <c r="C3" s="21"/>
      <c r="D3" s="21"/>
      <c r="E3" s="21"/>
      <c r="F3" s="21"/>
      <c r="G3" s="21"/>
      <c r="H3" s="21"/>
      <c r="I3" s="21"/>
      <c r="J3" s="21"/>
      <c r="K3" s="21"/>
      <c r="L3" s="241"/>
    </row>
    <row r="4" spans="1:14">
      <c r="A4" s="19" t="s">
        <v>774</v>
      </c>
      <c r="B4" s="20" t="s">
        <v>840</v>
      </c>
      <c r="C4" s="21"/>
      <c r="D4" s="21"/>
      <c r="E4" s="21"/>
      <c r="F4" s="21"/>
      <c r="G4" s="21"/>
      <c r="H4" s="21"/>
      <c r="I4" s="21"/>
      <c r="J4" s="21"/>
      <c r="K4" s="21"/>
    </row>
    <row r="5" spans="1:14" ht="61.5" customHeight="1">
      <c r="A5" s="118" t="s">
        <v>779</v>
      </c>
      <c r="B5" s="452" t="s">
        <v>141</v>
      </c>
      <c r="C5" s="462"/>
      <c r="D5" s="462"/>
      <c r="E5" s="462"/>
      <c r="F5" s="462"/>
      <c r="G5" s="462"/>
      <c r="H5" s="462"/>
      <c r="I5" s="462"/>
      <c r="J5" s="462"/>
      <c r="K5" s="462"/>
    </row>
    <row r="6" spans="1:14" ht="74.25" customHeight="1">
      <c r="A6" s="118"/>
      <c r="B6" s="446" t="s">
        <v>142</v>
      </c>
      <c r="C6" s="446"/>
      <c r="D6" s="446"/>
      <c r="E6" s="446"/>
      <c r="F6" s="446"/>
      <c r="G6" s="446"/>
      <c r="H6" s="446"/>
      <c r="I6" s="446"/>
      <c r="J6" s="446"/>
      <c r="K6" s="446"/>
      <c r="L6" s="241"/>
    </row>
    <row r="7" spans="1:14" ht="40.5" customHeight="1">
      <c r="A7" s="118"/>
      <c r="B7" s="446" t="s">
        <v>143</v>
      </c>
      <c r="C7" s="446"/>
      <c r="D7" s="446"/>
      <c r="E7" s="446"/>
      <c r="F7" s="446"/>
      <c r="G7" s="446"/>
      <c r="H7" s="446"/>
      <c r="I7" s="446"/>
      <c r="J7" s="446"/>
      <c r="K7" s="446"/>
      <c r="L7" s="241"/>
    </row>
    <row r="8" spans="1:14" s="13" customFormat="1" ht="43.5" customHeight="1" thickBot="1">
      <c r="A8" s="22"/>
      <c r="B8" s="22" t="s">
        <v>1090</v>
      </c>
      <c r="C8" s="22" t="s">
        <v>1096</v>
      </c>
      <c r="D8" s="22" t="s">
        <v>1097</v>
      </c>
      <c r="E8" s="22" t="s">
        <v>1098</v>
      </c>
      <c r="F8" s="31" t="s">
        <v>70</v>
      </c>
      <c r="G8" s="31" t="s">
        <v>71</v>
      </c>
      <c r="H8" s="31" t="s">
        <v>72</v>
      </c>
      <c r="I8" s="22" t="s">
        <v>616</v>
      </c>
      <c r="J8" s="31" t="s">
        <v>74</v>
      </c>
      <c r="K8" s="31" t="s">
        <v>73</v>
      </c>
      <c r="L8" s="241"/>
    </row>
    <row r="9" spans="1:14" ht="22" thickBot="1">
      <c r="A9" s="82">
        <v>1</v>
      </c>
      <c r="B9" s="109">
        <v>32528</v>
      </c>
      <c r="C9" s="112">
        <v>15.4688</v>
      </c>
      <c r="D9" s="112">
        <v>14.8125</v>
      </c>
      <c r="E9" s="112">
        <v>14.9688</v>
      </c>
      <c r="F9" s="112">
        <f>TREND(E$9:E$195,A$9:A$195,A9)</f>
        <v>14.681437108886115</v>
      </c>
      <c r="G9" s="112">
        <f>ABS(C9-F9)</f>
        <v>0.7873628911138848</v>
      </c>
      <c r="H9" s="271">
        <f>ABS(F9-D9)</f>
        <v>0.13106289111388492</v>
      </c>
      <c r="I9" s="290">
        <f>MAX(G9:H195)</f>
        <v>1.1282001117599272</v>
      </c>
      <c r="J9" s="286">
        <f>F9-I$9</f>
        <v>13.553236997126188</v>
      </c>
      <c r="K9" s="112">
        <f>F9+I$9</f>
        <v>15.809637220646042</v>
      </c>
      <c r="L9" s="348"/>
    </row>
    <row r="10" spans="1:14">
      <c r="A10" s="82">
        <v>2</v>
      </c>
      <c r="B10" s="109">
        <v>32531</v>
      </c>
      <c r="C10" s="112">
        <v>15.0938</v>
      </c>
      <c r="D10" s="112">
        <v>14.75</v>
      </c>
      <c r="E10" s="112">
        <v>14.875</v>
      </c>
      <c r="F10" s="112">
        <f t="shared" ref="F10:F25" si="0">TREND(E$9:E$195,A$9:A$195,A10)</f>
        <v>14.686039527415142</v>
      </c>
      <c r="G10" s="112">
        <f t="shared" ref="G10:G25" si="1">ABS(C10-F10)</f>
        <v>0.40776047258485804</v>
      </c>
      <c r="H10" s="112">
        <f t="shared" ref="H10:H25" si="2">ABS(F10-D10)</f>
        <v>6.3960472584858152E-2</v>
      </c>
      <c r="I10" s="112"/>
      <c r="J10" s="271">
        <f t="shared" ref="J10:J25" si="3">F10-I$9</f>
        <v>13.557839415655215</v>
      </c>
      <c r="K10" s="112">
        <f t="shared" ref="K10:K25" si="4">F10+I$9</f>
        <v>15.814239639175069</v>
      </c>
    </row>
    <row r="11" spans="1:14">
      <c r="A11" s="83">
        <v>3</v>
      </c>
      <c r="B11" s="110">
        <v>32532</v>
      </c>
      <c r="C11" s="111">
        <v>15.0312</v>
      </c>
      <c r="D11" s="111">
        <v>14.875</v>
      </c>
      <c r="E11" s="111">
        <v>15.0312</v>
      </c>
      <c r="F11" s="111">
        <f t="shared" si="0"/>
        <v>14.690641945944167</v>
      </c>
      <c r="G11" s="111">
        <f t="shared" si="1"/>
        <v>0.34055805405583328</v>
      </c>
      <c r="H11" s="111">
        <f t="shared" si="2"/>
        <v>0.18435805405583316</v>
      </c>
      <c r="I11" s="111"/>
      <c r="J11" s="272">
        <f t="shared" si="3"/>
        <v>13.56244183418424</v>
      </c>
      <c r="K11" s="111">
        <f t="shared" si="4"/>
        <v>15.818842057704094</v>
      </c>
    </row>
    <row r="12" spans="1:14">
      <c r="A12" s="83">
        <v>4</v>
      </c>
      <c r="B12" s="110">
        <v>32533</v>
      </c>
      <c r="C12" s="111">
        <v>15.0938</v>
      </c>
      <c r="D12" s="111">
        <v>14.9062</v>
      </c>
      <c r="E12" s="111">
        <v>14.9688</v>
      </c>
      <c r="F12" s="111">
        <f t="shared" si="0"/>
        <v>14.695244364473194</v>
      </c>
      <c r="G12" s="111">
        <f t="shared" si="1"/>
        <v>0.39855563552680628</v>
      </c>
      <c r="H12" s="111">
        <f t="shared" si="2"/>
        <v>0.21095563552680652</v>
      </c>
      <c r="I12" s="111"/>
      <c r="J12" s="272">
        <f t="shared" si="3"/>
        <v>13.567044252713266</v>
      </c>
      <c r="K12" s="111">
        <f t="shared" si="4"/>
        <v>15.823444476233121</v>
      </c>
    </row>
    <row r="13" spans="1:14">
      <c r="A13" s="82">
        <v>5</v>
      </c>
      <c r="B13" s="109">
        <v>32534</v>
      </c>
      <c r="C13" s="112">
        <v>15.0312</v>
      </c>
      <c r="D13" s="112">
        <v>14.8125</v>
      </c>
      <c r="E13" s="112">
        <v>15</v>
      </c>
      <c r="F13" s="112">
        <f t="shared" si="0"/>
        <v>14.69984678300222</v>
      </c>
      <c r="G13" s="112">
        <f t="shared" si="1"/>
        <v>0.33135321699777975</v>
      </c>
      <c r="H13" s="112">
        <f t="shared" si="2"/>
        <v>0.11265321699777964</v>
      </c>
      <c r="I13" s="112"/>
      <c r="J13" s="271">
        <f t="shared" si="3"/>
        <v>13.571646671242293</v>
      </c>
      <c r="K13" s="112">
        <f t="shared" si="4"/>
        <v>15.828046894762148</v>
      </c>
    </row>
    <row r="14" spans="1:14">
      <c r="A14" s="82">
        <v>6</v>
      </c>
      <c r="B14" s="109">
        <v>32535</v>
      </c>
      <c r="C14" s="112">
        <v>15.2812</v>
      </c>
      <c r="D14" s="112">
        <v>14.9688</v>
      </c>
      <c r="E14" s="112">
        <v>15.1562</v>
      </c>
      <c r="F14" s="112">
        <f t="shared" si="0"/>
        <v>14.704449201531247</v>
      </c>
      <c r="G14" s="112">
        <f t="shared" si="1"/>
        <v>0.57675079846875299</v>
      </c>
      <c r="H14" s="112">
        <f t="shared" si="2"/>
        <v>0.26435079846875276</v>
      </c>
      <c r="I14" s="112"/>
      <c r="J14" s="271">
        <f t="shared" si="3"/>
        <v>13.57624908977132</v>
      </c>
      <c r="K14" s="112">
        <f t="shared" si="4"/>
        <v>15.832649313291174</v>
      </c>
    </row>
    <row r="15" spans="1:14">
      <c r="A15" s="83">
        <v>7</v>
      </c>
      <c r="B15" s="110">
        <v>32538</v>
      </c>
      <c r="C15" s="111">
        <v>15.25</v>
      </c>
      <c r="D15" s="111">
        <v>15.125</v>
      </c>
      <c r="E15" s="111">
        <v>15.1875</v>
      </c>
      <c r="F15" s="111">
        <f t="shared" si="0"/>
        <v>14.709051620060272</v>
      </c>
      <c r="G15" s="111">
        <f t="shared" si="1"/>
        <v>0.54094837993972789</v>
      </c>
      <c r="H15" s="111">
        <f t="shared" si="2"/>
        <v>0.41594837993972789</v>
      </c>
      <c r="I15" s="111"/>
      <c r="J15" s="272">
        <f t="shared" si="3"/>
        <v>13.580851508300345</v>
      </c>
      <c r="K15" s="111">
        <f t="shared" si="4"/>
        <v>15.837251731820199</v>
      </c>
    </row>
    <row r="16" spans="1:14">
      <c r="A16" s="83">
        <v>8</v>
      </c>
      <c r="B16" s="110">
        <v>32539</v>
      </c>
      <c r="C16" s="111">
        <v>15.4688</v>
      </c>
      <c r="D16" s="111">
        <v>15.125</v>
      </c>
      <c r="E16" s="111">
        <v>15.4688</v>
      </c>
      <c r="F16" s="111">
        <f t="shared" si="0"/>
        <v>14.713654038589299</v>
      </c>
      <c r="G16" s="111">
        <f t="shared" si="1"/>
        <v>0.75514596141070101</v>
      </c>
      <c r="H16" s="111">
        <f t="shared" si="2"/>
        <v>0.41134596141070112</v>
      </c>
      <c r="I16" s="111"/>
      <c r="J16" s="272">
        <f t="shared" si="3"/>
        <v>13.585453926829372</v>
      </c>
      <c r="K16" s="111">
        <f t="shared" si="4"/>
        <v>15.841854150349226</v>
      </c>
    </row>
    <row r="17" spans="1:11">
      <c r="A17" s="82">
        <v>9</v>
      </c>
      <c r="B17" s="109">
        <v>32540</v>
      </c>
      <c r="C17" s="112">
        <v>15.4688</v>
      </c>
      <c r="D17" s="112">
        <v>15.3125</v>
      </c>
      <c r="E17" s="112">
        <v>15.3438</v>
      </c>
      <c r="F17" s="112">
        <f t="shared" si="0"/>
        <v>14.718256457118326</v>
      </c>
      <c r="G17" s="112">
        <f t="shared" si="1"/>
        <v>0.75054354288167424</v>
      </c>
      <c r="H17" s="112">
        <f t="shared" si="2"/>
        <v>0.59424354288167436</v>
      </c>
      <c r="I17" s="112"/>
      <c r="J17" s="271">
        <f t="shared" si="3"/>
        <v>13.590056345358398</v>
      </c>
      <c r="K17" s="112">
        <f t="shared" si="4"/>
        <v>15.846456568878253</v>
      </c>
    </row>
    <row r="18" spans="1:11">
      <c r="A18" s="82">
        <v>10</v>
      </c>
      <c r="B18" s="109">
        <v>32541</v>
      </c>
      <c r="C18" s="112">
        <v>15.4375</v>
      </c>
      <c r="D18" s="112">
        <v>15.3125</v>
      </c>
      <c r="E18" s="112">
        <v>15.4062</v>
      </c>
      <c r="F18" s="112">
        <f t="shared" si="0"/>
        <v>14.722858875647352</v>
      </c>
      <c r="G18" s="112">
        <f t="shared" si="1"/>
        <v>0.71464112435264759</v>
      </c>
      <c r="H18" s="112">
        <f t="shared" si="2"/>
        <v>0.58964112435264759</v>
      </c>
      <c r="I18" s="112"/>
      <c r="J18" s="271">
        <f t="shared" si="3"/>
        <v>13.594658763887425</v>
      </c>
      <c r="K18" s="112">
        <f t="shared" si="4"/>
        <v>15.85105898740728</v>
      </c>
    </row>
    <row r="19" spans="1:11">
      <c r="A19" s="83">
        <v>11</v>
      </c>
      <c r="B19" s="110">
        <v>32542</v>
      </c>
      <c r="C19" s="111">
        <v>15.375</v>
      </c>
      <c r="D19" s="111">
        <v>15.25</v>
      </c>
      <c r="E19" s="111">
        <v>15.375</v>
      </c>
      <c r="F19" s="111">
        <f t="shared" si="0"/>
        <v>14.727461294176379</v>
      </c>
      <c r="G19" s="111">
        <f t="shared" si="1"/>
        <v>0.64753870582362083</v>
      </c>
      <c r="H19" s="111">
        <f t="shared" si="2"/>
        <v>0.52253870582362083</v>
      </c>
      <c r="I19" s="111"/>
      <c r="J19" s="272">
        <f t="shared" si="3"/>
        <v>13.599261182416452</v>
      </c>
      <c r="K19" s="111">
        <f t="shared" si="4"/>
        <v>15.855661405936306</v>
      </c>
    </row>
    <row r="20" spans="1:11">
      <c r="A20" s="83">
        <v>12</v>
      </c>
      <c r="B20" s="110">
        <v>32545</v>
      </c>
      <c r="C20" s="111">
        <v>15.4688</v>
      </c>
      <c r="D20" s="111">
        <v>15.25</v>
      </c>
      <c r="E20" s="111">
        <v>15.3125</v>
      </c>
      <c r="F20" s="111">
        <f t="shared" si="0"/>
        <v>14.732063712705404</v>
      </c>
      <c r="G20" s="111">
        <f t="shared" si="1"/>
        <v>0.73673628729459573</v>
      </c>
      <c r="H20" s="111">
        <f t="shared" si="2"/>
        <v>0.51793628729459584</v>
      </c>
      <c r="I20" s="111"/>
      <c r="J20" s="272">
        <f t="shared" si="3"/>
        <v>13.603863600945477</v>
      </c>
      <c r="K20" s="111">
        <f t="shared" si="4"/>
        <v>15.860263824465331</v>
      </c>
    </row>
    <row r="21" spans="1:11">
      <c r="A21" s="82">
        <v>13</v>
      </c>
      <c r="B21" s="109">
        <v>32546</v>
      </c>
      <c r="C21" s="112">
        <v>15.4688</v>
      </c>
      <c r="D21" s="112">
        <v>15.3125</v>
      </c>
      <c r="E21" s="112">
        <v>15.375</v>
      </c>
      <c r="F21" s="112">
        <f t="shared" si="0"/>
        <v>14.736666131234431</v>
      </c>
      <c r="G21" s="112">
        <f t="shared" si="1"/>
        <v>0.73213386876556896</v>
      </c>
      <c r="H21" s="112">
        <f t="shared" si="2"/>
        <v>0.57583386876556908</v>
      </c>
      <c r="I21" s="112"/>
      <c r="J21" s="271">
        <f t="shared" si="3"/>
        <v>13.608466019474504</v>
      </c>
      <c r="K21" s="112">
        <f t="shared" si="4"/>
        <v>15.864866242994358</v>
      </c>
    </row>
    <row r="22" spans="1:11">
      <c r="A22" s="82">
        <v>14</v>
      </c>
      <c r="B22" s="109">
        <v>32547</v>
      </c>
      <c r="C22" s="112">
        <v>15.4688</v>
      </c>
      <c r="D22" s="112">
        <v>15.375</v>
      </c>
      <c r="E22" s="112">
        <v>15.375</v>
      </c>
      <c r="F22" s="112">
        <f t="shared" si="0"/>
        <v>14.741268549763458</v>
      </c>
      <c r="G22" s="112">
        <f t="shared" si="1"/>
        <v>0.7275314502365422</v>
      </c>
      <c r="H22" s="112">
        <f t="shared" si="2"/>
        <v>0.63373145023654232</v>
      </c>
      <c r="I22" s="112"/>
      <c r="J22" s="271">
        <f t="shared" si="3"/>
        <v>13.613068438003531</v>
      </c>
      <c r="K22" s="112">
        <f t="shared" si="4"/>
        <v>15.869468661523385</v>
      </c>
    </row>
    <row r="23" spans="1:11">
      <c r="A23" s="83">
        <v>15</v>
      </c>
      <c r="B23" s="110">
        <v>32548</v>
      </c>
      <c r="C23" s="111">
        <v>15.3438</v>
      </c>
      <c r="D23" s="111">
        <v>15.1562</v>
      </c>
      <c r="E23" s="111">
        <v>15.25</v>
      </c>
      <c r="F23" s="111">
        <f t="shared" si="0"/>
        <v>14.745870968292484</v>
      </c>
      <c r="G23" s="111">
        <f t="shared" si="1"/>
        <v>0.59792903170751543</v>
      </c>
      <c r="H23" s="111">
        <f t="shared" si="2"/>
        <v>0.41032903170751567</v>
      </c>
      <c r="I23" s="111"/>
      <c r="J23" s="272">
        <f t="shared" si="3"/>
        <v>13.617670856532557</v>
      </c>
      <c r="K23" s="111">
        <f t="shared" si="4"/>
        <v>15.874071080052412</v>
      </c>
    </row>
    <row r="24" spans="1:11">
      <c r="A24" s="83">
        <v>16</v>
      </c>
      <c r="B24" s="110">
        <v>32549</v>
      </c>
      <c r="C24" s="111">
        <v>15.125</v>
      </c>
      <c r="D24" s="111">
        <v>14.9062</v>
      </c>
      <c r="E24" s="111">
        <v>14.9375</v>
      </c>
      <c r="F24" s="111">
        <f t="shared" si="0"/>
        <v>14.750473386821511</v>
      </c>
      <c r="G24" s="111">
        <f t="shared" si="1"/>
        <v>0.37452661317848879</v>
      </c>
      <c r="H24" s="111">
        <f t="shared" si="2"/>
        <v>0.1557266131784889</v>
      </c>
      <c r="I24" s="111"/>
      <c r="J24" s="272">
        <f t="shared" si="3"/>
        <v>13.622273275061584</v>
      </c>
      <c r="K24" s="111">
        <f t="shared" si="4"/>
        <v>15.878673498581438</v>
      </c>
    </row>
    <row r="25" spans="1:11">
      <c r="A25" s="82">
        <v>17</v>
      </c>
      <c r="B25" s="109">
        <v>32552</v>
      </c>
      <c r="C25" s="112">
        <v>14.9375</v>
      </c>
      <c r="D25" s="112">
        <v>14.875</v>
      </c>
      <c r="E25" s="112">
        <v>14.9375</v>
      </c>
      <c r="F25" s="112">
        <f t="shared" si="0"/>
        <v>14.755075805350536</v>
      </c>
      <c r="G25" s="112">
        <f t="shared" si="1"/>
        <v>0.1824241946494638</v>
      </c>
      <c r="H25" s="112">
        <f t="shared" si="2"/>
        <v>0.1199241946494638</v>
      </c>
      <c r="I25" s="112"/>
      <c r="J25" s="271">
        <f t="shared" si="3"/>
        <v>13.626875693590609</v>
      </c>
      <c r="K25" s="112">
        <f t="shared" si="4"/>
        <v>15.883275917110463</v>
      </c>
    </row>
    <row r="26" spans="1:11">
      <c r="A26" s="82">
        <v>18</v>
      </c>
      <c r="B26" s="109">
        <v>32553</v>
      </c>
      <c r="C26" s="112">
        <v>15</v>
      </c>
      <c r="D26" s="112">
        <v>14.8438</v>
      </c>
      <c r="E26" s="112">
        <v>14.8438</v>
      </c>
      <c r="F26" s="112">
        <f t="shared" ref="F26:F41" si="5">TREND(E$9:E$195,A$9:A$195,A26)</f>
        <v>14.759678223879563</v>
      </c>
      <c r="G26" s="112">
        <f t="shared" ref="G26:G41" si="6">ABS(C26-F26)</f>
        <v>0.24032177612043704</v>
      </c>
      <c r="H26" s="112">
        <f t="shared" ref="H26:H41" si="7">ABS(F26-D26)</f>
        <v>8.412177612043692E-2</v>
      </c>
      <c r="I26" s="112"/>
      <c r="J26" s="271">
        <f t="shared" ref="J26:J41" si="8">F26-I$9</f>
        <v>13.631478112119636</v>
      </c>
      <c r="K26" s="112">
        <f t="shared" ref="K26:K41" si="9">F26+I$9</f>
        <v>15.88787833563949</v>
      </c>
    </row>
    <row r="27" spans="1:11">
      <c r="A27" s="83">
        <v>19</v>
      </c>
      <c r="B27" s="110">
        <v>32554</v>
      </c>
      <c r="C27" s="111">
        <v>14.875</v>
      </c>
      <c r="D27" s="111">
        <v>14.6875</v>
      </c>
      <c r="E27" s="111">
        <v>14.7188</v>
      </c>
      <c r="F27" s="111">
        <f t="shared" si="5"/>
        <v>14.76428064240859</v>
      </c>
      <c r="G27" s="111">
        <f t="shared" si="6"/>
        <v>0.11071935759141027</v>
      </c>
      <c r="H27" s="111">
        <f t="shared" si="7"/>
        <v>7.6780642408589728E-2</v>
      </c>
      <c r="I27" s="111"/>
      <c r="J27" s="272">
        <f t="shared" si="8"/>
        <v>13.636080530648663</v>
      </c>
      <c r="K27" s="111">
        <f t="shared" si="9"/>
        <v>15.892480754168517</v>
      </c>
    </row>
    <row r="28" spans="1:11">
      <c r="A28" s="83">
        <v>20</v>
      </c>
      <c r="B28" s="110">
        <v>32555</v>
      </c>
      <c r="C28" s="111">
        <v>14.8125</v>
      </c>
      <c r="D28" s="111">
        <v>14.7188</v>
      </c>
      <c r="E28" s="111">
        <v>14.8125</v>
      </c>
      <c r="F28" s="111">
        <f t="shared" si="5"/>
        <v>14.768883060937616</v>
      </c>
      <c r="G28" s="111">
        <f t="shared" si="6"/>
        <v>4.3616939062383508E-2</v>
      </c>
      <c r="H28" s="111">
        <f t="shared" si="7"/>
        <v>5.0083060937616608E-2</v>
      </c>
      <c r="I28" s="111"/>
      <c r="J28" s="272">
        <f t="shared" si="8"/>
        <v>13.640682949177689</v>
      </c>
      <c r="K28" s="111">
        <f t="shared" si="9"/>
        <v>15.897083172697544</v>
      </c>
    </row>
    <row r="29" spans="1:11">
      <c r="A29" s="82">
        <v>21</v>
      </c>
      <c r="B29" s="109">
        <v>32556</v>
      </c>
      <c r="C29" s="112">
        <v>14.9375</v>
      </c>
      <c r="D29" s="112">
        <v>14.8125</v>
      </c>
      <c r="E29" s="112">
        <v>14.8438</v>
      </c>
      <c r="F29" s="112">
        <f t="shared" si="5"/>
        <v>14.773485479466643</v>
      </c>
      <c r="G29" s="112">
        <f t="shared" si="6"/>
        <v>0.16401452053335674</v>
      </c>
      <c r="H29" s="112">
        <f t="shared" si="7"/>
        <v>3.9014520533356745E-2</v>
      </c>
      <c r="I29" s="112"/>
      <c r="J29" s="271">
        <f t="shared" si="8"/>
        <v>13.645285367706716</v>
      </c>
      <c r="K29" s="112">
        <f t="shared" si="9"/>
        <v>15.90168559122657</v>
      </c>
    </row>
    <row r="30" spans="1:11">
      <c r="A30" s="82">
        <v>22</v>
      </c>
      <c r="B30" s="109">
        <v>32560</v>
      </c>
      <c r="C30" s="112">
        <v>15.0312</v>
      </c>
      <c r="D30" s="112">
        <v>14.9688</v>
      </c>
      <c r="E30" s="112">
        <v>15</v>
      </c>
      <c r="F30" s="112">
        <f t="shared" si="5"/>
        <v>14.778087897995668</v>
      </c>
      <c r="G30" s="112">
        <f t="shared" si="6"/>
        <v>0.25311210200433187</v>
      </c>
      <c r="H30" s="112">
        <f t="shared" si="7"/>
        <v>0.19071210200433164</v>
      </c>
      <c r="I30" s="112"/>
      <c r="J30" s="271">
        <f t="shared" si="8"/>
        <v>13.649887786235741</v>
      </c>
      <c r="K30" s="112">
        <f t="shared" si="9"/>
        <v>15.906288009755595</v>
      </c>
    </row>
    <row r="31" spans="1:11">
      <c r="A31" s="83">
        <v>23</v>
      </c>
      <c r="B31" s="110">
        <v>32561</v>
      </c>
      <c r="C31" s="111">
        <v>15</v>
      </c>
      <c r="D31" s="111">
        <v>14.8438</v>
      </c>
      <c r="E31" s="111">
        <v>14.9062</v>
      </c>
      <c r="F31" s="111">
        <f t="shared" si="5"/>
        <v>14.782690316524695</v>
      </c>
      <c r="G31" s="111">
        <f t="shared" si="6"/>
        <v>0.21730968347530499</v>
      </c>
      <c r="H31" s="111">
        <f t="shared" si="7"/>
        <v>6.1109683475304877E-2</v>
      </c>
      <c r="I31" s="111"/>
      <c r="J31" s="272">
        <f t="shared" si="8"/>
        <v>13.654490204764768</v>
      </c>
      <c r="K31" s="111">
        <f t="shared" si="9"/>
        <v>15.910890428284622</v>
      </c>
    </row>
    <row r="32" spans="1:11">
      <c r="A32" s="83">
        <v>24</v>
      </c>
      <c r="B32" s="110">
        <v>32562</v>
      </c>
      <c r="C32" s="111">
        <v>14.9375</v>
      </c>
      <c r="D32" s="111">
        <v>14.75</v>
      </c>
      <c r="E32" s="111">
        <v>14.9375</v>
      </c>
      <c r="F32" s="111">
        <f t="shared" si="5"/>
        <v>14.787292735053722</v>
      </c>
      <c r="G32" s="111">
        <f t="shared" si="6"/>
        <v>0.15020726494627823</v>
      </c>
      <c r="H32" s="111">
        <f t="shared" si="7"/>
        <v>3.7292735053721771E-2</v>
      </c>
      <c r="I32" s="111"/>
      <c r="J32" s="272">
        <f t="shared" si="8"/>
        <v>13.659092623293795</v>
      </c>
      <c r="K32" s="111">
        <f t="shared" si="9"/>
        <v>15.915492846813649</v>
      </c>
    </row>
    <row r="33" spans="1:11">
      <c r="A33" s="82">
        <v>25</v>
      </c>
      <c r="B33" s="109">
        <v>32563</v>
      </c>
      <c r="C33" s="112">
        <v>14.9688</v>
      </c>
      <c r="D33" s="112">
        <v>14.7188</v>
      </c>
      <c r="E33" s="112">
        <v>14.75</v>
      </c>
      <c r="F33" s="112">
        <f t="shared" si="5"/>
        <v>14.791895153582749</v>
      </c>
      <c r="G33" s="112">
        <f t="shared" si="6"/>
        <v>0.17690484641725135</v>
      </c>
      <c r="H33" s="112">
        <f t="shared" si="7"/>
        <v>7.3095153582748651E-2</v>
      </c>
      <c r="I33" s="112"/>
      <c r="J33" s="271">
        <f t="shared" si="8"/>
        <v>13.663695041822821</v>
      </c>
      <c r="K33" s="112">
        <f t="shared" si="9"/>
        <v>15.920095265342676</v>
      </c>
    </row>
    <row r="34" spans="1:11">
      <c r="A34" s="82">
        <v>26</v>
      </c>
      <c r="B34" s="109">
        <v>32566</v>
      </c>
      <c r="C34" s="112">
        <v>14.8438</v>
      </c>
      <c r="D34" s="112">
        <v>14.7188</v>
      </c>
      <c r="E34" s="112">
        <v>14.7188</v>
      </c>
      <c r="F34" s="112">
        <f t="shared" si="5"/>
        <v>14.796497572111774</v>
      </c>
      <c r="G34" s="112">
        <f t="shared" si="6"/>
        <v>4.7302427888226362E-2</v>
      </c>
      <c r="H34" s="112">
        <f t="shared" si="7"/>
        <v>7.7697572111773638E-2</v>
      </c>
      <c r="I34" s="112"/>
      <c r="J34" s="271">
        <f t="shared" si="8"/>
        <v>13.668297460351846</v>
      </c>
      <c r="K34" s="112">
        <f t="shared" si="9"/>
        <v>15.924697683871701</v>
      </c>
    </row>
    <row r="35" spans="1:11">
      <c r="A35" s="83">
        <v>27</v>
      </c>
      <c r="B35" s="110">
        <v>32567</v>
      </c>
      <c r="C35" s="111">
        <v>14.7812</v>
      </c>
      <c r="D35" s="111">
        <v>14.6562</v>
      </c>
      <c r="E35" s="111">
        <v>14.6875</v>
      </c>
      <c r="F35" s="111">
        <f t="shared" si="5"/>
        <v>14.8010999906408</v>
      </c>
      <c r="G35" s="111">
        <f t="shared" si="6"/>
        <v>1.9899990640800169E-2</v>
      </c>
      <c r="H35" s="111">
        <f t="shared" si="7"/>
        <v>0.14489999064080017</v>
      </c>
      <c r="I35" s="111"/>
      <c r="J35" s="272">
        <f t="shared" si="8"/>
        <v>13.672899878880873</v>
      </c>
      <c r="K35" s="111">
        <f t="shared" si="9"/>
        <v>15.929300102400727</v>
      </c>
    </row>
    <row r="36" spans="1:11">
      <c r="A36" s="83">
        <v>28</v>
      </c>
      <c r="B36" s="110">
        <v>32568</v>
      </c>
      <c r="C36" s="111">
        <v>14.7188</v>
      </c>
      <c r="D36" s="111">
        <v>14.6562</v>
      </c>
      <c r="E36" s="111">
        <v>14.6562</v>
      </c>
      <c r="F36" s="111">
        <f t="shared" si="5"/>
        <v>14.805702409169827</v>
      </c>
      <c r="G36" s="111">
        <f t="shared" si="6"/>
        <v>8.6902409169827166E-2</v>
      </c>
      <c r="H36" s="111">
        <f t="shared" si="7"/>
        <v>0.14950240916982693</v>
      </c>
      <c r="I36" s="111"/>
      <c r="J36" s="272">
        <f t="shared" si="8"/>
        <v>13.6775022974099</v>
      </c>
      <c r="K36" s="111">
        <f t="shared" si="9"/>
        <v>15.933902520929754</v>
      </c>
    </row>
    <row r="37" spans="1:11">
      <c r="A37" s="82">
        <v>29</v>
      </c>
      <c r="B37" s="109">
        <v>32569</v>
      </c>
      <c r="C37" s="112">
        <v>14.6875</v>
      </c>
      <c r="D37" s="112">
        <v>14.5938</v>
      </c>
      <c r="E37" s="112">
        <v>14.625</v>
      </c>
      <c r="F37" s="112">
        <f t="shared" si="5"/>
        <v>14.810304827698854</v>
      </c>
      <c r="G37" s="112">
        <f t="shared" si="6"/>
        <v>0.12280482769885381</v>
      </c>
      <c r="H37" s="112">
        <f t="shared" si="7"/>
        <v>0.21650482769885393</v>
      </c>
      <c r="I37" s="112"/>
      <c r="J37" s="271">
        <f t="shared" si="8"/>
        <v>13.682104715938927</v>
      </c>
      <c r="K37" s="112">
        <f t="shared" si="9"/>
        <v>15.938504939458781</v>
      </c>
    </row>
    <row r="38" spans="1:11">
      <c r="A38" s="82">
        <v>30</v>
      </c>
      <c r="B38" s="109">
        <v>32570</v>
      </c>
      <c r="C38" s="112">
        <v>14.625</v>
      </c>
      <c r="D38" s="112">
        <v>14.4062</v>
      </c>
      <c r="E38" s="112">
        <v>14.4062</v>
      </c>
      <c r="F38" s="112">
        <f t="shared" si="5"/>
        <v>14.814907246227881</v>
      </c>
      <c r="G38" s="112">
        <f t="shared" si="6"/>
        <v>0.18990724622788058</v>
      </c>
      <c r="H38" s="112">
        <f t="shared" si="7"/>
        <v>0.40870724622788046</v>
      </c>
      <c r="I38" s="112"/>
      <c r="J38" s="271">
        <f t="shared" si="8"/>
        <v>13.686707134467953</v>
      </c>
      <c r="K38" s="112">
        <f t="shared" si="9"/>
        <v>15.943107357987808</v>
      </c>
    </row>
    <row r="39" spans="1:11">
      <c r="A39" s="83">
        <v>31</v>
      </c>
      <c r="B39" s="110">
        <v>32573</v>
      </c>
      <c r="C39" s="111">
        <v>14.4375</v>
      </c>
      <c r="D39" s="111">
        <v>14.3438</v>
      </c>
      <c r="E39" s="111">
        <v>14.375</v>
      </c>
      <c r="F39" s="111">
        <f t="shared" si="5"/>
        <v>14.819509664756906</v>
      </c>
      <c r="G39" s="111">
        <f t="shared" si="6"/>
        <v>0.38200966475690556</v>
      </c>
      <c r="H39" s="111">
        <f t="shared" si="7"/>
        <v>0.47570966475690568</v>
      </c>
      <c r="I39" s="111"/>
      <c r="J39" s="272">
        <f t="shared" si="8"/>
        <v>13.691309552996978</v>
      </c>
      <c r="K39" s="111">
        <f t="shared" si="9"/>
        <v>15.947709776516833</v>
      </c>
    </row>
    <row r="40" spans="1:11">
      <c r="A40" s="83">
        <v>32</v>
      </c>
      <c r="B40" s="110">
        <v>32574</v>
      </c>
      <c r="C40" s="111">
        <v>14.5625</v>
      </c>
      <c r="D40" s="111">
        <v>14.375</v>
      </c>
      <c r="E40" s="111">
        <v>14.5</v>
      </c>
      <c r="F40" s="111">
        <f t="shared" si="5"/>
        <v>14.824112083285932</v>
      </c>
      <c r="G40" s="111">
        <f t="shared" si="6"/>
        <v>0.26161208328593233</v>
      </c>
      <c r="H40" s="111">
        <f t="shared" si="7"/>
        <v>0.44911208328593233</v>
      </c>
      <c r="I40" s="111"/>
      <c r="J40" s="272">
        <f t="shared" si="8"/>
        <v>13.695911971526005</v>
      </c>
      <c r="K40" s="111">
        <f t="shared" si="9"/>
        <v>15.95231219504586</v>
      </c>
    </row>
    <row r="41" spans="1:11">
      <c r="A41" s="82">
        <v>33</v>
      </c>
      <c r="B41" s="109">
        <v>32575</v>
      </c>
      <c r="C41" s="112">
        <v>14.5938</v>
      </c>
      <c r="D41" s="112">
        <v>14.5</v>
      </c>
      <c r="E41" s="112">
        <v>14.5312</v>
      </c>
      <c r="F41" s="112">
        <f t="shared" si="5"/>
        <v>14.828714501814959</v>
      </c>
      <c r="G41" s="112">
        <f t="shared" si="6"/>
        <v>0.23491450181495921</v>
      </c>
      <c r="H41" s="112">
        <f t="shared" si="7"/>
        <v>0.32871450181495909</v>
      </c>
      <c r="I41" s="112"/>
      <c r="J41" s="271">
        <f t="shared" si="8"/>
        <v>13.700514390055032</v>
      </c>
      <c r="K41" s="112">
        <f t="shared" si="9"/>
        <v>15.956914613574886</v>
      </c>
    </row>
    <row r="42" spans="1:11">
      <c r="A42" s="82">
        <v>34</v>
      </c>
      <c r="B42" s="109">
        <v>32576</v>
      </c>
      <c r="C42" s="112">
        <v>14.6875</v>
      </c>
      <c r="D42" s="112">
        <v>14.5312</v>
      </c>
      <c r="E42" s="112">
        <v>14.6875</v>
      </c>
      <c r="F42" s="112">
        <f t="shared" ref="F42:F57" si="10">TREND(E$9:E$195,A$9:A$195,A42)</f>
        <v>14.833316920343986</v>
      </c>
      <c r="G42" s="112">
        <f t="shared" ref="G42:G57" si="11">ABS(C42-F42)</f>
        <v>0.14581692034398586</v>
      </c>
      <c r="H42" s="112">
        <f t="shared" ref="H42:H57" si="12">ABS(F42-D42)</f>
        <v>0.30211692034398574</v>
      </c>
      <c r="I42" s="112"/>
      <c r="J42" s="271">
        <f t="shared" ref="J42:J57" si="13">F42-I$9</f>
        <v>13.705116808584059</v>
      </c>
      <c r="K42" s="112">
        <f t="shared" ref="K42:K57" si="14">F42+I$9</f>
        <v>15.961517032103913</v>
      </c>
    </row>
    <row r="43" spans="1:11">
      <c r="A43" s="83">
        <v>35</v>
      </c>
      <c r="B43" s="110">
        <v>32577</v>
      </c>
      <c r="C43" s="111">
        <v>14.6562</v>
      </c>
      <c r="D43" s="111">
        <v>14.5</v>
      </c>
      <c r="E43" s="111">
        <v>14.5625</v>
      </c>
      <c r="F43" s="111">
        <f t="shared" si="10"/>
        <v>14.837919338873011</v>
      </c>
      <c r="G43" s="111">
        <f t="shared" si="11"/>
        <v>0.18171933887301073</v>
      </c>
      <c r="H43" s="111">
        <f t="shared" si="12"/>
        <v>0.33791933887301084</v>
      </c>
      <c r="I43" s="111"/>
      <c r="J43" s="272">
        <f t="shared" si="13"/>
        <v>13.709719227113084</v>
      </c>
      <c r="K43" s="111">
        <f t="shared" si="14"/>
        <v>15.966119450632938</v>
      </c>
    </row>
    <row r="44" spans="1:11">
      <c r="A44" s="83">
        <v>36</v>
      </c>
      <c r="B44" s="110">
        <v>32580</v>
      </c>
      <c r="C44" s="111">
        <v>14.5938</v>
      </c>
      <c r="D44" s="111">
        <v>14.5</v>
      </c>
      <c r="E44" s="111">
        <v>14.5625</v>
      </c>
      <c r="F44" s="111">
        <f t="shared" si="10"/>
        <v>14.842521757402038</v>
      </c>
      <c r="G44" s="111">
        <f t="shared" si="11"/>
        <v>0.24872175740203772</v>
      </c>
      <c r="H44" s="111">
        <f t="shared" si="12"/>
        <v>0.34252175740203761</v>
      </c>
      <c r="I44" s="111"/>
      <c r="J44" s="272">
        <f t="shared" si="13"/>
        <v>13.71432164564211</v>
      </c>
      <c r="K44" s="111">
        <f t="shared" si="14"/>
        <v>15.970721869161965</v>
      </c>
    </row>
    <row r="45" spans="1:11">
      <c r="A45" s="82">
        <v>37</v>
      </c>
      <c r="B45" s="109">
        <v>32581</v>
      </c>
      <c r="C45" s="112">
        <v>14.625</v>
      </c>
      <c r="D45" s="112">
        <v>14.5</v>
      </c>
      <c r="E45" s="112">
        <v>14.5625</v>
      </c>
      <c r="F45" s="112">
        <f t="shared" si="10"/>
        <v>14.847124175931064</v>
      </c>
      <c r="G45" s="112">
        <f t="shared" si="11"/>
        <v>0.22212417593106437</v>
      </c>
      <c r="H45" s="112">
        <f t="shared" si="12"/>
        <v>0.34712417593106437</v>
      </c>
      <c r="I45" s="112"/>
      <c r="J45" s="271">
        <f t="shared" si="13"/>
        <v>13.718924064171137</v>
      </c>
      <c r="K45" s="112">
        <f t="shared" si="14"/>
        <v>15.975324287690992</v>
      </c>
    </row>
    <row r="46" spans="1:11">
      <c r="A46" s="82">
        <v>38</v>
      </c>
      <c r="B46" s="109">
        <v>32582</v>
      </c>
      <c r="C46" s="112">
        <v>14.6562</v>
      </c>
      <c r="D46" s="112">
        <v>14.5</v>
      </c>
      <c r="E46" s="112">
        <v>14.625</v>
      </c>
      <c r="F46" s="112">
        <f t="shared" si="10"/>
        <v>14.851726594460091</v>
      </c>
      <c r="G46" s="112">
        <f t="shared" si="11"/>
        <v>0.19552659446009102</v>
      </c>
      <c r="H46" s="112">
        <f t="shared" si="12"/>
        <v>0.35172659446009114</v>
      </c>
      <c r="I46" s="112"/>
      <c r="J46" s="271">
        <f t="shared" si="13"/>
        <v>13.723526482700164</v>
      </c>
      <c r="K46" s="112">
        <f t="shared" si="14"/>
        <v>15.979926706220018</v>
      </c>
    </row>
    <row r="47" spans="1:11">
      <c r="A47" s="83">
        <v>39</v>
      </c>
      <c r="B47" s="110">
        <v>32583</v>
      </c>
      <c r="C47" s="111">
        <v>14.7188</v>
      </c>
      <c r="D47" s="111">
        <v>14.625</v>
      </c>
      <c r="E47" s="111">
        <v>14.625</v>
      </c>
      <c r="F47" s="111">
        <f t="shared" si="10"/>
        <v>14.856329012989118</v>
      </c>
      <c r="G47" s="111">
        <f t="shared" si="11"/>
        <v>0.13752901298911802</v>
      </c>
      <c r="H47" s="111">
        <f t="shared" si="12"/>
        <v>0.2313290129891179</v>
      </c>
      <c r="I47" s="111"/>
      <c r="J47" s="272">
        <f t="shared" si="13"/>
        <v>13.728128901229191</v>
      </c>
      <c r="K47" s="111">
        <f t="shared" si="14"/>
        <v>15.984529124749045</v>
      </c>
    </row>
    <row r="48" spans="1:11">
      <c r="A48" s="83">
        <v>40</v>
      </c>
      <c r="B48" s="110">
        <v>32584</v>
      </c>
      <c r="C48" s="111">
        <v>14.4375</v>
      </c>
      <c r="D48" s="111">
        <v>14.2812</v>
      </c>
      <c r="E48" s="111">
        <v>14.3438</v>
      </c>
      <c r="F48" s="111">
        <f t="shared" si="10"/>
        <v>14.860931431518143</v>
      </c>
      <c r="G48" s="111">
        <f t="shared" si="11"/>
        <v>0.42343143151814289</v>
      </c>
      <c r="H48" s="111">
        <f t="shared" si="12"/>
        <v>0.57973143151814277</v>
      </c>
      <c r="I48" s="111"/>
      <c r="J48" s="272">
        <f t="shared" si="13"/>
        <v>13.732731319758216</v>
      </c>
      <c r="K48" s="111">
        <f t="shared" si="14"/>
        <v>15.98913154327807</v>
      </c>
    </row>
    <row r="49" spans="1:11">
      <c r="A49" s="82">
        <v>41</v>
      </c>
      <c r="B49" s="109">
        <v>32587</v>
      </c>
      <c r="C49" s="112">
        <v>14.3125</v>
      </c>
      <c r="D49" s="112">
        <v>14.25</v>
      </c>
      <c r="E49" s="112">
        <v>14.2812</v>
      </c>
      <c r="F49" s="112">
        <f t="shared" si="10"/>
        <v>14.86553385004717</v>
      </c>
      <c r="G49" s="112">
        <f t="shared" si="11"/>
        <v>0.55303385004716965</v>
      </c>
      <c r="H49" s="112">
        <f t="shared" si="12"/>
        <v>0.61553385004716965</v>
      </c>
      <c r="I49" s="112"/>
      <c r="J49" s="271">
        <f t="shared" si="13"/>
        <v>13.737333738287242</v>
      </c>
      <c r="K49" s="112">
        <f t="shared" si="14"/>
        <v>15.993733961807097</v>
      </c>
    </row>
    <row r="50" spans="1:11">
      <c r="A50" s="82">
        <v>42</v>
      </c>
      <c r="B50" s="109">
        <v>32588</v>
      </c>
      <c r="C50" s="112">
        <v>14.3125</v>
      </c>
      <c r="D50" s="112">
        <v>14.0312</v>
      </c>
      <c r="E50" s="112">
        <v>14.2812</v>
      </c>
      <c r="F50" s="112">
        <f t="shared" si="10"/>
        <v>14.870136268576196</v>
      </c>
      <c r="G50" s="112">
        <f t="shared" si="11"/>
        <v>0.55763626857619641</v>
      </c>
      <c r="H50" s="112">
        <f t="shared" si="12"/>
        <v>0.8389362685761963</v>
      </c>
      <c r="I50" s="112"/>
      <c r="J50" s="271">
        <f t="shared" si="13"/>
        <v>13.741936156816269</v>
      </c>
      <c r="K50" s="112">
        <f t="shared" si="14"/>
        <v>15.998336380336124</v>
      </c>
    </row>
    <row r="51" spans="1:11">
      <c r="A51" s="83">
        <v>43</v>
      </c>
      <c r="B51" s="110">
        <v>32589</v>
      </c>
      <c r="C51" s="111">
        <v>14.3125</v>
      </c>
      <c r="D51" s="111">
        <v>14.1562</v>
      </c>
      <c r="E51" s="111">
        <v>14.1875</v>
      </c>
      <c r="F51" s="111">
        <f t="shared" si="10"/>
        <v>14.874738687105223</v>
      </c>
      <c r="G51" s="111">
        <f t="shared" si="11"/>
        <v>0.56223868710522318</v>
      </c>
      <c r="H51" s="111">
        <f t="shared" si="12"/>
        <v>0.71853868710522306</v>
      </c>
      <c r="I51" s="111"/>
      <c r="J51" s="272">
        <f t="shared" si="13"/>
        <v>13.746538575345296</v>
      </c>
      <c r="K51" s="111">
        <f t="shared" si="14"/>
        <v>16.002938798865152</v>
      </c>
    </row>
    <row r="52" spans="1:11">
      <c r="A52" s="83">
        <v>44</v>
      </c>
      <c r="B52" s="110">
        <v>32590</v>
      </c>
      <c r="C52" s="111">
        <v>14.3125</v>
      </c>
      <c r="D52" s="111">
        <v>14.2188</v>
      </c>
      <c r="E52" s="111">
        <v>14.2188</v>
      </c>
      <c r="F52" s="111">
        <f t="shared" si="10"/>
        <v>14.87934110563425</v>
      </c>
      <c r="G52" s="111">
        <f t="shared" si="11"/>
        <v>0.56684110563424994</v>
      </c>
      <c r="H52" s="111">
        <f t="shared" si="12"/>
        <v>0.66054110563425006</v>
      </c>
      <c r="I52" s="111"/>
      <c r="J52" s="272">
        <f t="shared" si="13"/>
        <v>13.751140993874323</v>
      </c>
      <c r="K52" s="111">
        <f t="shared" si="14"/>
        <v>16.007541217394177</v>
      </c>
    </row>
    <row r="53" spans="1:11">
      <c r="A53" s="82">
        <v>45</v>
      </c>
      <c r="B53" s="109">
        <v>32594</v>
      </c>
      <c r="C53" s="112">
        <v>14.3125</v>
      </c>
      <c r="D53" s="112">
        <v>14.2188</v>
      </c>
      <c r="E53" s="112">
        <v>14.3125</v>
      </c>
      <c r="F53" s="112">
        <f t="shared" si="10"/>
        <v>14.883943524163275</v>
      </c>
      <c r="G53" s="112">
        <f t="shared" si="11"/>
        <v>0.57144352416327493</v>
      </c>
      <c r="H53" s="112">
        <f t="shared" si="12"/>
        <v>0.66514352416327505</v>
      </c>
      <c r="I53" s="112"/>
      <c r="J53" s="271">
        <f t="shared" si="13"/>
        <v>13.755743412403348</v>
      </c>
      <c r="K53" s="112">
        <f t="shared" si="14"/>
        <v>16.012143635923202</v>
      </c>
    </row>
    <row r="54" spans="1:11">
      <c r="A54" s="82">
        <v>46</v>
      </c>
      <c r="B54" s="109">
        <v>32595</v>
      </c>
      <c r="C54" s="112">
        <v>14.3125</v>
      </c>
      <c r="D54" s="112">
        <v>14.2188</v>
      </c>
      <c r="E54" s="112">
        <v>14.25</v>
      </c>
      <c r="F54" s="112">
        <f t="shared" si="10"/>
        <v>14.888545942692302</v>
      </c>
      <c r="G54" s="112">
        <f t="shared" si="11"/>
        <v>0.57604594269230169</v>
      </c>
      <c r="H54" s="112">
        <f t="shared" si="12"/>
        <v>0.66974594269230181</v>
      </c>
      <c r="I54" s="112"/>
      <c r="J54" s="271">
        <f t="shared" si="13"/>
        <v>13.760345830932375</v>
      </c>
      <c r="K54" s="112">
        <f t="shared" si="14"/>
        <v>16.016746054452227</v>
      </c>
    </row>
    <row r="55" spans="1:11">
      <c r="A55" s="83">
        <v>47</v>
      </c>
      <c r="B55" s="110">
        <v>32596</v>
      </c>
      <c r="C55" s="111">
        <v>14.3125</v>
      </c>
      <c r="D55" s="111">
        <v>14.1875</v>
      </c>
      <c r="E55" s="111">
        <v>14.25</v>
      </c>
      <c r="F55" s="111">
        <f t="shared" si="10"/>
        <v>14.893148361221328</v>
      </c>
      <c r="G55" s="111">
        <f t="shared" si="11"/>
        <v>0.58064836122132846</v>
      </c>
      <c r="H55" s="111">
        <f t="shared" si="12"/>
        <v>0.70564836122132846</v>
      </c>
      <c r="I55" s="111"/>
      <c r="J55" s="272">
        <f t="shared" si="13"/>
        <v>13.764948249461401</v>
      </c>
      <c r="K55" s="111">
        <f t="shared" si="14"/>
        <v>16.021348472981256</v>
      </c>
    </row>
    <row r="56" spans="1:11">
      <c r="A56" s="83">
        <v>48</v>
      </c>
      <c r="B56" s="110">
        <v>32597</v>
      </c>
      <c r="C56" s="111">
        <v>14.2188</v>
      </c>
      <c r="D56" s="111">
        <v>14.125</v>
      </c>
      <c r="E56" s="111">
        <v>14.1875</v>
      </c>
      <c r="F56" s="111">
        <f t="shared" si="10"/>
        <v>14.897750779750355</v>
      </c>
      <c r="G56" s="111">
        <f t="shared" si="11"/>
        <v>0.67895077975035534</v>
      </c>
      <c r="H56" s="111">
        <f t="shared" si="12"/>
        <v>0.77275077975035522</v>
      </c>
      <c r="I56" s="111"/>
      <c r="J56" s="272">
        <f t="shared" si="13"/>
        <v>13.769550667990428</v>
      </c>
      <c r="K56" s="111">
        <f t="shared" si="14"/>
        <v>16.025950891510284</v>
      </c>
    </row>
    <row r="57" spans="1:11">
      <c r="A57" s="82">
        <v>49</v>
      </c>
      <c r="B57" s="109">
        <v>32598</v>
      </c>
      <c r="C57" s="112">
        <v>14.3125</v>
      </c>
      <c r="D57" s="112">
        <v>14.1875</v>
      </c>
      <c r="E57" s="112">
        <v>14.2812</v>
      </c>
      <c r="F57" s="112">
        <f t="shared" si="10"/>
        <v>14.902353198279382</v>
      </c>
      <c r="G57" s="112">
        <f t="shared" si="11"/>
        <v>0.58985319827938199</v>
      </c>
      <c r="H57" s="112">
        <f t="shared" si="12"/>
        <v>0.71485319827938199</v>
      </c>
      <c r="I57" s="112"/>
      <c r="J57" s="271">
        <f t="shared" si="13"/>
        <v>13.774153086519455</v>
      </c>
      <c r="K57" s="112">
        <f t="shared" si="14"/>
        <v>16.030553310039309</v>
      </c>
    </row>
    <row r="58" spans="1:11">
      <c r="A58" s="82">
        <v>50</v>
      </c>
      <c r="B58" s="109">
        <v>32601</v>
      </c>
      <c r="C58" s="112">
        <v>14.5312</v>
      </c>
      <c r="D58" s="112">
        <v>14.2812</v>
      </c>
      <c r="E58" s="112">
        <v>14.5312</v>
      </c>
      <c r="F58" s="112">
        <f t="shared" ref="F58:F73" si="15">TREND(E$9:E$195,A$9:A$195,A58)</f>
        <v>14.906955616808407</v>
      </c>
      <c r="G58" s="112">
        <f t="shared" ref="G58:G73" si="16">ABS(C58-F58)</f>
        <v>0.37575561680840686</v>
      </c>
      <c r="H58" s="112">
        <f t="shared" ref="H58:H73" si="17">ABS(F58-D58)</f>
        <v>0.62575561680840686</v>
      </c>
      <c r="I58" s="112"/>
      <c r="J58" s="271">
        <f t="shared" ref="J58:J73" si="18">F58-I$9</f>
        <v>13.77875550504848</v>
      </c>
      <c r="K58" s="112">
        <f t="shared" ref="K58:K73" si="19">F58+I$9</f>
        <v>16.035155728568334</v>
      </c>
    </row>
    <row r="59" spans="1:11">
      <c r="A59" s="83">
        <v>51</v>
      </c>
      <c r="B59" s="110">
        <v>32602</v>
      </c>
      <c r="C59" s="111">
        <v>14.6875</v>
      </c>
      <c r="D59" s="111">
        <v>14.5</v>
      </c>
      <c r="E59" s="111">
        <v>14.5938</v>
      </c>
      <c r="F59" s="111">
        <f t="shared" si="15"/>
        <v>14.911558035337434</v>
      </c>
      <c r="G59" s="111">
        <f t="shared" si="16"/>
        <v>0.22405803533743374</v>
      </c>
      <c r="H59" s="111">
        <f t="shared" si="17"/>
        <v>0.41155803533743374</v>
      </c>
      <c r="I59" s="111"/>
      <c r="J59" s="272">
        <f t="shared" si="18"/>
        <v>13.783357923577507</v>
      </c>
      <c r="K59" s="111">
        <f t="shared" si="19"/>
        <v>16.039758147097359</v>
      </c>
    </row>
    <row r="60" spans="1:11">
      <c r="A60" s="83">
        <v>52</v>
      </c>
      <c r="B60" s="110">
        <v>32603</v>
      </c>
      <c r="C60" s="111">
        <v>14.5938</v>
      </c>
      <c r="D60" s="111">
        <v>14.4688</v>
      </c>
      <c r="E60" s="111">
        <v>14.4688</v>
      </c>
      <c r="F60" s="111">
        <f t="shared" si="15"/>
        <v>14.916160453866461</v>
      </c>
      <c r="G60" s="111">
        <f t="shared" si="16"/>
        <v>0.32236045386646062</v>
      </c>
      <c r="H60" s="111">
        <f t="shared" si="17"/>
        <v>0.44736045386646062</v>
      </c>
      <c r="I60" s="111"/>
      <c r="J60" s="272">
        <f t="shared" si="18"/>
        <v>13.787960342106533</v>
      </c>
      <c r="K60" s="111">
        <f t="shared" si="19"/>
        <v>16.044360565626388</v>
      </c>
    </row>
    <row r="61" spans="1:11">
      <c r="A61" s="82">
        <v>53</v>
      </c>
      <c r="B61" s="109">
        <v>32604</v>
      </c>
      <c r="C61" s="112">
        <v>14.4375</v>
      </c>
      <c r="D61" s="112">
        <v>14.2812</v>
      </c>
      <c r="E61" s="112">
        <v>14.375</v>
      </c>
      <c r="F61" s="112">
        <f t="shared" si="15"/>
        <v>14.920762872395487</v>
      </c>
      <c r="G61" s="112">
        <f t="shared" si="16"/>
        <v>0.48326287239548726</v>
      </c>
      <c r="H61" s="112">
        <f t="shared" si="17"/>
        <v>0.63956287239548715</v>
      </c>
      <c r="I61" s="112"/>
      <c r="J61" s="271">
        <f t="shared" si="18"/>
        <v>13.79256276063556</v>
      </c>
      <c r="K61" s="112">
        <f t="shared" si="19"/>
        <v>16.048962984155416</v>
      </c>
    </row>
    <row r="62" spans="1:11">
      <c r="A62" s="82">
        <v>54</v>
      </c>
      <c r="B62" s="109">
        <v>32605</v>
      </c>
      <c r="C62" s="112">
        <v>14.4688</v>
      </c>
      <c r="D62" s="112">
        <v>14.25</v>
      </c>
      <c r="E62" s="112">
        <v>14.4375</v>
      </c>
      <c r="F62" s="112">
        <f t="shared" si="15"/>
        <v>14.925365290924512</v>
      </c>
      <c r="G62" s="112">
        <f t="shared" si="16"/>
        <v>0.45656529092451237</v>
      </c>
      <c r="H62" s="112">
        <f t="shared" si="17"/>
        <v>0.67536529092451225</v>
      </c>
      <c r="I62" s="112"/>
      <c r="J62" s="271">
        <f t="shared" si="18"/>
        <v>13.797165179164585</v>
      </c>
      <c r="K62" s="112">
        <f t="shared" si="19"/>
        <v>16.053565402684441</v>
      </c>
    </row>
    <row r="63" spans="1:11">
      <c r="A63" s="71">
        <v>55</v>
      </c>
      <c r="B63" s="110">
        <v>32608</v>
      </c>
      <c r="C63" s="111">
        <v>14.625</v>
      </c>
      <c r="D63" s="111">
        <v>14.3438</v>
      </c>
      <c r="E63" s="111">
        <v>14.5938</v>
      </c>
      <c r="F63" s="111">
        <f t="shared" si="15"/>
        <v>14.929967709453539</v>
      </c>
      <c r="G63" s="111">
        <f t="shared" si="16"/>
        <v>0.30496770945353902</v>
      </c>
      <c r="H63" s="111">
        <f t="shared" si="17"/>
        <v>0.58616770945353913</v>
      </c>
      <c r="I63" s="111"/>
      <c r="J63" s="272">
        <f t="shared" si="18"/>
        <v>13.801767597693612</v>
      </c>
      <c r="K63" s="111">
        <f t="shared" si="19"/>
        <v>16.058167821213466</v>
      </c>
    </row>
    <row r="64" spans="1:11">
      <c r="A64" s="71">
        <v>56</v>
      </c>
      <c r="B64" s="110">
        <v>32609</v>
      </c>
      <c r="C64" s="111">
        <v>14.9062</v>
      </c>
      <c r="D64" s="111">
        <v>14.5938</v>
      </c>
      <c r="E64" s="111">
        <v>14.875</v>
      </c>
      <c r="F64" s="111">
        <f t="shared" si="15"/>
        <v>14.934570127982566</v>
      </c>
      <c r="G64" s="111">
        <f t="shared" si="16"/>
        <v>2.8370127982565663E-2</v>
      </c>
      <c r="H64" s="111">
        <f t="shared" si="17"/>
        <v>0.3407701279825659</v>
      </c>
      <c r="I64" s="111"/>
      <c r="J64" s="272">
        <f t="shared" si="18"/>
        <v>13.806370016222639</v>
      </c>
      <c r="K64" s="111">
        <f t="shared" si="19"/>
        <v>16.062770239742491</v>
      </c>
    </row>
    <row r="65" spans="1:11">
      <c r="A65" s="82">
        <v>57</v>
      </c>
      <c r="B65" s="109">
        <v>32610</v>
      </c>
      <c r="C65" s="112">
        <v>15.125</v>
      </c>
      <c r="D65" s="112">
        <v>14.875</v>
      </c>
      <c r="E65" s="112">
        <v>14.9062</v>
      </c>
      <c r="F65" s="112">
        <f t="shared" si="15"/>
        <v>14.939172546511593</v>
      </c>
      <c r="G65" s="112">
        <f t="shared" si="16"/>
        <v>0.18582745348840746</v>
      </c>
      <c r="H65" s="112">
        <f t="shared" si="17"/>
        <v>6.4172546511592543E-2</v>
      </c>
      <c r="I65" s="112"/>
      <c r="J65" s="271">
        <f t="shared" si="18"/>
        <v>13.810972434751665</v>
      </c>
      <c r="K65" s="112">
        <f t="shared" si="19"/>
        <v>16.06737265827152</v>
      </c>
    </row>
    <row r="66" spans="1:11">
      <c r="A66" s="82">
        <v>58</v>
      </c>
      <c r="B66" s="109">
        <v>32611</v>
      </c>
      <c r="C66" s="112">
        <v>14.9375</v>
      </c>
      <c r="D66" s="112">
        <v>14.6562</v>
      </c>
      <c r="E66" s="112">
        <v>14.75</v>
      </c>
      <c r="F66" s="112">
        <f t="shared" si="15"/>
        <v>14.943774965040619</v>
      </c>
      <c r="G66" s="112">
        <f t="shared" si="16"/>
        <v>6.2749650406193069E-3</v>
      </c>
      <c r="H66" s="112">
        <f t="shared" si="17"/>
        <v>0.28757496504061919</v>
      </c>
      <c r="I66" s="112"/>
      <c r="J66" s="271">
        <f t="shared" si="18"/>
        <v>13.815574853280692</v>
      </c>
      <c r="K66" s="112">
        <f t="shared" si="19"/>
        <v>16.071975076800548</v>
      </c>
    </row>
    <row r="67" spans="1:11">
      <c r="A67" s="83">
        <v>59</v>
      </c>
      <c r="B67" s="110">
        <v>32612</v>
      </c>
      <c r="C67" s="111">
        <v>14.8438</v>
      </c>
      <c r="D67" s="111">
        <v>14.6875</v>
      </c>
      <c r="E67" s="111">
        <v>14.75</v>
      </c>
      <c r="F67" s="111">
        <f t="shared" si="15"/>
        <v>14.948377383569644</v>
      </c>
      <c r="G67" s="111">
        <f t="shared" si="16"/>
        <v>0.10457738356964441</v>
      </c>
      <c r="H67" s="111">
        <f t="shared" si="17"/>
        <v>0.26087738356964429</v>
      </c>
      <c r="I67" s="111"/>
      <c r="J67" s="272">
        <f t="shared" si="18"/>
        <v>13.820177271809717</v>
      </c>
      <c r="K67" s="111">
        <f t="shared" si="19"/>
        <v>16.076577495329573</v>
      </c>
    </row>
    <row r="68" spans="1:11">
      <c r="A68" s="83">
        <v>60</v>
      </c>
      <c r="B68" s="110">
        <v>32615</v>
      </c>
      <c r="C68" s="111">
        <v>14.75</v>
      </c>
      <c r="D68" s="111">
        <v>14.625</v>
      </c>
      <c r="E68" s="111">
        <v>14.6875</v>
      </c>
      <c r="F68" s="111">
        <f t="shared" si="15"/>
        <v>14.952979802098671</v>
      </c>
      <c r="G68" s="111">
        <f t="shared" si="16"/>
        <v>0.20297980209867106</v>
      </c>
      <c r="H68" s="111">
        <f t="shared" si="17"/>
        <v>0.32797980209867106</v>
      </c>
      <c r="I68" s="111"/>
      <c r="J68" s="272">
        <f t="shared" si="18"/>
        <v>13.824779690338744</v>
      </c>
      <c r="K68" s="111">
        <f t="shared" si="19"/>
        <v>16.081179913858598</v>
      </c>
    </row>
    <row r="69" spans="1:11">
      <c r="A69" s="82">
        <v>61</v>
      </c>
      <c r="B69" s="109">
        <v>32616</v>
      </c>
      <c r="C69" s="112">
        <v>14.8438</v>
      </c>
      <c r="D69" s="112">
        <v>14.6562</v>
      </c>
      <c r="E69" s="112">
        <v>14.7188</v>
      </c>
      <c r="F69" s="112">
        <f t="shared" si="15"/>
        <v>14.957582220627698</v>
      </c>
      <c r="G69" s="112">
        <f t="shared" si="16"/>
        <v>0.11378222062769794</v>
      </c>
      <c r="H69" s="112">
        <f t="shared" si="17"/>
        <v>0.30138222062769771</v>
      </c>
      <c r="I69" s="112"/>
      <c r="J69" s="271">
        <f t="shared" si="18"/>
        <v>13.829382108867771</v>
      </c>
      <c r="K69" s="112">
        <f t="shared" si="19"/>
        <v>16.085782332387623</v>
      </c>
    </row>
    <row r="70" spans="1:11">
      <c r="A70" s="82">
        <v>62</v>
      </c>
      <c r="B70" s="109">
        <v>32617</v>
      </c>
      <c r="C70" s="112">
        <v>14.8125</v>
      </c>
      <c r="D70" s="112">
        <v>14.7188</v>
      </c>
      <c r="E70" s="112">
        <v>14.8125</v>
      </c>
      <c r="F70" s="112">
        <f t="shared" si="15"/>
        <v>14.962184639156725</v>
      </c>
      <c r="G70" s="112">
        <f t="shared" si="16"/>
        <v>0.14968463915672459</v>
      </c>
      <c r="H70" s="112">
        <f t="shared" si="17"/>
        <v>0.2433846391567247</v>
      </c>
      <c r="I70" s="112"/>
      <c r="J70" s="271">
        <f t="shared" si="18"/>
        <v>13.833984527396797</v>
      </c>
      <c r="K70" s="112">
        <f t="shared" si="19"/>
        <v>16.090384750916652</v>
      </c>
    </row>
    <row r="71" spans="1:11">
      <c r="A71" s="83">
        <v>63</v>
      </c>
      <c r="B71" s="110">
        <v>32618</v>
      </c>
      <c r="C71" s="111">
        <v>15.2812</v>
      </c>
      <c r="D71" s="111">
        <v>15</v>
      </c>
      <c r="E71" s="111">
        <v>15.125</v>
      </c>
      <c r="F71" s="111">
        <f t="shared" si="15"/>
        <v>14.96678705768575</v>
      </c>
      <c r="G71" s="111">
        <f t="shared" si="16"/>
        <v>0.31441294231425054</v>
      </c>
      <c r="H71" s="111">
        <f t="shared" si="17"/>
        <v>3.3212942314250427E-2</v>
      </c>
      <c r="I71" s="111"/>
      <c r="J71" s="272">
        <f t="shared" si="18"/>
        <v>13.838586945925822</v>
      </c>
      <c r="K71" s="111">
        <f t="shared" si="19"/>
        <v>16.094987169445677</v>
      </c>
    </row>
    <row r="72" spans="1:11">
      <c r="A72" s="83">
        <v>64</v>
      </c>
      <c r="B72" s="110">
        <v>32619</v>
      </c>
      <c r="C72" s="111">
        <v>15.2188</v>
      </c>
      <c r="D72" s="111">
        <v>15.0625</v>
      </c>
      <c r="E72" s="111">
        <v>15.125</v>
      </c>
      <c r="F72" s="111">
        <f t="shared" si="15"/>
        <v>14.971389476214776</v>
      </c>
      <c r="G72" s="111">
        <f t="shared" si="16"/>
        <v>0.24741052378522355</v>
      </c>
      <c r="H72" s="111">
        <f t="shared" si="17"/>
        <v>9.1110523785223663E-2</v>
      </c>
      <c r="I72" s="111"/>
      <c r="J72" s="272">
        <f t="shared" si="18"/>
        <v>13.843189364454849</v>
      </c>
      <c r="K72" s="111">
        <f t="shared" si="19"/>
        <v>16.099589587974705</v>
      </c>
    </row>
    <row r="73" spans="1:11">
      <c r="A73" s="82">
        <v>65</v>
      </c>
      <c r="B73" s="109">
        <v>32622</v>
      </c>
      <c r="C73" s="112">
        <v>15.1875</v>
      </c>
      <c r="D73" s="112">
        <v>15.125</v>
      </c>
      <c r="E73" s="112">
        <v>15.1562</v>
      </c>
      <c r="F73" s="112">
        <f t="shared" si="15"/>
        <v>14.975991894743803</v>
      </c>
      <c r="G73" s="112">
        <f t="shared" si="16"/>
        <v>0.2115081052561969</v>
      </c>
      <c r="H73" s="112">
        <f t="shared" si="17"/>
        <v>0.1490081052561969</v>
      </c>
      <c r="I73" s="112"/>
      <c r="J73" s="271">
        <f t="shared" si="18"/>
        <v>13.847791782983876</v>
      </c>
      <c r="K73" s="112">
        <f t="shared" si="19"/>
        <v>16.10419200650373</v>
      </c>
    </row>
    <row r="74" spans="1:11">
      <c r="A74" s="82">
        <v>66</v>
      </c>
      <c r="B74" s="109">
        <v>32623</v>
      </c>
      <c r="C74" s="112">
        <v>15.1562</v>
      </c>
      <c r="D74" s="112">
        <v>14.9688</v>
      </c>
      <c r="E74" s="112">
        <v>14.9688</v>
      </c>
      <c r="F74" s="112">
        <f t="shared" ref="F74:F89" si="20">TREND(E$9:E$195,A$9:A$195,A74)</f>
        <v>14.98059431327283</v>
      </c>
      <c r="G74" s="112">
        <f t="shared" ref="G74:G89" si="21">ABS(C74-F74)</f>
        <v>0.17560568672717025</v>
      </c>
      <c r="H74" s="112">
        <f t="shared" ref="H74:H89" si="22">ABS(F74-D74)</f>
        <v>1.1794313272829982E-2</v>
      </c>
      <c r="I74" s="112"/>
      <c r="J74" s="271">
        <f t="shared" ref="J74:J89" si="23">F74-I$9</f>
        <v>13.852394201512903</v>
      </c>
      <c r="K74" s="112">
        <f t="shared" ref="K74:K89" si="24">F74+I$9</f>
        <v>16.108794425032755</v>
      </c>
    </row>
    <row r="75" spans="1:11">
      <c r="A75" s="83">
        <v>67</v>
      </c>
      <c r="B75" s="110">
        <v>32624</v>
      </c>
      <c r="C75" s="111">
        <v>15.0938</v>
      </c>
      <c r="D75" s="111">
        <v>14.9688</v>
      </c>
      <c r="E75" s="111">
        <v>15.0625</v>
      </c>
      <c r="F75" s="111">
        <f t="shared" si="20"/>
        <v>14.985196731801857</v>
      </c>
      <c r="G75" s="111">
        <f t="shared" si="21"/>
        <v>0.10860326819814325</v>
      </c>
      <c r="H75" s="111">
        <f t="shared" si="22"/>
        <v>1.6396731801856745E-2</v>
      </c>
      <c r="I75" s="111"/>
      <c r="J75" s="272">
        <f t="shared" si="23"/>
        <v>13.856996620041929</v>
      </c>
      <c r="K75" s="111">
        <f t="shared" si="24"/>
        <v>16.113396843561784</v>
      </c>
    </row>
    <row r="76" spans="1:11">
      <c r="A76" s="83">
        <v>68</v>
      </c>
      <c r="B76" s="110">
        <v>32625</v>
      </c>
      <c r="C76" s="111">
        <v>15.1875</v>
      </c>
      <c r="D76" s="111">
        <v>15.0312</v>
      </c>
      <c r="E76" s="111">
        <v>15.125</v>
      </c>
      <c r="F76" s="111">
        <f t="shared" si="20"/>
        <v>14.989799150330882</v>
      </c>
      <c r="G76" s="111">
        <f t="shared" si="21"/>
        <v>0.19770084966911838</v>
      </c>
      <c r="H76" s="111">
        <f t="shared" si="22"/>
        <v>4.14008496691185E-2</v>
      </c>
      <c r="I76" s="111"/>
      <c r="J76" s="272">
        <f t="shared" si="23"/>
        <v>13.861599038570954</v>
      </c>
      <c r="K76" s="111">
        <f t="shared" si="24"/>
        <v>16.117999262090809</v>
      </c>
    </row>
    <row r="77" spans="1:11">
      <c r="A77" s="82">
        <v>69</v>
      </c>
      <c r="B77" s="109">
        <v>32626</v>
      </c>
      <c r="C77" s="112">
        <v>15.25</v>
      </c>
      <c r="D77" s="112">
        <v>15.0938</v>
      </c>
      <c r="E77" s="112">
        <v>15.125</v>
      </c>
      <c r="F77" s="112">
        <f t="shared" si="20"/>
        <v>14.994401568859908</v>
      </c>
      <c r="G77" s="112">
        <f t="shared" si="21"/>
        <v>0.25559843114009162</v>
      </c>
      <c r="H77" s="112">
        <f t="shared" si="22"/>
        <v>9.9398431140091503E-2</v>
      </c>
      <c r="I77" s="112"/>
      <c r="J77" s="271">
        <f t="shared" si="23"/>
        <v>13.866201457099981</v>
      </c>
      <c r="K77" s="112">
        <f t="shared" si="24"/>
        <v>16.122601680619837</v>
      </c>
    </row>
    <row r="78" spans="1:11">
      <c r="A78" s="82">
        <v>70</v>
      </c>
      <c r="B78" s="109">
        <v>32629</v>
      </c>
      <c r="C78" s="112">
        <v>15.125</v>
      </c>
      <c r="D78" s="112">
        <v>15</v>
      </c>
      <c r="E78" s="112">
        <v>15.0625</v>
      </c>
      <c r="F78" s="112">
        <f t="shared" si="20"/>
        <v>14.999003987388935</v>
      </c>
      <c r="G78" s="112">
        <f t="shared" si="21"/>
        <v>0.12599601261106486</v>
      </c>
      <c r="H78" s="112">
        <f t="shared" si="22"/>
        <v>9.9601261106485595E-4</v>
      </c>
      <c r="I78" s="112"/>
      <c r="J78" s="271">
        <f t="shared" si="23"/>
        <v>13.870803875629008</v>
      </c>
      <c r="K78" s="112">
        <f t="shared" si="24"/>
        <v>16.127204099148862</v>
      </c>
    </row>
    <row r="79" spans="1:11">
      <c r="A79" s="83">
        <v>71</v>
      </c>
      <c r="B79" s="110">
        <v>32630</v>
      </c>
      <c r="C79" s="111">
        <v>15.1562</v>
      </c>
      <c r="D79" s="111">
        <v>15.0625</v>
      </c>
      <c r="E79" s="111">
        <v>15.125</v>
      </c>
      <c r="F79" s="111">
        <f t="shared" si="20"/>
        <v>15.003606405917962</v>
      </c>
      <c r="G79" s="111">
        <f t="shared" si="21"/>
        <v>0.15259359408203821</v>
      </c>
      <c r="H79" s="111">
        <f t="shared" si="22"/>
        <v>5.8893594082038092E-2</v>
      </c>
      <c r="I79" s="111"/>
      <c r="J79" s="272">
        <f t="shared" si="23"/>
        <v>13.875406294158035</v>
      </c>
      <c r="K79" s="111">
        <f t="shared" si="24"/>
        <v>16.131806517677887</v>
      </c>
    </row>
    <row r="80" spans="1:11">
      <c r="A80" s="83">
        <v>72</v>
      </c>
      <c r="B80" s="110">
        <v>32631</v>
      </c>
      <c r="C80" s="111">
        <v>15.3125</v>
      </c>
      <c r="D80" s="111">
        <v>15.125</v>
      </c>
      <c r="E80" s="111">
        <v>15.2812</v>
      </c>
      <c r="F80" s="111">
        <f t="shared" si="20"/>
        <v>15.008208824446989</v>
      </c>
      <c r="G80" s="111">
        <f t="shared" si="21"/>
        <v>0.30429117555301133</v>
      </c>
      <c r="H80" s="111">
        <f t="shared" si="22"/>
        <v>0.11679117555301133</v>
      </c>
      <c r="I80" s="111"/>
      <c r="J80" s="272">
        <f t="shared" si="23"/>
        <v>13.880008712687061</v>
      </c>
      <c r="K80" s="111">
        <f t="shared" si="24"/>
        <v>16.136408936206916</v>
      </c>
    </row>
    <row r="81" spans="1:11">
      <c r="A81" s="82">
        <v>73</v>
      </c>
      <c r="B81" s="109">
        <v>32632</v>
      </c>
      <c r="C81" s="112">
        <v>15.2188</v>
      </c>
      <c r="D81" s="112">
        <v>14.9062</v>
      </c>
      <c r="E81" s="112">
        <v>14.9375</v>
      </c>
      <c r="F81" s="112">
        <f t="shared" si="20"/>
        <v>15.012811242976014</v>
      </c>
      <c r="G81" s="112">
        <f t="shared" si="21"/>
        <v>0.20598875702398622</v>
      </c>
      <c r="H81" s="112">
        <f t="shared" si="22"/>
        <v>0.10661124297601354</v>
      </c>
      <c r="I81" s="112"/>
      <c r="J81" s="271">
        <f t="shared" si="23"/>
        <v>13.884611131216086</v>
      </c>
      <c r="K81" s="112">
        <f t="shared" si="24"/>
        <v>16.141011354735941</v>
      </c>
    </row>
    <row r="82" spans="1:11">
      <c r="A82" s="82">
        <v>74</v>
      </c>
      <c r="B82" s="109">
        <v>32633</v>
      </c>
      <c r="C82" s="112">
        <v>15.0625</v>
      </c>
      <c r="D82" s="112">
        <v>14.625</v>
      </c>
      <c r="E82" s="112">
        <v>14.75</v>
      </c>
      <c r="F82" s="112">
        <f t="shared" si="20"/>
        <v>15.01741366150504</v>
      </c>
      <c r="G82" s="112">
        <f t="shared" si="21"/>
        <v>4.5086338494959577E-2</v>
      </c>
      <c r="H82" s="112">
        <f t="shared" si="22"/>
        <v>0.39241366150504042</v>
      </c>
      <c r="I82" s="112"/>
      <c r="J82" s="271">
        <f t="shared" si="23"/>
        <v>13.889213549745113</v>
      </c>
      <c r="K82" s="112">
        <f t="shared" si="24"/>
        <v>16.145613773264969</v>
      </c>
    </row>
    <row r="83" spans="1:11">
      <c r="A83" s="83">
        <v>75</v>
      </c>
      <c r="B83" s="110">
        <v>32636</v>
      </c>
      <c r="C83" s="111">
        <v>14.7812</v>
      </c>
      <c r="D83" s="111">
        <v>14.5938</v>
      </c>
      <c r="E83" s="111">
        <v>14.6875</v>
      </c>
      <c r="F83" s="111">
        <f t="shared" si="20"/>
        <v>15.022016080034067</v>
      </c>
      <c r="G83" s="111">
        <f t="shared" si="21"/>
        <v>0.24081608003406707</v>
      </c>
      <c r="H83" s="111">
        <f t="shared" si="22"/>
        <v>0.4282160800340673</v>
      </c>
      <c r="I83" s="111"/>
      <c r="J83" s="272">
        <f t="shared" si="23"/>
        <v>13.89381596827414</v>
      </c>
      <c r="K83" s="111">
        <f t="shared" si="24"/>
        <v>16.150216191793994</v>
      </c>
    </row>
    <row r="84" spans="1:11">
      <c r="A84" s="83">
        <v>76</v>
      </c>
      <c r="B84" s="110">
        <v>32637</v>
      </c>
      <c r="C84" s="111">
        <v>14.75</v>
      </c>
      <c r="D84" s="111">
        <v>14.5938</v>
      </c>
      <c r="E84" s="111">
        <v>14.625</v>
      </c>
      <c r="F84" s="111">
        <f t="shared" si="20"/>
        <v>15.026618498563094</v>
      </c>
      <c r="G84" s="111">
        <f t="shared" si="21"/>
        <v>0.27661849856309395</v>
      </c>
      <c r="H84" s="111">
        <f t="shared" si="22"/>
        <v>0.43281849856309407</v>
      </c>
      <c r="I84" s="111"/>
      <c r="J84" s="272">
        <f t="shared" si="23"/>
        <v>13.898418386803167</v>
      </c>
      <c r="K84" s="111">
        <f t="shared" si="24"/>
        <v>16.154818610323019</v>
      </c>
    </row>
    <row r="85" spans="1:11">
      <c r="A85" s="82">
        <v>77</v>
      </c>
      <c r="B85" s="109">
        <v>32638</v>
      </c>
      <c r="C85" s="112">
        <v>14.6875</v>
      </c>
      <c r="D85" s="112">
        <v>14.5938</v>
      </c>
      <c r="E85" s="112">
        <v>14.6562</v>
      </c>
      <c r="F85" s="112">
        <f t="shared" si="20"/>
        <v>15.031220917092121</v>
      </c>
      <c r="G85" s="112">
        <f t="shared" si="21"/>
        <v>0.34372091709212071</v>
      </c>
      <c r="H85" s="112">
        <f t="shared" si="22"/>
        <v>0.43742091709212083</v>
      </c>
      <c r="I85" s="112"/>
      <c r="J85" s="271">
        <f t="shared" si="23"/>
        <v>13.903020805332194</v>
      </c>
      <c r="K85" s="112">
        <f t="shared" si="24"/>
        <v>16.159421028852048</v>
      </c>
    </row>
    <row r="86" spans="1:11">
      <c r="A86" s="82">
        <v>78</v>
      </c>
      <c r="B86" s="109">
        <v>32639</v>
      </c>
      <c r="C86" s="112">
        <v>14.8438</v>
      </c>
      <c r="D86" s="112">
        <v>14.6562</v>
      </c>
      <c r="E86" s="112">
        <v>14.8125</v>
      </c>
      <c r="F86" s="112">
        <f t="shared" si="20"/>
        <v>15.035823335621146</v>
      </c>
      <c r="G86" s="112">
        <f t="shared" si="21"/>
        <v>0.19202333562114582</v>
      </c>
      <c r="H86" s="112">
        <f t="shared" si="22"/>
        <v>0.37962333562114559</v>
      </c>
      <c r="I86" s="112"/>
      <c r="J86" s="271">
        <f t="shared" si="23"/>
        <v>13.907623223861219</v>
      </c>
      <c r="K86" s="112">
        <f t="shared" si="24"/>
        <v>16.164023447381073</v>
      </c>
    </row>
    <row r="87" spans="1:11">
      <c r="A87" s="83">
        <v>79</v>
      </c>
      <c r="B87" s="110">
        <v>32640</v>
      </c>
      <c r="C87" s="111">
        <v>15.2812</v>
      </c>
      <c r="D87" s="111">
        <v>15.0625</v>
      </c>
      <c r="E87" s="111">
        <v>15.25</v>
      </c>
      <c r="F87" s="111">
        <f t="shared" si="20"/>
        <v>15.040425754150172</v>
      </c>
      <c r="G87" s="111">
        <f t="shared" si="21"/>
        <v>0.24077424584982765</v>
      </c>
      <c r="H87" s="111">
        <f t="shared" si="22"/>
        <v>2.2074245849827534E-2</v>
      </c>
      <c r="I87" s="111"/>
      <c r="J87" s="272">
        <f t="shared" si="23"/>
        <v>13.912225642390245</v>
      </c>
      <c r="K87" s="111">
        <f t="shared" si="24"/>
        <v>16.168625865910101</v>
      </c>
    </row>
    <row r="88" spans="1:11">
      <c r="A88" s="83">
        <v>80</v>
      </c>
      <c r="B88" s="110">
        <v>32643</v>
      </c>
      <c r="C88" s="111">
        <v>15.625</v>
      </c>
      <c r="D88" s="111">
        <v>15.25</v>
      </c>
      <c r="E88" s="111">
        <v>15.625</v>
      </c>
      <c r="F88" s="111">
        <f t="shared" si="20"/>
        <v>15.045028172679199</v>
      </c>
      <c r="G88" s="111">
        <f t="shared" si="21"/>
        <v>0.57997182732080077</v>
      </c>
      <c r="H88" s="111">
        <f t="shared" si="22"/>
        <v>0.20497182732080077</v>
      </c>
      <c r="I88" s="111"/>
      <c r="J88" s="272">
        <f t="shared" si="23"/>
        <v>13.916828060919272</v>
      </c>
      <c r="K88" s="111">
        <f t="shared" si="24"/>
        <v>16.173228284439126</v>
      </c>
    </row>
    <row r="89" spans="1:11">
      <c r="A89" s="82">
        <v>81</v>
      </c>
      <c r="B89" s="109">
        <v>32644</v>
      </c>
      <c r="C89" s="112">
        <v>15.625</v>
      </c>
      <c r="D89" s="112">
        <v>15.4375</v>
      </c>
      <c r="E89" s="112">
        <v>15.5625</v>
      </c>
      <c r="F89" s="112">
        <f t="shared" si="20"/>
        <v>15.049630591208226</v>
      </c>
      <c r="G89" s="112">
        <f t="shared" si="21"/>
        <v>0.57536940879177401</v>
      </c>
      <c r="H89" s="112">
        <f t="shared" si="22"/>
        <v>0.38786940879177401</v>
      </c>
      <c r="I89" s="112"/>
      <c r="J89" s="271">
        <f t="shared" si="23"/>
        <v>13.921430479448299</v>
      </c>
      <c r="K89" s="112">
        <f t="shared" si="24"/>
        <v>16.177830702968151</v>
      </c>
    </row>
    <row r="90" spans="1:11">
      <c r="A90" s="82">
        <v>82</v>
      </c>
      <c r="B90" s="109">
        <v>32645</v>
      </c>
      <c r="C90" s="112">
        <v>15.8438</v>
      </c>
      <c r="D90" s="112">
        <v>15.6562</v>
      </c>
      <c r="E90" s="112">
        <v>15.8438</v>
      </c>
      <c r="F90" s="112">
        <f t="shared" ref="F90:F105" si="25">TREND(E$9:E$195,A$9:A$195,A90)</f>
        <v>15.054233009737251</v>
      </c>
      <c r="G90" s="112">
        <f t="shared" ref="G90:G105" si="26">ABS(C90-F90)</f>
        <v>0.7895669902627489</v>
      </c>
      <c r="H90" s="112">
        <f t="shared" ref="H90:H105" si="27">ABS(F90-D90)</f>
        <v>0.60196699026274914</v>
      </c>
      <c r="I90" s="112"/>
      <c r="J90" s="271">
        <f t="shared" ref="J90:J105" si="28">F90-I$9</f>
        <v>13.926032897977324</v>
      </c>
      <c r="K90" s="112">
        <f t="shared" ref="K90:K105" si="29">F90+I$9</f>
        <v>16.182433121497176</v>
      </c>
    </row>
    <row r="91" spans="1:11">
      <c r="A91" s="83">
        <v>83</v>
      </c>
      <c r="B91" s="110">
        <v>32646</v>
      </c>
      <c r="C91" s="111">
        <v>15.8438</v>
      </c>
      <c r="D91" s="111">
        <v>15.75</v>
      </c>
      <c r="E91" s="111">
        <v>15.7812</v>
      </c>
      <c r="F91" s="111">
        <f t="shared" si="25"/>
        <v>15.058835428266278</v>
      </c>
      <c r="G91" s="111">
        <f t="shared" si="26"/>
        <v>0.78496457173372214</v>
      </c>
      <c r="H91" s="111">
        <f t="shared" si="27"/>
        <v>0.69116457173372225</v>
      </c>
      <c r="I91" s="111"/>
      <c r="J91" s="272">
        <f t="shared" si="28"/>
        <v>13.930635316506351</v>
      </c>
      <c r="K91" s="111">
        <f t="shared" si="29"/>
        <v>16.187035540026205</v>
      </c>
    </row>
    <row r="92" spans="1:11">
      <c r="A92" s="83">
        <v>84</v>
      </c>
      <c r="B92" s="110">
        <v>32647</v>
      </c>
      <c r="C92" s="111">
        <v>16.093800000000002</v>
      </c>
      <c r="D92" s="111">
        <v>15.7812</v>
      </c>
      <c r="E92" s="111">
        <v>16.0625</v>
      </c>
      <c r="F92" s="111">
        <f t="shared" si="25"/>
        <v>15.063437846795305</v>
      </c>
      <c r="G92" s="111">
        <f t="shared" si="26"/>
        <v>1.0303621532046972</v>
      </c>
      <c r="H92" s="111">
        <f t="shared" si="27"/>
        <v>0.71776215320469561</v>
      </c>
      <c r="I92" s="111"/>
      <c r="J92" s="272">
        <f t="shared" si="28"/>
        <v>13.935237735035377</v>
      </c>
      <c r="K92" s="111">
        <f t="shared" si="29"/>
        <v>16.191637958555233</v>
      </c>
    </row>
    <row r="93" spans="1:11">
      <c r="A93" s="82">
        <v>85</v>
      </c>
      <c r="B93" s="109">
        <v>32650</v>
      </c>
      <c r="C93" s="112">
        <v>16.156199999999998</v>
      </c>
      <c r="D93" s="112">
        <v>15.9062</v>
      </c>
      <c r="E93" s="112">
        <v>15.9688</v>
      </c>
      <c r="F93" s="112">
        <f t="shared" si="25"/>
        <v>15.068040265324331</v>
      </c>
      <c r="G93" s="112">
        <f t="shared" si="26"/>
        <v>1.0881597346756671</v>
      </c>
      <c r="H93" s="112">
        <f t="shared" si="27"/>
        <v>0.83815973467566884</v>
      </c>
      <c r="I93" s="112"/>
      <c r="J93" s="271">
        <f t="shared" si="28"/>
        <v>13.939840153564404</v>
      </c>
      <c r="K93" s="112">
        <f t="shared" si="29"/>
        <v>16.196240377084258</v>
      </c>
    </row>
    <row r="94" spans="1:11">
      <c r="A94" s="82">
        <v>86</v>
      </c>
      <c r="B94" s="109">
        <v>32651</v>
      </c>
      <c r="C94" s="112">
        <v>15.875</v>
      </c>
      <c r="D94" s="112">
        <v>15.6562</v>
      </c>
      <c r="E94" s="112">
        <v>15.6562</v>
      </c>
      <c r="F94" s="112">
        <f t="shared" si="25"/>
        <v>15.072642683853358</v>
      </c>
      <c r="G94" s="112">
        <f t="shared" si="26"/>
        <v>0.80235731614664196</v>
      </c>
      <c r="H94" s="112">
        <f t="shared" si="27"/>
        <v>0.58355731614664208</v>
      </c>
      <c r="I94" s="112"/>
      <c r="J94" s="271">
        <f t="shared" si="28"/>
        <v>13.944442572093431</v>
      </c>
      <c r="K94" s="112">
        <f t="shared" si="29"/>
        <v>16.200842795613283</v>
      </c>
    </row>
    <row r="95" spans="1:11">
      <c r="A95" s="83">
        <v>87</v>
      </c>
      <c r="B95" s="110">
        <v>32652</v>
      </c>
      <c r="C95" s="111">
        <v>15.6562</v>
      </c>
      <c r="D95" s="111">
        <v>15.5</v>
      </c>
      <c r="E95" s="111">
        <v>15.5312</v>
      </c>
      <c r="F95" s="111">
        <f t="shared" si="25"/>
        <v>15.077245102382383</v>
      </c>
      <c r="G95" s="111">
        <f t="shared" si="26"/>
        <v>0.57895489761761709</v>
      </c>
      <c r="H95" s="111">
        <f t="shared" si="27"/>
        <v>0.42275489761761698</v>
      </c>
      <c r="I95" s="111"/>
      <c r="J95" s="272">
        <f t="shared" si="28"/>
        <v>13.949044990622456</v>
      </c>
      <c r="K95" s="111">
        <f t="shared" si="29"/>
        <v>16.205445214142308</v>
      </c>
    </row>
    <row r="96" spans="1:11">
      <c r="A96" s="83">
        <v>88</v>
      </c>
      <c r="B96" s="110">
        <v>32653</v>
      </c>
      <c r="C96" s="111">
        <v>15.5938</v>
      </c>
      <c r="D96" s="111">
        <v>15.4375</v>
      </c>
      <c r="E96" s="111">
        <v>15.5625</v>
      </c>
      <c r="F96" s="111">
        <f t="shared" si="25"/>
        <v>15.08184752091141</v>
      </c>
      <c r="G96" s="111">
        <f t="shared" si="26"/>
        <v>0.5119524790885901</v>
      </c>
      <c r="H96" s="111">
        <f t="shared" si="27"/>
        <v>0.35565247908859021</v>
      </c>
      <c r="I96" s="111"/>
      <c r="J96" s="272">
        <f t="shared" si="28"/>
        <v>13.953647409151483</v>
      </c>
      <c r="K96" s="111">
        <f t="shared" si="29"/>
        <v>16.210047632671337</v>
      </c>
    </row>
    <row r="97" spans="1:11">
      <c r="A97" s="82">
        <v>89</v>
      </c>
      <c r="B97" s="109">
        <v>32654</v>
      </c>
      <c r="C97" s="112">
        <v>15.7188</v>
      </c>
      <c r="D97" s="112">
        <v>15.5625</v>
      </c>
      <c r="E97" s="112">
        <v>15.7188</v>
      </c>
      <c r="F97" s="112">
        <f t="shared" si="25"/>
        <v>15.086449939440437</v>
      </c>
      <c r="G97" s="112">
        <f t="shared" si="26"/>
        <v>0.63235006055956333</v>
      </c>
      <c r="H97" s="112">
        <f t="shared" si="27"/>
        <v>0.47605006055956345</v>
      </c>
      <c r="I97" s="112"/>
      <c r="J97" s="271">
        <f t="shared" si="28"/>
        <v>13.958249827680509</v>
      </c>
      <c r="K97" s="112">
        <f t="shared" si="29"/>
        <v>16.214650051200366</v>
      </c>
    </row>
    <row r="98" spans="1:11">
      <c r="A98" s="82">
        <v>90</v>
      </c>
      <c r="B98" s="109">
        <v>32658</v>
      </c>
      <c r="C98" s="112">
        <v>15.875</v>
      </c>
      <c r="D98" s="112">
        <v>15.6875</v>
      </c>
      <c r="E98" s="112">
        <v>15.8438</v>
      </c>
      <c r="F98" s="112">
        <f t="shared" si="25"/>
        <v>15.091052357969463</v>
      </c>
      <c r="G98" s="112">
        <f t="shared" si="26"/>
        <v>0.78394764203053668</v>
      </c>
      <c r="H98" s="112">
        <f t="shared" si="27"/>
        <v>0.59644764203053668</v>
      </c>
      <c r="I98" s="112"/>
      <c r="J98" s="271">
        <f t="shared" si="28"/>
        <v>13.962852246209536</v>
      </c>
      <c r="K98" s="112">
        <f t="shared" si="29"/>
        <v>16.21925246972939</v>
      </c>
    </row>
    <row r="99" spans="1:11">
      <c r="A99" s="83">
        <v>91</v>
      </c>
      <c r="B99" s="110">
        <v>32659</v>
      </c>
      <c r="C99" s="111">
        <v>16</v>
      </c>
      <c r="D99" s="111">
        <v>15.8125</v>
      </c>
      <c r="E99" s="111">
        <v>15.9688</v>
      </c>
      <c r="F99" s="111">
        <f t="shared" si="25"/>
        <v>15.095654776498488</v>
      </c>
      <c r="G99" s="111">
        <f t="shared" si="26"/>
        <v>0.9043452235015117</v>
      </c>
      <c r="H99" s="111">
        <f t="shared" si="27"/>
        <v>0.7168452235015117</v>
      </c>
      <c r="I99" s="111"/>
      <c r="J99" s="272">
        <f t="shared" si="28"/>
        <v>13.967454664738561</v>
      </c>
      <c r="K99" s="111">
        <f t="shared" si="29"/>
        <v>16.223854888258415</v>
      </c>
    </row>
    <row r="100" spans="1:11">
      <c r="A100" s="83">
        <v>92</v>
      </c>
      <c r="B100" s="110">
        <v>32660</v>
      </c>
      <c r="C100" s="111">
        <v>15.8125</v>
      </c>
      <c r="D100" s="111">
        <v>15.5625</v>
      </c>
      <c r="E100" s="111">
        <v>15.6562</v>
      </c>
      <c r="F100" s="111">
        <f t="shared" si="25"/>
        <v>15.100257195027515</v>
      </c>
      <c r="G100" s="111">
        <f t="shared" si="26"/>
        <v>0.71224280497248493</v>
      </c>
      <c r="H100" s="111">
        <f t="shared" si="27"/>
        <v>0.46224280497248493</v>
      </c>
      <c r="I100" s="111"/>
      <c r="J100" s="272">
        <f t="shared" si="28"/>
        <v>13.972057083267588</v>
      </c>
      <c r="K100" s="111">
        <f t="shared" si="29"/>
        <v>16.22845730678744</v>
      </c>
    </row>
    <row r="101" spans="1:11">
      <c r="A101" s="82">
        <v>93</v>
      </c>
      <c r="B101" s="109">
        <v>32661</v>
      </c>
      <c r="C101" s="112">
        <v>15.7188</v>
      </c>
      <c r="D101" s="112">
        <v>15.4375</v>
      </c>
      <c r="E101" s="112">
        <v>15.5312</v>
      </c>
      <c r="F101" s="112">
        <f t="shared" si="25"/>
        <v>15.104859613556542</v>
      </c>
      <c r="G101" s="112">
        <f t="shared" si="26"/>
        <v>0.61394038644345805</v>
      </c>
      <c r="H101" s="112">
        <f t="shared" si="27"/>
        <v>0.33264038644345817</v>
      </c>
      <c r="I101" s="112"/>
      <c r="J101" s="271">
        <f t="shared" si="28"/>
        <v>13.976659501796615</v>
      </c>
      <c r="K101" s="112">
        <f t="shared" si="29"/>
        <v>16.233059725316469</v>
      </c>
    </row>
    <row r="102" spans="1:11">
      <c r="A102" s="82">
        <v>94</v>
      </c>
      <c r="B102" s="109">
        <v>32664</v>
      </c>
      <c r="C102" s="112">
        <v>15.5312</v>
      </c>
      <c r="D102" s="112">
        <v>15.3125</v>
      </c>
      <c r="E102" s="112">
        <v>15.3438</v>
      </c>
      <c r="F102" s="112">
        <f t="shared" si="25"/>
        <v>15.109462032085569</v>
      </c>
      <c r="G102" s="112">
        <f t="shared" si="26"/>
        <v>0.42173796791443152</v>
      </c>
      <c r="H102" s="112">
        <f t="shared" si="27"/>
        <v>0.20303796791443141</v>
      </c>
      <c r="I102" s="112"/>
      <c r="J102" s="271">
        <f t="shared" si="28"/>
        <v>13.981261920325641</v>
      </c>
      <c r="K102" s="112">
        <f t="shared" si="29"/>
        <v>16.237662143845498</v>
      </c>
    </row>
    <row r="103" spans="1:11">
      <c r="A103" s="83">
        <v>95</v>
      </c>
      <c r="B103" s="110">
        <v>32665</v>
      </c>
      <c r="C103" s="111">
        <v>15.5</v>
      </c>
      <c r="D103" s="111">
        <v>15.375</v>
      </c>
      <c r="E103" s="111">
        <v>15.5</v>
      </c>
      <c r="F103" s="111">
        <f t="shared" si="25"/>
        <v>15.114064450614595</v>
      </c>
      <c r="G103" s="111">
        <f t="shared" si="26"/>
        <v>0.38593554938540464</v>
      </c>
      <c r="H103" s="111">
        <f t="shared" si="27"/>
        <v>0.26093554938540464</v>
      </c>
      <c r="I103" s="111"/>
      <c r="J103" s="272">
        <f t="shared" si="28"/>
        <v>13.985864338854668</v>
      </c>
      <c r="K103" s="111">
        <f t="shared" si="29"/>
        <v>16.242264562374523</v>
      </c>
    </row>
    <row r="104" spans="1:11">
      <c r="A104" s="83">
        <v>96</v>
      </c>
      <c r="B104" s="110">
        <v>32666</v>
      </c>
      <c r="C104" s="111">
        <v>15.5625</v>
      </c>
      <c r="D104" s="111">
        <v>15.375</v>
      </c>
      <c r="E104" s="111">
        <v>15.5</v>
      </c>
      <c r="F104" s="111">
        <f t="shared" si="25"/>
        <v>15.11866686914362</v>
      </c>
      <c r="G104" s="111">
        <f t="shared" si="26"/>
        <v>0.44383313085637965</v>
      </c>
      <c r="H104" s="111">
        <f t="shared" si="27"/>
        <v>0.25633313085637965</v>
      </c>
      <c r="I104" s="111"/>
      <c r="J104" s="272">
        <f t="shared" si="28"/>
        <v>13.990466757383693</v>
      </c>
      <c r="K104" s="111">
        <f t="shared" si="29"/>
        <v>16.246866980903548</v>
      </c>
    </row>
    <row r="105" spans="1:11">
      <c r="A105" s="82">
        <v>97</v>
      </c>
      <c r="B105" s="109">
        <v>32667</v>
      </c>
      <c r="C105" s="112">
        <v>15.4688</v>
      </c>
      <c r="D105" s="112">
        <v>15.375</v>
      </c>
      <c r="E105" s="112">
        <v>15.4062</v>
      </c>
      <c r="F105" s="112">
        <f t="shared" si="25"/>
        <v>15.123269287672647</v>
      </c>
      <c r="G105" s="112">
        <f t="shared" si="26"/>
        <v>0.34553071232735277</v>
      </c>
      <c r="H105" s="112">
        <f t="shared" si="27"/>
        <v>0.25173071232735289</v>
      </c>
      <c r="I105" s="112"/>
      <c r="J105" s="271">
        <f t="shared" si="28"/>
        <v>13.99506917591272</v>
      </c>
      <c r="K105" s="112">
        <f t="shared" si="29"/>
        <v>16.251469399432573</v>
      </c>
    </row>
    <row r="106" spans="1:11">
      <c r="A106" s="82">
        <v>98</v>
      </c>
      <c r="B106" s="109">
        <v>32668</v>
      </c>
      <c r="C106" s="112">
        <v>15.375</v>
      </c>
      <c r="D106" s="112">
        <v>15.1562</v>
      </c>
      <c r="E106" s="112">
        <v>15.1875</v>
      </c>
      <c r="F106" s="112">
        <f t="shared" ref="F106:F121" si="30">TREND(E$9:E$195,A$9:A$195,A106)</f>
        <v>15.127871706201674</v>
      </c>
      <c r="G106" s="112">
        <f t="shared" ref="G106:G121" si="31">ABS(C106-F106)</f>
        <v>0.24712829379832613</v>
      </c>
      <c r="H106" s="112">
        <f t="shared" ref="H106:H121" si="32">ABS(F106-D106)</f>
        <v>2.8328293798326243E-2</v>
      </c>
      <c r="I106" s="112"/>
      <c r="J106" s="271">
        <f t="shared" ref="J106:J121" si="33">F106-I$9</f>
        <v>13.999671594441747</v>
      </c>
      <c r="K106" s="112">
        <f t="shared" ref="K106:K121" si="34">F106+I$9</f>
        <v>16.256071817961601</v>
      </c>
    </row>
    <row r="107" spans="1:11">
      <c r="A107" s="83">
        <v>99</v>
      </c>
      <c r="B107" s="110">
        <v>32671</v>
      </c>
      <c r="C107" s="111">
        <v>15.1562</v>
      </c>
      <c r="D107" s="111">
        <v>14.9062</v>
      </c>
      <c r="E107" s="111">
        <v>15</v>
      </c>
      <c r="F107" s="111">
        <f t="shared" si="30"/>
        <v>15.132474124730701</v>
      </c>
      <c r="G107" s="111">
        <f t="shared" si="31"/>
        <v>2.3725875269299479E-2</v>
      </c>
      <c r="H107" s="111">
        <f t="shared" si="32"/>
        <v>0.22627412473070052</v>
      </c>
      <c r="I107" s="111"/>
      <c r="J107" s="272">
        <f t="shared" si="33"/>
        <v>14.004274012970773</v>
      </c>
      <c r="K107" s="111">
        <f t="shared" si="34"/>
        <v>16.26067423649063</v>
      </c>
    </row>
    <row r="108" spans="1:11">
      <c r="A108" s="83">
        <v>100</v>
      </c>
      <c r="B108" s="110">
        <v>32672</v>
      </c>
      <c r="C108" s="111">
        <v>15</v>
      </c>
      <c r="D108" s="111">
        <v>14.875</v>
      </c>
      <c r="E108" s="111">
        <v>14.9688</v>
      </c>
      <c r="F108" s="111">
        <f t="shared" si="30"/>
        <v>15.137076543259727</v>
      </c>
      <c r="G108" s="111">
        <f t="shared" si="31"/>
        <v>0.1370765432597274</v>
      </c>
      <c r="H108" s="111">
        <f t="shared" si="32"/>
        <v>0.2620765432597274</v>
      </c>
      <c r="I108" s="111"/>
      <c r="J108" s="272">
        <f t="shared" si="33"/>
        <v>14.0088764314998</v>
      </c>
      <c r="K108" s="111">
        <f t="shared" si="34"/>
        <v>16.265276655019655</v>
      </c>
    </row>
    <row r="109" spans="1:11">
      <c r="A109" s="82">
        <v>101</v>
      </c>
      <c r="B109" s="109">
        <v>32673</v>
      </c>
      <c r="C109" s="112">
        <v>14.9375</v>
      </c>
      <c r="D109" s="112">
        <v>14.75</v>
      </c>
      <c r="E109" s="112">
        <v>14.75</v>
      </c>
      <c r="F109" s="112">
        <f t="shared" si="30"/>
        <v>15.141678961788752</v>
      </c>
      <c r="G109" s="112">
        <f t="shared" si="31"/>
        <v>0.20417896178875239</v>
      </c>
      <c r="H109" s="112">
        <f t="shared" si="32"/>
        <v>0.39167896178875239</v>
      </c>
      <c r="I109" s="112"/>
      <c r="J109" s="271">
        <f t="shared" si="33"/>
        <v>14.013478850028825</v>
      </c>
      <c r="K109" s="112">
        <f t="shared" si="34"/>
        <v>16.26987907354868</v>
      </c>
    </row>
    <row r="110" spans="1:11">
      <c r="A110" s="82">
        <v>102</v>
      </c>
      <c r="B110" s="109">
        <v>32674</v>
      </c>
      <c r="C110" s="112">
        <v>14.8125</v>
      </c>
      <c r="D110" s="112">
        <v>14.6875</v>
      </c>
      <c r="E110" s="112">
        <v>14.75</v>
      </c>
      <c r="F110" s="112">
        <f t="shared" si="30"/>
        <v>15.146281380317779</v>
      </c>
      <c r="G110" s="112">
        <f t="shared" si="31"/>
        <v>0.33378138031777915</v>
      </c>
      <c r="H110" s="112">
        <f t="shared" si="32"/>
        <v>0.45878138031777915</v>
      </c>
      <c r="I110" s="112"/>
      <c r="J110" s="271">
        <f t="shared" si="33"/>
        <v>14.018081268557852</v>
      </c>
      <c r="K110" s="112">
        <f t="shared" si="34"/>
        <v>16.274481492077705</v>
      </c>
    </row>
    <row r="111" spans="1:11">
      <c r="A111" s="83">
        <v>103</v>
      </c>
      <c r="B111" s="110">
        <v>32675</v>
      </c>
      <c r="C111" s="111">
        <v>14.8438</v>
      </c>
      <c r="D111" s="111">
        <v>14.7188</v>
      </c>
      <c r="E111" s="111">
        <v>14.8125</v>
      </c>
      <c r="F111" s="111">
        <f t="shared" si="30"/>
        <v>15.150883798846806</v>
      </c>
      <c r="G111" s="111">
        <f t="shared" si="31"/>
        <v>0.30708379884680603</v>
      </c>
      <c r="H111" s="111">
        <f t="shared" si="32"/>
        <v>0.43208379884680603</v>
      </c>
      <c r="I111" s="111"/>
      <c r="J111" s="272">
        <f t="shared" si="33"/>
        <v>14.022683687086879</v>
      </c>
      <c r="K111" s="111">
        <f t="shared" si="34"/>
        <v>16.279083910606733</v>
      </c>
    </row>
    <row r="112" spans="1:11">
      <c r="A112" s="83">
        <v>104</v>
      </c>
      <c r="B112" s="110">
        <v>32678</v>
      </c>
      <c r="C112" s="111">
        <v>14.8125</v>
      </c>
      <c r="D112" s="111">
        <v>14.7188</v>
      </c>
      <c r="E112" s="111">
        <v>14.75</v>
      </c>
      <c r="F112" s="111">
        <f t="shared" si="30"/>
        <v>15.155486217375833</v>
      </c>
      <c r="G112" s="111">
        <f t="shared" si="31"/>
        <v>0.34298621737583268</v>
      </c>
      <c r="H112" s="111">
        <f t="shared" si="32"/>
        <v>0.4366862173758328</v>
      </c>
      <c r="I112" s="111"/>
      <c r="J112" s="272">
        <f t="shared" si="33"/>
        <v>14.027286105615905</v>
      </c>
      <c r="K112" s="111">
        <f t="shared" si="34"/>
        <v>16.283686329135762</v>
      </c>
    </row>
    <row r="113" spans="1:11">
      <c r="A113" s="82">
        <v>105</v>
      </c>
      <c r="B113" s="109">
        <v>32679</v>
      </c>
      <c r="C113" s="112">
        <v>14.7812</v>
      </c>
      <c r="D113" s="112">
        <v>14.5938</v>
      </c>
      <c r="E113" s="112">
        <v>14.5938</v>
      </c>
      <c r="F113" s="112">
        <f t="shared" si="30"/>
        <v>15.160088635904859</v>
      </c>
      <c r="G113" s="112">
        <f t="shared" si="31"/>
        <v>0.37888863590485933</v>
      </c>
      <c r="H113" s="112">
        <f t="shared" si="32"/>
        <v>0.56628863590485956</v>
      </c>
      <c r="I113" s="112"/>
      <c r="J113" s="271">
        <f t="shared" si="33"/>
        <v>14.031888524144932</v>
      </c>
      <c r="K113" s="112">
        <f t="shared" si="34"/>
        <v>16.288288747664787</v>
      </c>
    </row>
    <row r="114" spans="1:11">
      <c r="A114" s="82">
        <v>106</v>
      </c>
      <c r="B114" s="109">
        <v>32680</v>
      </c>
      <c r="C114" s="112">
        <v>14.6562</v>
      </c>
      <c r="D114" s="112">
        <v>14.5625</v>
      </c>
      <c r="E114" s="112">
        <v>14.6562</v>
      </c>
      <c r="F114" s="112">
        <f t="shared" si="30"/>
        <v>15.164691054433884</v>
      </c>
      <c r="G114" s="112">
        <f t="shared" si="31"/>
        <v>0.50849105443388432</v>
      </c>
      <c r="H114" s="112">
        <f t="shared" si="32"/>
        <v>0.60219105443388443</v>
      </c>
      <c r="I114" s="112"/>
      <c r="J114" s="271">
        <f t="shared" si="33"/>
        <v>14.036490942673957</v>
      </c>
      <c r="K114" s="112">
        <f t="shared" si="34"/>
        <v>16.292891166193812</v>
      </c>
    </row>
    <row r="115" spans="1:11">
      <c r="A115" s="83">
        <v>107</v>
      </c>
      <c r="B115" s="110">
        <v>32681</v>
      </c>
      <c r="C115" s="111">
        <v>14.75</v>
      </c>
      <c r="D115" s="111">
        <v>14.6562</v>
      </c>
      <c r="E115" s="111">
        <v>14.7188</v>
      </c>
      <c r="F115" s="111">
        <f t="shared" si="30"/>
        <v>15.169293472962911</v>
      </c>
      <c r="G115" s="111">
        <f t="shared" si="31"/>
        <v>0.4192934729629112</v>
      </c>
      <c r="H115" s="111">
        <f t="shared" si="32"/>
        <v>0.51309347296291108</v>
      </c>
      <c r="I115" s="111"/>
      <c r="J115" s="272">
        <f t="shared" si="33"/>
        <v>14.041093361202984</v>
      </c>
      <c r="K115" s="111">
        <f t="shared" si="34"/>
        <v>16.297493584722837</v>
      </c>
    </row>
    <row r="116" spans="1:11">
      <c r="A116" s="83">
        <v>108</v>
      </c>
      <c r="B116" s="110">
        <v>32682</v>
      </c>
      <c r="C116" s="111">
        <v>14.9688</v>
      </c>
      <c r="D116" s="111">
        <v>14.75</v>
      </c>
      <c r="E116" s="111">
        <v>14.875</v>
      </c>
      <c r="F116" s="111">
        <f t="shared" si="30"/>
        <v>15.173895891491938</v>
      </c>
      <c r="G116" s="111">
        <f t="shared" si="31"/>
        <v>0.20509589149193808</v>
      </c>
      <c r="H116" s="111">
        <f t="shared" si="32"/>
        <v>0.42389589149193796</v>
      </c>
      <c r="I116" s="111"/>
      <c r="J116" s="272">
        <f t="shared" si="33"/>
        <v>14.045695779732011</v>
      </c>
      <c r="K116" s="111">
        <f t="shared" si="34"/>
        <v>16.302096003251865</v>
      </c>
    </row>
    <row r="117" spans="1:11">
      <c r="A117" s="82">
        <v>109</v>
      </c>
      <c r="B117" s="109">
        <v>32685</v>
      </c>
      <c r="C117" s="112">
        <v>14.875</v>
      </c>
      <c r="D117" s="112">
        <v>14.8125</v>
      </c>
      <c r="E117" s="112">
        <v>14.875</v>
      </c>
      <c r="F117" s="112">
        <f t="shared" si="30"/>
        <v>15.178498310020965</v>
      </c>
      <c r="G117" s="112">
        <f t="shared" si="31"/>
        <v>0.30349831002096472</v>
      </c>
      <c r="H117" s="112">
        <f t="shared" si="32"/>
        <v>0.36599831002096472</v>
      </c>
      <c r="I117" s="112"/>
      <c r="J117" s="271">
        <f t="shared" si="33"/>
        <v>14.050298198261038</v>
      </c>
      <c r="K117" s="112">
        <f t="shared" si="34"/>
        <v>16.306698421780894</v>
      </c>
    </row>
    <row r="118" spans="1:11">
      <c r="A118" s="82">
        <v>110</v>
      </c>
      <c r="B118" s="109">
        <v>32686</v>
      </c>
      <c r="C118" s="112">
        <v>14.9375</v>
      </c>
      <c r="D118" s="112">
        <v>14.875</v>
      </c>
      <c r="E118" s="112">
        <v>14.9062</v>
      </c>
      <c r="F118" s="112">
        <f t="shared" si="30"/>
        <v>15.18310072854999</v>
      </c>
      <c r="G118" s="112">
        <f t="shared" si="31"/>
        <v>0.24560072854998971</v>
      </c>
      <c r="H118" s="112">
        <f t="shared" si="32"/>
        <v>0.30810072854998971</v>
      </c>
      <c r="I118" s="112"/>
      <c r="J118" s="271">
        <f t="shared" si="33"/>
        <v>14.054900616790063</v>
      </c>
      <c r="K118" s="112">
        <f t="shared" si="34"/>
        <v>16.311300840309919</v>
      </c>
    </row>
    <row r="119" spans="1:11">
      <c r="A119" s="71">
        <v>111</v>
      </c>
      <c r="B119" s="110">
        <v>32687</v>
      </c>
      <c r="C119" s="111">
        <v>14.875</v>
      </c>
      <c r="D119" s="111">
        <v>14.7188</v>
      </c>
      <c r="E119" s="111">
        <v>14.75</v>
      </c>
      <c r="F119" s="111">
        <f t="shared" si="30"/>
        <v>15.187703147079016</v>
      </c>
      <c r="G119" s="111">
        <f t="shared" si="31"/>
        <v>0.31270314707901647</v>
      </c>
      <c r="H119" s="111">
        <f t="shared" si="32"/>
        <v>0.46890314707901659</v>
      </c>
      <c r="I119" s="111"/>
      <c r="J119" s="272">
        <f t="shared" si="33"/>
        <v>14.059503035319089</v>
      </c>
      <c r="K119" s="111">
        <f t="shared" si="34"/>
        <v>16.315903258838944</v>
      </c>
    </row>
    <row r="120" spans="1:11">
      <c r="A120" s="71">
        <v>112</v>
      </c>
      <c r="B120" s="110">
        <v>32688</v>
      </c>
      <c r="C120" s="111">
        <v>14.7188</v>
      </c>
      <c r="D120" s="111">
        <v>14.5625</v>
      </c>
      <c r="E120" s="111">
        <v>14.5625</v>
      </c>
      <c r="F120" s="111">
        <f t="shared" si="30"/>
        <v>15.192305565608043</v>
      </c>
      <c r="G120" s="111">
        <f t="shared" si="31"/>
        <v>0.47350556560804336</v>
      </c>
      <c r="H120" s="111">
        <f t="shared" si="32"/>
        <v>0.62980556560804324</v>
      </c>
      <c r="I120" s="111"/>
      <c r="J120" s="272">
        <f t="shared" si="33"/>
        <v>14.064105453848116</v>
      </c>
      <c r="K120" s="111">
        <f t="shared" si="34"/>
        <v>16.320505677367969</v>
      </c>
    </row>
    <row r="121" spans="1:11">
      <c r="A121" s="82">
        <v>113</v>
      </c>
      <c r="B121" s="109">
        <v>32689</v>
      </c>
      <c r="C121" s="112">
        <v>14.5938</v>
      </c>
      <c r="D121" s="112">
        <v>14.375</v>
      </c>
      <c r="E121" s="112">
        <v>14.5</v>
      </c>
      <c r="F121" s="112">
        <f t="shared" si="30"/>
        <v>15.19690798413707</v>
      </c>
      <c r="G121" s="112">
        <f t="shared" si="31"/>
        <v>0.60310798413707012</v>
      </c>
      <c r="H121" s="112">
        <f t="shared" si="32"/>
        <v>0.82190798413707</v>
      </c>
      <c r="I121" s="112"/>
      <c r="J121" s="271">
        <f t="shared" si="33"/>
        <v>14.068707872377143</v>
      </c>
      <c r="K121" s="112">
        <f t="shared" si="34"/>
        <v>16.325108095896997</v>
      </c>
    </row>
    <row r="122" spans="1:11">
      <c r="A122" s="82">
        <v>114</v>
      </c>
      <c r="B122" s="109">
        <v>32692</v>
      </c>
      <c r="C122" s="112">
        <v>14.5625</v>
      </c>
      <c r="D122" s="112">
        <v>14.4062</v>
      </c>
      <c r="E122" s="112">
        <v>14.5312</v>
      </c>
      <c r="F122" s="112">
        <f t="shared" ref="F122:F137" si="35">TREND(E$9:E$195,A$9:A$195,A122)</f>
        <v>15.201510402666097</v>
      </c>
      <c r="G122" s="112">
        <f t="shared" ref="G122:G137" si="36">ABS(C122-F122)</f>
        <v>0.63901040266609677</v>
      </c>
      <c r="H122" s="112">
        <f t="shared" ref="H122:H137" si="37">ABS(F122-D122)</f>
        <v>0.79531040266609665</v>
      </c>
      <c r="I122" s="112"/>
      <c r="J122" s="271">
        <f t="shared" ref="J122:J137" si="38">F122-I$9</f>
        <v>14.07331029090617</v>
      </c>
      <c r="K122" s="112">
        <f t="shared" ref="K122:K137" si="39">F122+I$9</f>
        <v>16.329710514426026</v>
      </c>
    </row>
    <row r="123" spans="1:11">
      <c r="A123" s="83">
        <v>115</v>
      </c>
      <c r="B123" s="110">
        <v>32694</v>
      </c>
      <c r="C123" s="111">
        <v>14.5625</v>
      </c>
      <c r="D123" s="111">
        <v>14.375</v>
      </c>
      <c r="E123" s="111">
        <v>14.5</v>
      </c>
      <c r="F123" s="111">
        <f t="shared" si="35"/>
        <v>15.206112821195122</v>
      </c>
      <c r="G123" s="111">
        <f t="shared" si="36"/>
        <v>0.64361282119512175</v>
      </c>
      <c r="H123" s="111">
        <f t="shared" si="37"/>
        <v>0.83111282119512175</v>
      </c>
      <c r="I123" s="111"/>
      <c r="J123" s="272">
        <f t="shared" si="38"/>
        <v>14.077912709435195</v>
      </c>
      <c r="K123" s="111">
        <f t="shared" si="39"/>
        <v>16.334312932955051</v>
      </c>
    </row>
    <row r="124" spans="1:11">
      <c r="A124" s="83">
        <v>116</v>
      </c>
      <c r="B124" s="110">
        <v>32695</v>
      </c>
      <c r="C124" s="111">
        <v>14.5938</v>
      </c>
      <c r="D124" s="111">
        <v>14.5312</v>
      </c>
      <c r="E124" s="111">
        <v>14.5938</v>
      </c>
      <c r="F124" s="111">
        <f t="shared" si="35"/>
        <v>15.210715239724149</v>
      </c>
      <c r="G124" s="111">
        <f t="shared" si="36"/>
        <v>0.61691523972414863</v>
      </c>
      <c r="H124" s="111">
        <f t="shared" si="37"/>
        <v>0.6795152397241484</v>
      </c>
      <c r="I124" s="111"/>
      <c r="J124" s="272">
        <f t="shared" si="38"/>
        <v>14.082515127964221</v>
      </c>
      <c r="K124" s="111">
        <f t="shared" si="39"/>
        <v>16.338915351484076</v>
      </c>
    </row>
    <row r="125" spans="1:11">
      <c r="A125" s="82">
        <v>117</v>
      </c>
      <c r="B125" s="109">
        <v>32696</v>
      </c>
      <c r="C125" s="112">
        <v>14.6562</v>
      </c>
      <c r="D125" s="112">
        <v>14.5312</v>
      </c>
      <c r="E125" s="112">
        <v>14.5938</v>
      </c>
      <c r="F125" s="112">
        <f t="shared" si="35"/>
        <v>15.215317658253175</v>
      </c>
      <c r="G125" s="112">
        <f t="shared" si="36"/>
        <v>0.55911765825317516</v>
      </c>
      <c r="H125" s="112">
        <f t="shared" si="37"/>
        <v>0.68411765825317516</v>
      </c>
      <c r="I125" s="112"/>
      <c r="J125" s="271">
        <f t="shared" si="38"/>
        <v>14.087117546493248</v>
      </c>
      <c r="K125" s="112">
        <f t="shared" si="39"/>
        <v>16.343517770013101</v>
      </c>
    </row>
    <row r="126" spans="1:11">
      <c r="A126" s="82">
        <v>118</v>
      </c>
      <c r="B126" s="109">
        <v>32699</v>
      </c>
      <c r="C126" s="112">
        <v>14.875</v>
      </c>
      <c r="D126" s="112">
        <v>14.5312</v>
      </c>
      <c r="E126" s="112">
        <v>14.8125</v>
      </c>
      <c r="F126" s="112">
        <f t="shared" si="35"/>
        <v>15.219920076782202</v>
      </c>
      <c r="G126" s="112">
        <f t="shared" si="36"/>
        <v>0.34492007678220205</v>
      </c>
      <c r="H126" s="112">
        <f t="shared" si="37"/>
        <v>0.68872007678220193</v>
      </c>
      <c r="I126" s="112"/>
      <c r="J126" s="271">
        <f t="shared" si="38"/>
        <v>14.091719965022275</v>
      </c>
      <c r="K126" s="112">
        <f t="shared" si="39"/>
        <v>16.348120188542129</v>
      </c>
    </row>
    <row r="127" spans="1:11">
      <c r="A127" s="83">
        <v>119</v>
      </c>
      <c r="B127" s="110">
        <v>32700</v>
      </c>
      <c r="C127" s="111">
        <v>14.9688</v>
      </c>
      <c r="D127" s="111">
        <v>14.875</v>
      </c>
      <c r="E127" s="111">
        <v>14.9688</v>
      </c>
      <c r="F127" s="111">
        <f t="shared" si="35"/>
        <v>15.224522495311227</v>
      </c>
      <c r="G127" s="111">
        <f t="shared" si="36"/>
        <v>0.25572249531122715</v>
      </c>
      <c r="H127" s="111">
        <f t="shared" si="37"/>
        <v>0.34952249531122703</v>
      </c>
      <c r="I127" s="111"/>
      <c r="J127" s="272">
        <f t="shared" si="38"/>
        <v>14.0963223835513</v>
      </c>
      <c r="K127" s="111">
        <f t="shared" si="39"/>
        <v>16.352722607071154</v>
      </c>
    </row>
    <row r="128" spans="1:11">
      <c r="A128" s="83">
        <v>120</v>
      </c>
      <c r="B128" s="110">
        <v>32701</v>
      </c>
      <c r="C128" s="111">
        <v>14.9375</v>
      </c>
      <c r="D128" s="111">
        <v>14.7812</v>
      </c>
      <c r="E128" s="111">
        <v>14.9062</v>
      </c>
      <c r="F128" s="111">
        <f t="shared" si="35"/>
        <v>15.229124913840254</v>
      </c>
      <c r="G128" s="111">
        <f t="shared" si="36"/>
        <v>0.2916249138402538</v>
      </c>
      <c r="H128" s="111">
        <f t="shared" si="37"/>
        <v>0.44792491384025368</v>
      </c>
      <c r="I128" s="111"/>
      <c r="J128" s="272">
        <f t="shared" si="38"/>
        <v>14.100924802080327</v>
      </c>
      <c r="K128" s="111">
        <f t="shared" si="39"/>
        <v>16.357325025600183</v>
      </c>
    </row>
    <row r="129" spans="1:11">
      <c r="A129" s="82">
        <v>121</v>
      </c>
      <c r="B129" s="109">
        <v>32702</v>
      </c>
      <c r="C129" s="112">
        <v>14.9688</v>
      </c>
      <c r="D129" s="112">
        <v>14.75</v>
      </c>
      <c r="E129" s="112">
        <v>14.9062</v>
      </c>
      <c r="F129" s="112">
        <f t="shared" si="35"/>
        <v>15.233727332369281</v>
      </c>
      <c r="G129" s="112">
        <f t="shared" si="36"/>
        <v>0.26492733236928068</v>
      </c>
      <c r="H129" s="112">
        <f t="shared" si="37"/>
        <v>0.48372733236928056</v>
      </c>
      <c r="I129" s="112"/>
      <c r="J129" s="271">
        <f t="shared" si="38"/>
        <v>14.105527220609353</v>
      </c>
      <c r="K129" s="112">
        <f t="shared" si="39"/>
        <v>16.361927444129208</v>
      </c>
    </row>
    <row r="130" spans="1:11">
      <c r="A130" s="82">
        <v>122</v>
      </c>
      <c r="B130" s="109">
        <v>32703</v>
      </c>
      <c r="C130" s="112">
        <v>14.9375</v>
      </c>
      <c r="D130" s="112">
        <v>14.8438</v>
      </c>
      <c r="E130" s="112">
        <v>14.875</v>
      </c>
      <c r="F130" s="112">
        <f t="shared" si="35"/>
        <v>15.238329750898307</v>
      </c>
      <c r="G130" s="112">
        <f t="shared" si="36"/>
        <v>0.30082975089830732</v>
      </c>
      <c r="H130" s="112">
        <f t="shared" si="37"/>
        <v>0.39452975089830744</v>
      </c>
      <c r="I130" s="112"/>
      <c r="J130" s="271">
        <f t="shared" si="38"/>
        <v>14.11012963913838</v>
      </c>
      <c r="K130" s="112">
        <f t="shared" si="39"/>
        <v>16.366529862658233</v>
      </c>
    </row>
    <row r="131" spans="1:11">
      <c r="A131" s="83">
        <v>123</v>
      </c>
      <c r="B131" s="110">
        <v>32706</v>
      </c>
      <c r="C131" s="111">
        <v>15.0312</v>
      </c>
      <c r="D131" s="111">
        <v>14.875</v>
      </c>
      <c r="E131" s="111">
        <v>14.9375</v>
      </c>
      <c r="F131" s="111">
        <f t="shared" si="35"/>
        <v>15.242932169427334</v>
      </c>
      <c r="G131" s="111">
        <f t="shared" si="36"/>
        <v>0.21173216942733397</v>
      </c>
      <c r="H131" s="111">
        <f t="shared" si="37"/>
        <v>0.36793216942733409</v>
      </c>
      <c r="I131" s="111"/>
      <c r="J131" s="272">
        <f t="shared" si="38"/>
        <v>14.114732057667407</v>
      </c>
      <c r="K131" s="111">
        <f t="shared" si="39"/>
        <v>16.371132281187261</v>
      </c>
    </row>
    <row r="132" spans="1:11">
      <c r="A132" s="83">
        <v>124</v>
      </c>
      <c r="B132" s="110">
        <v>32707</v>
      </c>
      <c r="C132" s="111">
        <v>14.9375</v>
      </c>
      <c r="D132" s="111">
        <v>14.7812</v>
      </c>
      <c r="E132" s="111">
        <v>14.8438</v>
      </c>
      <c r="F132" s="111">
        <f t="shared" si="35"/>
        <v>15.247534587956359</v>
      </c>
      <c r="G132" s="111">
        <f t="shared" si="36"/>
        <v>0.31003458795635908</v>
      </c>
      <c r="H132" s="111">
        <f t="shared" si="37"/>
        <v>0.46633458795635896</v>
      </c>
      <c r="I132" s="111"/>
      <c r="J132" s="272">
        <f t="shared" si="38"/>
        <v>14.119334476196432</v>
      </c>
      <c r="K132" s="111">
        <f t="shared" si="39"/>
        <v>16.375734699716286</v>
      </c>
    </row>
    <row r="133" spans="1:11">
      <c r="A133" s="82">
        <v>125</v>
      </c>
      <c r="B133" s="109">
        <v>32708</v>
      </c>
      <c r="C133" s="112">
        <v>15</v>
      </c>
      <c r="D133" s="112">
        <v>14.875</v>
      </c>
      <c r="E133" s="112">
        <v>15</v>
      </c>
      <c r="F133" s="112">
        <f t="shared" si="35"/>
        <v>15.252137006485386</v>
      </c>
      <c r="G133" s="112">
        <f t="shared" si="36"/>
        <v>0.25213700648538584</v>
      </c>
      <c r="H133" s="112">
        <f t="shared" si="37"/>
        <v>0.37713700648538584</v>
      </c>
      <c r="I133" s="112"/>
      <c r="J133" s="271">
        <f t="shared" si="38"/>
        <v>14.123936894725459</v>
      </c>
      <c r="K133" s="112">
        <f t="shared" si="39"/>
        <v>16.380337118245315</v>
      </c>
    </row>
    <row r="134" spans="1:11">
      <c r="A134" s="82">
        <v>126</v>
      </c>
      <c r="B134" s="109">
        <v>32709</v>
      </c>
      <c r="C134" s="112">
        <v>15.2188</v>
      </c>
      <c r="D134" s="112">
        <v>15.0312</v>
      </c>
      <c r="E134" s="112">
        <v>15.0625</v>
      </c>
      <c r="F134" s="112">
        <f t="shared" si="35"/>
        <v>15.256739425014413</v>
      </c>
      <c r="G134" s="112">
        <f t="shared" si="36"/>
        <v>3.793942501441272E-2</v>
      </c>
      <c r="H134" s="112">
        <f t="shared" si="37"/>
        <v>0.22553942501441249</v>
      </c>
      <c r="I134" s="112"/>
      <c r="J134" s="271">
        <f t="shared" si="38"/>
        <v>14.128539313254485</v>
      </c>
      <c r="K134" s="112">
        <f t="shared" si="39"/>
        <v>16.38493953677434</v>
      </c>
    </row>
    <row r="135" spans="1:11">
      <c r="A135" s="83">
        <v>127</v>
      </c>
      <c r="B135" s="110">
        <v>32710</v>
      </c>
      <c r="C135" s="111">
        <v>15.0938</v>
      </c>
      <c r="D135" s="111">
        <v>14.5</v>
      </c>
      <c r="E135" s="111">
        <v>14.7188</v>
      </c>
      <c r="F135" s="111">
        <f t="shared" si="35"/>
        <v>15.261341843543439</v>
      </c>
      <c r="G135" s="111">
        <f t="shared" si="36"/>
        <v>0.16754184354343948</v>
      </c>
      <c r="H135" s="111">
        <f t="shared" si="37"/>
        <v>0.76134184354343937</v>
      </c>
      <c r="I135" s="111"/>
      <c r="J135" s="272">
        <f t="shared" si="38"/>
        <v>14.133141731783512</v>
      </c>
      <c r="K135" s="111">
        <f t="shared" si="39"/>
        <v>16.389541955303365</v>
      </c>
    </row>
    <row r="136" spans="1:11">
      <c r="A136" s="83">
        <v>128</v>
      </c>
      <c r="B136" s="110">
        <v>32713</v>
      </c>
      <c r="C136" s="111">
        <v>14.5312</v>
      </c>
      <c r="D136" s="111">
        <v>14.375</v>
      </c>
      <c r="E136" s="111">
        <v>14.375</v>
      </c>
      <c r="F136" s="111">
        <f t="shared" si="35"/>
        <v>15.265944262072466</v>
      </c>
      <c r="G136" s="111">
        <f t="shared" si="36"/>
        <v>0.73474426207246601</v>
      </c>
      <c r="H136" s="111">
        <f t="shared" si="37"/>
        <v>0.89094426207246613</v>
      </c>
      <c r="I136" s="111"/>
      <c r="J136" s="272">
        <f t="shared" si="38"/>
        <v>14.137744150312539</v>
      </c>
      <c r="K136" s="111">
        <f t="shared" si="39"/>
        <v>16.394144373832393</v>
      </c>
    </row>
    <row r="137" spans="1:11">
      <c r="A137" s="82">
        <v>129</v>
      </c>
      <c r="B137" s="109">
        <v>32714</v>
      </c>
      <c r="C137" s="112">
        <v>14.3438</v>
      </c>
      <c r="D137" s="112">
        <v>14.2188</v>
      </c>
      <c r="E137" s="112">
        <v>14.25</v>
      </c>
      <c r="F137" s="112">
        <f t="shared" si="35"/>
        <v>15.270546680601491</v>
      </c>
      <c r="G137" s="112">
        <f t="shared" si="36"/>
        <v>0.92674668060149124</v>
      </c>
      <c r="H137" s="112">
        <f t="shared" si="37"/>
        <v>1.0517466806014912</v>
      </c>
      <c r="I137" s="112"/>
      <c r="J137" s="271">
        <f t="shared" si="38"/>
        <v>14.142346568841564</v>
      </c>
      <c r="K137" s="112">
        <f t="shared" si="39"/>
        <v>16.398746792361418</v>
      </c>
    </row>
    <row r="138" spans="1:11">
      <c r="A138" s="82">
        <v>130</v>
      </c>
      <c r="B138" s="109">
        <v>32715</v>
      </c>
      <c r="C138" s="112">
        <v>14.4688</v>
      </c>
      <c r="D138" s="112">
        <v>14.2188</v>
      </c>
      <c r="E138" s="112">
        <v>14.4688</v>
      </c>
      <c r="F138" s="112">
        <f t="shared" ref="F138:F153" si="40">TREND(E$9:E$195,A$9:A$195,A138)</f>
        <v>15.275149099130518</v>
      </c>
      <c r="G138" s="112">
        <f t="shared" ref="G138:G153" si="41">ABS(C138-F138)</f>
        <v>0.806349099130518</v>
      </c>
      <c r="H138" s="112">
        <f t="shared" ref="H138:H153" si="42">ABS(F138-D138)</f>
        <v>1.056349099130518</v>
      </c>
      <c r="I138" s="112"/>
      <c r="J138" s="271">
        <f t="shared" ref="J138:J153" si="43">F138-I$9</f>
        <v>14.146948987370591</v>
      </c>
      <c r="K138" s="112">
        <f t="shared" ref="K138:K153" si="44">F138+I$9</f>
        <v>16.403349210890447</v>
      </c>
    </row>
    <row r="139" spans="1:11">
      <c r="A139" s="83">
        <v>131</v>
      </c>
      <c r="B139" s="110">
        <v>32716</v>
      </c>
      <c r="C139" s="111">
        <v>14.6875</v>
      </c>
      <c r="D139" s="111">
        <v>14.4062</v>
      </c>
      <c r="E139" s="111">
        <v>14.6875</v>
      </c>
      <c r="F139" s="111">
        <f t="shared" si="40"/>
        <v>15.279751517659545</v>
      </c>
      <c r="G139" s="111">
        <f t="shared" si="41"/>
        <v>0.59225151765954465</v>
      </c>
      <c r="H139" s="111">
        <f t="shared" si="42"/>
        <v>0.87355151765954453</v>
      </c>
      <c r="I139" s="111"/>
      <c r="J139" s="272">
        <f t="shared" si="43"/>
        <v>14.151551405899617</v>
      </c>
      <c r="K139" s="111">
        <f t="shared" si="44"/>
        <v>16.407951629419472</v>
      </c>
    </row>
    <row r="140" spans="1:11">
      <c r="A140" s="83">
        <v>132</v>
      </c>
      <c r="B140" s="110">
        <v>32717</v>
      </c>
      <c r="C140" s="111">
        <v>14.8438</v>
      </c>
      <c r="D140" s="111">
        <v>14.75</v>
      </c>
      <c r="E140" s="111">
        <v>14.8125</v>
      </c>
      <c r="F140" s="111">
        <f t="shared" si="40"/>
        <v>15.284353936188571</v>
      </c>
      <c r="G140" s="111">
        <f t="shared" si="41"/>
        <v>0.44055393618857153</v>
      </c>
      <c r="H140" s="111">
        <f t="shared" si="42"/>
        <v>0.53435393618857141</v>
      </c>
      <c r="I140" s="111"/>
      <c r="J140" s="272">
        <f t="shared" si="43"/>
        <v>14.156153824428644</v>
      </c>
      <c r="K140" s="111">
        <f t="shared" si="44"/>
        <v>16.412554047948497</v>
      </c>
    </row>
    <row r="141" spans="1:11">
      <c r="A141" s="82">
        <v>133</v>
      </c>
      <c r="B141" s="109">
        <v>32720</v>
      </c>
      <c r="C141" s="112">
        <v>14.875</v>
      </c>
      <c r="D141" s="112">
        <v>14.7812</v>
      </c>
      <c r="E141" s="112">
        <v>14.8438</v>
      </c>
      <c r="F141" s="112">
        <f t="shared" si="40"/>
        <v>15.288956354717598</v>
      </c>
      <c r="G141" s="112">
        <f t="shared" si="41"/>
        <v>0.41395635471759817</v>
      </c>
      <c r="H141" s="112">
        <f t="shared" si="42"/>
        <v>0.50775635471759806</v>
      </c>
      <c r="I141" s="112"/>
      <c r="J141" s="271">
        <f t="shared" si="43"/>
        <v>14.160756242957671</v>
      </c>
      <c r="K141" s="112">
        <f t="shared" si="44"/>
        <v>16.417156466477525</v>
      </c>
    </row>
    <row r="142" spans="1:11">
      <c r="A142" s="82">
        <v>134</v>
      </c>
      <c r="B142" s="109">
        <v>32721</v>
      </c>
      <c r="C142" s="112">
        <v>15.125</v>
      </c>
      <c r="D142" s="112">
        <v>14.9062</v>
      </c>
      <c r="E142" s="112">
        <v>15.0312</v>
      </c>
      <c r="F142" s="112">
        <f t="shared" si="40"/>
        <v>15.293558773246623</v>
      </c>
      <c r="G142" s="112">
        <f t="shared" si="41"/>
        <v>0.16855877324662316</v>
      </c>
      <c r="H142" s="112">
        <f t="shared" si="42"/>
        <v>0.38735877324662304</v>
      </c>
      <c r="I142" s="112"/>
      <c r="J142" s="271">
        <f t="shared" si="43"/>
        <v>14.165358661486696</v>
      </c>
      <c r="K142" s="112">
        <f t="shared" si="44"/>
        <v>16.42175888500655</v>
      </c>
    </row>
    <row r="143" spans="1:11">
      <c r="A143" s="83">
        <v>135</v>
      </c>
      <c r="B143" s="110">
        <v>32722</v>
      </c>
      <c r="C143" s="111">
        <v>15.0938</v>
      </c>
      <c r="D143" s="111">
        <v>15</v>
      </c>
      <c r="E143" s="111">
        <v>15.0938</v>
      </c>
      <c r="F143" s="111">
        <f t="shared" si="40"/>
        <v>15.29816119177565</v>
      </c>
      <c r="G143" s="111">
        <f t="shared" si="41"/>
        <v>0.20436119177565004</v>
      </c>
      <c r="H143" s="111">
        <f t="shared" si="42"/>
        <v>0.29816119177564993</v>
      </c>
      <c r="I143" s="111"/>
      <c r="J143" s="272">
        <f t="shared" si="43"/>
        <v>14.169961080015723</v>
      </c>
      <c r="K143" s="111">
        <f t="shared" si="44"/>
        <v>16.426361303535579</v>
      </c>
    </row>
    <row r="144" spans="1:11">
      <c r="A144" s="83">
        <v>136</v>
      </c>
      <c r="B144" s="110">
        <v>32723</v>
      </c>
      <c r="C144" s="111">
        <v>15.1875</v>
      </c>
      <c r="D144" s="111">
        <v>15.0625</v>
      </c>
      <c r="E144" s="111">
        <v>15.1562</v>
      </c>
      <c r="F144" s="111">
        <f t="shared" si="40"/>
        <v>15.302763610304677</v>
      </c>
      <c r="G144" s="111">
        <f t="shared" si="41"/>
        <v>0.11526361030467669</v>
      </c>
      <c r="H144" s="111">
        <f t="shared" si="42"/>
        <v>0.24026361030467669</v>
      </c>
      <c r="I144" s="111"/>
      <c r="J144" s="272">
        <f t="shared" si="43"/>
        <v>14.17456349854475</v>
      </c>
      <c r="K144" s="111">
        <f t="shared" si="44"/>
        <v>16.430963722064604</v>
      </c>
    </row>
    <row r="145" spans="1:11">
      <c r="A145" s="82">
        <v>137</v>
      </c>
      <c r="B145" s="109">
        <v>32724</v>
      </c>
      <c r="C145" s="112">
        <v>15.4375</v>
      </c>
      <c r="D145" s="112">
        <v>15.125</v>
      </c>
      <c r="E145" s="112">
        <v>15.1875</v>
      </c>
      <c r="F145" s="112">
        <f t="shared" si="40"/>
        <v>15.307366028833703</v>
      </c>
      <c r="G145" s="112">
        <f t="shared" si="41"/>
        <v>0.13013397116629655</v>
      </c>
      <c r="H145" s="112">
        <f t="shared" si="42"/>
        <v>0.18236602883370345</v>
      </c>
      <c r="I145" s="112"/>
      <c r="J145" s="271">
        <f t="shared" si="43"/>
        <v>14.179165917073776</v>
      </c>
      <c r="K145" s="112">
        <f t="shared" si="44"/>
        <v>16.435566140593629</v>
      </c>
    </row>
    <row r="146" spans="1:11">
      <c r="A146" s="82">
        <v>138</v>
      </c>
      <c r="B146" s="109">
        <v>32727</v>
      </c>
      <c r="C146" s="112">
        <v>15.875</v>
      </c>
      <c r="D146" s="112">
        <v>15.3438</v>
      </c>
      <c r="E146" s="112">
        <v>15.75</v>
      </c>
      <c r="F146" s="112">
        <f t="shared" si="40"/>
        <v>15.311968447362728</v>
      </c>
      <c r="G146" s="112">
        <f t="shared" si="41"/>
        <v>0.56303155263727156</v>
      </c>
      <c r="H146" s="112">
        <f t="shared" si="42"/>
        <v>3.1831552637271443E-2</v>
      </c>
      <c r="I146" s="112"/>
      <c r="J146" s="271">
        <f t="shared" si="43"/>
        <v>14.183768335602801</v>
      </c>
      <c r="K146" s="112">
        <f t="shared" si="44"/>
        <v>16.440168559122654</v>
      </c>
    </row>
    <row r="147" spans="1:11">
      <c r="A147" s="83">
        <v>139</v>
      </c>
      <c r="B147" s="110">
        <v>32728</v>
      </c>
      <c r="C147" s="111">
        <v>15.9688</v>
      </c>
      <c r="D147" s="111">
        <v>15.75</v>
      </c>
      <c r="E147" s="111">
        <v>15.9062</v>
      </c>
      <c r="F147" s="111">
        <f t="shared" si="40"/>
        <v>15.316570865891755</v>
      </c>
      <c r="G147" s="111">
        <f t="shared" si="41"/>
        <v>0.65222913410824468</v>
      </c>
      <c r="H147" s="111">
        <f t="shared" si="42"/>
        <v>0.4334291341082448</v>
      </c>
      <c r="I147" s="111"/>
      <c r="J147" s="272">
        <f t="shared" si="43"/>
        <v>14.188370754131828</v>
      </c>
      <c r="K147" s="111">
        <f t="shared" si="44"/>
        <v>16.444770977651682</v>
      </c>
    </row>
    <row r="148" spans="1:11">
      <c r="A148" s="83">
        <v>140</v>
      </c>
      <c r="B148" s="110">
        <v>32729</v>
      </c>
      <c r="C148" s="111">
        <v>16.031199999999998</v>
      </c>
      <c r="D148" s="111">
        <v>15.875</v>
      </c>
      <c r="E148" s="111">
        <v>15.9375</v>
      </c>
      <c r="F148" s="111">
        <f t="shared" si="40"/>
        <v>15.321173284420782</v>
      </c>
      <c r="G148" s="111">
        <f t="shared" si="41"/>
        <v>0.71002671557921637</v>
      </c>
      <c r="H148" s="111">
        <f t="shared" si="42"/>
        <v>0.55382671557921803</v>
      </c>
      <c r="I148" s="111"/>
      <c r="J148" s="272">
        <f t="shared" si="43"/>
        <v>14.192973172660855</v>
      </c>
      <c r="K148" s="111">
        <f t="shared" si="44"/>
        <v>16.449373396180711</v>
      </c>
    </row>
    <row r="149" spans="1:11">
      <c r="A149" s="82">
        <v>141</v>
      </c>
      <c r="B149" s="109">
        <v>32730</v>
      </c>
      <c r="C149" s="112">
        <v>16</v>
      </c>
      <c r="D149" s="112">
        <v>15.9062</v>
      </c>
      <c r="E149" s="112">
        <v>16</v>
      </c>
      <c r="F149" s="112">
        <f t="shared" si="40"/>
        <v>15.325775702949809</v>
      </c>
      <c r="G149" s="112">
        <f t="shared" si="41"/>
        <v>0.67422429705019127</v>
      </c>
      <c r="H149" s="112">
        <f t="shared" si="42"/>
        <v>0.58042429705019138</v>
      </c>
      <c r="I149" s="112"/>
      <c r="J149" s="271">
        <f t="shared" si="43"/>
        <v>14.197575591189882</v>
      </c>
      <c r="K149" s="112">
        <f t="shared" si="44"/>
        <v>16.453975814709736</v>
      </c>
    </row>
    <row r="150" spans="1:11">
      <c r="A150" s="82">
        <v>142</v>
      </c>
      <c r="B150" s="109">
        <v>32731</v>
      </c>
      <c r="C150" s="112">
        <v>16.093800000000002</v>
      </c>
      <c r="D150" s="112">
        <v>15.875</v>
      </c>
      <c r="E150" s="112">
        <v>15.9375</v>
      </c>
      <c r="F150" s="112">
        <f t="shared" si="40"/>
        <v>15.330378121478835</v>
      </c>
      <c r="G150" s="112">
        <f t="shared" si="41"/>
        <v>0.76342187852116616</v>
      </c>
      <c r="H150" s="112">
        <f t="shared" si="42"/>
        <v>0.5446218785211645</v>
      </c>
      <c r="I150" s="112"/>
      <c r="J150" s="271">
        <f t="shared" si="43"/>
        <v>14.202178009718908</v>
      </c>
      <c r="K150" s="112">
        <f t="shared" si="44"/>
        <v>16.458578233238761</v>
      </c>
    </row>
    <row r="151" spans="1:11">
      <c r="A151" s="83">
        <v>143</v>
      </c>
      <c r="B151" s="110">
        <v>32734</v>
      </c>
      <c r="C151" s="111">
        <v>15.9375</v>
      </c>
      <c r="D151" s="111">
        <v>15.7812</v>
      </c>
      <c r="E151" s="111">
        <v>15.8125</v>
      </c>
      <c r="F151" s="111">
        <f t="shared" si="40"/>
        <v>15.33498054000786</v>
      </c>
      <c r="G151" s="111">
        <f t="shared" si="41"/>
        <v>0.60251945999213952</v>
      </c>
      <c r="H151" s="111">
        <f t="shared" si="42"/>
        <v>0.44621945999213963</v>
      </c>
      <c r="I151" s="111"/>
      <c r="J151" s="272">
        <f t="shared" si="43"/>
        <v>14.206780428247933</v>
      </c>
      <c r="K151" s="111">
        <f t="shared" si="44"/>
        <v>16.463180651767786</v>
      </c>
    </row>
    <row r="152" spans="1:11">
      <c r="A152" s="83">
        <v>144</v>
      </c>
      <c r="B152" s="110">
        <v>32735</v>
      </c>
      <c r="C152" s="111">
        <v>15.8125</v>
      </c>
      <c r="D152" s="111">
        <v>15.6875</v>
      </c>
      <c r="E152" s="111">
        <v>15.75</v>
      </c>
      <c r="F152" s="111">
        <f t="shared" si="40"/>
        <v>15.339582958536887</v>
      </c>
      <c r="G152" s="111">
        <f t="shared" si="41"/>
        <v>0.47291704146311275</v>
      </c>
      <c r="H152" s="111">
        <f t="shared" si="42"/>
        <v>0.34791704146311275</v>
      </c>
      <c r="I152" s="111"/>
      <c r="J152" s="272">
        <f t="shared" si="43"/>
        <v>14.21138284677696</v>
      </c>
      <c r="K152" s="111">
        <f t="shared" si="44"/>
        <v>16.467783070296814</v>
      </c>
    </row>
    <row r="153" spans="1:11">
      <c r="A153" s="82">
        <v>145</v>
      </c>
      <c r="B153" s="109">
        <v>32736</v>
      </c>
      <c r="C153" s="112">
        <v>15.8125</v>
      </c>
      <c r="D153" s="112">
        <v>15.75</v>
      </c>
      <c r="E153" s="112">
        <v>15.75</v>
      </c>
      <c r="F153" s="112">
        <f t="shared" si="40"/>
        <v>15.344185377065914</v>
      </c>
      <c r="G153" s="112">
        <f t="shared" si="41"/>
        <v>0.46831462293408599</v>
      </c>
      <c r="H153" s="112">
        <f t="shared" si="42"/>
        <v>0.40581462293408599</v>
      </c>
      <c r="I153" s="112"/>
      <c r="J153" s="271">
        <f t="shared" si="43"/>
        <v>14.215985265305987</v>
      </c>
      <c r="K153" s="112">
        <f t="shared" si="44"/>
        <v>16.472385488825843</v>
      </c>
    </row>
    <row r="154" spans="1:11">
      <c r="A154" s="82">
        <v>146</v>
      </c>
      <c r="B154" s="109">
        <v>32737</v>
      </c>
      <c r="C154" s="112">
        <v>15.7812</v>
      </c>
      <c r="D154" s="112">
        <v>15.6875</v>
      </c>
      <c r="E154" s="112">
        <v>15.7188</v>
      </c>
      <c r="F154" s="112">
        <f t="shared" ref="F154:F169" si="45">TREND(E$9:E$195,A$9:A$195,A154)</f>
        <v>15.348787795594941</v>
      </c>
      <c r="G154" s="112">
        <f t="shared" ref="G154:G169" si="46">ABS(C154-F154)</f>
        <v>0.43241220440505934</v>
      </c>
      <c r="H154" s="112">
        <f t="shared" ref="H154:H169" si="47">ABS(F154-D154)</f>
        <v>0.33871220440505923</v>
      </c>
      <c r="I154" s="112"/>
      <c r="J154" s="271">
        <f t="shared" ref="J154:J169" si="48">F154-I$9</f>
        <v>14.220587683835014</v>
      </c>
      <c r="K154" s="112">
        <f t="shared" ref="K154:K169" si="49">F154+I$9</f>
        <v>16.476987907354868</v>
      </c>
    </row>
    <row r="155" spans="1:11">
      <c r="A155" s="83">
        <v>147</v>
      </c>
      <c r="B155" s="110">
        <v>32738</v>
      </c>
      <c r="C155" s="111">
        <v>15.6875</v>
      </c>
      <c r="D155" s="111">
        <v>15.5312</v>
      </c>
      <c r="E155" s="111">
        <v>15.6562</v>
      </c>
      <c r="F155" s="111">
        <f t="shared" si="45"/>
        <v>15.353390214123966</v>
      </c>
      <c r="G155" s="111">
        <f t="shared" si="46"/>
        <v>0.33410978587603424</v>
      </c>
      <c r="H155" s="111">
        <f t="shared" si="47"/>
        <v>0.17780978587603435</v>
      </c>
      <c r="I155" s="111"/>
      <c r="J155" s="272">
        <f t="shared" si="48"/>
        <v>14.225190102364039</v>
      </c>
      <c r="K155" s="111">
        <f t="shared" si="49"/>
        <v>16.481590325883893</v>
      </c>
    </row>
    <row r="156" spans="1:11">
      <c r="A156" s="83">
        <v>148</v>
      </c>
      <c r="B156" s="110">
        <v>32741</v>
      </c>
      <c r="C156" s="111">
        <v>15.6875</v>
      </c>
      <c r="D156" s="111">
        <v>15.5</v>
      </c>
      <c r="E156" s="111">
        <v>15.625</v>
      </c>
      <c r="F156" s="111">
        <f t="shared" si="45"/>
        <v>15.357992632652993</v>
      </c>
      <c r="G156" s="111">
        <f t="shared" si="46"/>
        <v>0.32950736734700747</v>
      </c>
      <c r="H156" s="111">
        <f t="shared" si="47"/>
        <v>0.14200736734700747</v>
      </c>
      <c r="I156" s="111"/>
      <c r="J156" s="272">
        <f t="shared" si="48"/>
        <v>14.229792520893065</v>
      </c>
      <c r="K156" s="111">
        <f t="shared" si="49"/>
        <v>16.486192744412918</v>
      </c>
    </row>
    <row r="157" spans="1:11">
      <c r="A157" s="82">
        <v>149</v>
      </c>
      <c r="B157" s="109">
        <v>32742</v>
      </c>
      <c r="C157" s="112">
        <v>15.625</v>
      </c>
      <c r="D157" s="112">
        <v>15.5</v>
      </c>
      <c r="E157" s="112">
        <v>15.625</v>
      </c>
      <c r="F157" s="112">
        <f t="shared" si="45"/>
        <v>15.362595051182019</v>
      </c>
      <c r="G157" s="112">
        <f t="shared" si="46"/>
        <v>0.26240494881798071</v>
      </c>
      <c r="H157" s="112">
        <f t="shared" si="47"/>
        <v>0.13740494881798071</v>
      </c>
      <c r="I157" s="112"/>
      <c r="J157" s="271">
        <f t="shared" si="48"/>
        <v>14.234394939422092</v>
      </c>
      <c r="K157" s="112">
        <f t="shared" si="49"/>
        <v>16.490795162941946</v>
      </c>
    </row>
    <row r="158" spans="1:11">
      <c r="A158" s="82">
        <v>150</v>
      </c>
      <c r="B158" s="109">
        <v>32743</v>
      </c>
      <c r="C158" s="112">
        <v>15.75</v>
      </c>
      <c r="D158" s="112">
        <v>15.625</v>
      </c>
      <c r="E158" s="112">
        <v>15.75</v>
      </c>
      <c r="F158" s="112">
        <f t="shared" si="45"/>
        <v>15.367197469711046</v>
      </c>
      <c r="G158" s="112">
        <f t="shared" si="46"/>
        <v>0.38280253028895395</v>
      </c>
      <c r="H158" s="112">
        <f t="shared" si="47"/>
        <v>0.25780253028895395</v>
      </c>
      <c r="I158" s="112"/>
      <c r="J158" s="271">
        <f t="shared" si="48"/>
        <v>14.238997357951119</v>
      </c>
      <c r="K158" s="112">
        <f t="shared" si="49"/>
        <v>16.495397581470975</v>
      </c>
    </row>
    <row r="159" spans="1:11">
      <c r="A159" s="83">
        <v>151</v>
      </c>
      <c r="B159" s="110">
        <v>32744</v>
      </c>
      <c r="C159" s="111">
        <v>16.5</v>
      </c>
      <c r="D159" s="111">
        <v>15.6562</v>
      </c>
      <c r="E159" s="111">
        <v>16.468800000000002</v>
      </c>
      <c r="F159" s="111">
        <f t="shared" si="45"/>
        <v>15.371799888240073</v>
      </c>
      <c r="G159" s="111">
        <f t="shared" si="46"/>
        <v>1.1282001117599272</v>
      </c>
      <c r="H159" s="111">
        <f t="shared" si="47"/>
        <v>0.2844001117599273</v>
      </c>
      <c r="I159" s="111"/>
      <c r="J159" s="272">
        <f t="shared" si="48"/>
        <v>14.243599776480146</v>
      </c>
      <c r="K159" s="111">
        <f t="shared" si="49"/>
        <v>16.5</v>
      </c>
    </row>
    <row r="160" spans="1:11">
      <c r="A160" s="83">
        <v>152</v>
      </c>
      <c r="B160" s="110">
        <v>32745</v>
      </c>
      <c r="C160" s="111">
        <v>16.406199999999998</v>
      </c>
      <c r="D160" s="111">
        <v>16</v>
      </c>
      <c r="E160" s="111">
        <v>16.125</v>
      </c>
      <c r="F160" s="111">
        <f t="shared" si="45"/>
        <v>15.376402306769098</v>
      </c>
      <c r="G160" s="111">
        <f t="shared" si="46"/>
        <v>1.0297976932309005</v>
      </c>
      <c r="H160" s="111">
        <f t="shared" si="47"/>
        <v>0.62359769323090219</v>
      </c>
      <c r="I160" s="111"/>
      <c r="J160" s="272">
        <f t="shared" si="48"/>
        <v>14.248202195009171</v>
      </c>
      <c r="K160" s="111">
        <f t="shared" si="49"/>
        <v>16.504602418529025</v>
      </c>
    </row>
    <row r="161" spans="1:11">
      <c r="A161" s="82">
        <v>153</v>
      </c>
      <c r="B161" s="109">
        <v>32748</v>
      </c>
      <c r="C161" s="112">
        <v>16.3125</v>
      </c>
      <c r="D161" s="112">
        <v>16.031199999999998</v>
      </c>
      <c r="E161" s="112">
        <v>16.281199999999998</v>
      </c>
      <c r="F161" s="112">
        <f t="shared" si="45"/>
        <v>15.381004725298125</v>
      </c>
      <c r="G161" s="112">
        <f t="shared" si="46"/>
        <v>0.93149527470187543</v>
      </c>
      <c r="H161" s="112">
        <f t="shared" si="47"/>
        <v>0.65019527470187377</v>
      </c>
      <c r="I161" s="112"/>
      <c r="J161" s="271">
        <f t="shared" si="48"/>
        <v>14.252804613538197</v>
      </c>
      <c r="K161" s="112">
        <f t="shared" si="49"/>
        <v>16.50920483705805</v>
      </c>
    </row>
    <row r="162" spans="1:11">
      <c r="A162" s="82">
        <v>154</v>
      </c>
      <c r="B162" s="109">
        <v>32749</v>
      </c>
      <c r="C162" s="112">
        <v>16.218800000000002</v>
      </c>
      <c r="D162" s="112">
        <v>16.0625</v>
      </c>
      <c r="E162" s="112">
        <v>16.1875</v>
      </c>
      <c r="F162" s="112">
        <f t="shared" si="45"/>
        <v>15.385607143827151</v>
      </c>
      <c r="G162" s="112">
        <f t="shared" si="46"/>
        <v>0.83319285617285033</v>
      </c>
      <c r="H162" s="112">
        <f t="shared" si="47"/>
        <v>0.67689285617284867</v>
      </c>
      <c r="I162" s="112"/>
      <c r="J162" s="271">
        <f t="shared" si="48"/>
        <v>14.257407032067224</v>
      </c>
      <c r="K162" s="112">
        <f t="shared" si="49"/>
        <v>16.513807255587079</v>
      </c>
    </row>
    <row r="163" spans="1:11">
      <c r="A163" s="83">
        <v>155</v>
      </c>
      <c r="B163" s="110">
        <v>32750</v>
      </c>
      <c r="C163" s="111">
        <v>16.218800000000002</v>
      </c>
      <c r="D163" s="111">
        <v>16.0625</v>
      </c>
      <c r="E163" s="111">
        <v>16.125</v>
      </c>
      <c r="F163" s="111">
        <f t="shared" si="45"/>
        <v>15.390209562356178</v>
      </c>
      <c r="G163" s="111">
        <f t="shared" si="46"/>
        <v>0.82859043764382356</v>
      </c>
      <c r="H163" s="111">
        <f t="shared" si="47"/>
        <v>0.6722904376438219</v>
      </c>
      <c r="I163" s="111"/>
      <c r="J163" s="272">
        <f t="shared" si="48"/>
        <v>14.262009450596251</v>
      </c>
      <c r="K163" s="111">
        <f t="shared" si="49"/>
        <v>16.518409674116107</v>
      </c>
    </row>
    <row r="164" spans="1:11">
      <c r="A164" s="83">
        <v>156</v>
      </c>
      <c r="B164" s="110">
        <v>32751</v>
      </c>
      <c r="C164" s="111">
        <v>16.125</v>
      </c>
      <c r="D164" s="111">
        <v>16.031199999999998</v>
      </c>
      <c r="E164" s="111">
        <v>16.0625</v>
      </c>
      <c r="F164" s="111">
        <f t="shared" si="45"/>
        <v>15.394811980885205</v>
      </c>
      <c r="G164" s="111">
        <f t="shared" si="46"/>
        <v>0.73018801911479514</v>
      </c>
      <c r="H164" s="111">
        <f t="shared" si="47"/>
        <v>0.63638801911479348</v>
      </c>
      <c r="I164" s="111"/>
      <c r="J164" s="272">
        <f t="shared" si="48"/>
        <v>14.266611869125278</v>
      </c>
      <c r="K164" s="111">
        <f t="shared" si="49"/>
        <v>16.523012092645132</v>
      </c>
    </row>
    <row r="165" spans="1:11">
      <c r="A165" s="82">
        <v>157</v>
      </c>
      <c r="B165" s="109">
        <v>32752</v>
      </c>
      <c r="C165" s="112">
        <v>16.343800000000002</v>
      </c>
      <c r="D165" s="112">
        <v>16.031199999999998</v>
      </c>
      <c r="E165" s="112">
        <v>16.343800000000002</v>
      </c>
      <c r="F165" s="112">
        <f t="shared" si="45"/>
        <v>15.39941439941423</v>
      </c>
      <c r="G165" s="112">
        <f t="shared" si="46"/>
        <v>0.94438560058577181</v>
      </c>
      <c r="H165" s="112">
        <f t="shared" si="47"/>
        <v>0.63178560058576849</v>
      </c>
      <c r="I165" s="112"/>
      <c r="J165" s="271">
        <f t="shared" si="48"/>
        <v>14.271214287654303</v>
      </c>
      <c r="K165" s="112">
        <f t="shared" si="49"/>
        <v>16.527614511174157</v>
      </c>
    </row>
    <row r="166" spans="1:11">
      <c r="A166" s="82">
        <v>158</v>
      </c>
      <c r="B166" s="109">
        <v>32756</v>
      </c>
      <c r="C166" s="112">
        <v>16.343800000000002</v>
      </c>
      <c r="D166" s="112">
        <v>16.1875</v>
      </c>
      <c r="E166" s="112">
        <v>16.343800000000002</v>
      </c>
      <c r="F166" s="112">
        <f t="shared" si="45"/>
        <v>15.404016817943257</v>
      </c>
      <c r="G166" s="112">
        <f t="shared" si="46"/>
        <v>0.93978318205674505</v>
      </c>
      <c r="H166" s="112">
        <f t="shared" si="47"/>
        <v>0.78348318205674339</v>
      </c>
      <c r="I166" s="112"/>
      <c r="J166" s="271">
        <f t="shared" si="48"/>
        <v>14.275816706183329</v>
      </c>
      <c r="K166" s="112">
        <f t="shared" si="49"/>
        <v>16.532216929703182</v>
      </c>
    </row>
    <row r="167" spans="1:11">
      <c r="A167" s="83">
        <v>159</v>
      </c>
      <c r="B167" s="110">
        <v>32757</v>
      </c>
      <c r="C167" s="111">
        <v>16.218800000000002</v>
      </c>
      <c r="D167" s="111">
        <v>16.0625</v>
      </c>
      <c r="E167" s="111">
        <v>16.125</v>
      </c>
      <c r="F167" s="111">
        <f t="shared" si="45"/>
        <v>15.408619236472283</v>
      </c>
      <c r="G167" s="111">
        <f t="shared" si="46"/>
        <v>0.81018076352771828</v>
      </c>
      <c r="H167" s="111">
        <f t="shared" si="47"/>
        <v>0.65388076352771662</v>
      </c>
      <c r="I167" s="111"/>
      <c r="J167" s="272">
        <f t="shared" si="48"/>
        <v>14.280419124712356</v>
      </c>
      <c r="K167" s="111">
        <f t="shared" si="49"/>
        <v>16.536819348232211</v>
      </c>
    </row>
    <row r="168" spans="1:11">
      <c r="A168" s="83">
        <v>160</v>
      </c>
      <c r="B168" s="110">
        <v>32758</v>
      </c>
      <c r="C168" s="111">
        <v>16.218800000000002</v>
      </c>
      <c r="D168" s="111">
        <v>16.093800000000002</v>
      </c>
      <c r="E168" s="111">
        <v>16.093800000000002</v>
      </c>
      <c r="F168" s="111">
        <f t="shared" si="45"/>
        <v>15.41322165500131</v>
      </c>
      <c r="G168" s="111">
        <f t="shared" si="46"/>
        <v>0.80557834499869152</v>
      </c>
      <c r="H168" s="111">
        <f t="shared" si="47"/>
        <v>0.68057834499869152</v>
      </c>
      <c r="I168" s="111"/>
      <c r="J168" s="272">
        <f t="shared" si="48"/>
        <v>14.285021543241383</v>
      </c>
      <c r="K168" s="111">
        <f t="shared" si="49"/>
        <v>16.541421766761239</v>
      </c>
    </row>
    <row r="169" spans="1:11">
      <c r="A169" s="82">
        <v>161</v>
      </c>
      <c r="B169" s="109">
        <v>32759</v>
      </c>
      <c r="C169" s="112">
        <v>16.156199999999998</v>
      </c>
      <c r="D169" s="112">
        <v>15.8438</v>
      </c>
      <c r="E169" s="112">
        <v>15.9062</v>
      </c>
      <c r="F169" s="112">
        <f t="shared" si="45"/>
        <v>15.417824073530337</v>
      </c>
      <c r="G169" s="112">
        <f t="shared" si="46"/>
        <v>0.73837592646966144</v>
      </c>
      <c r="H169" s="112">
        <f t="shared" si="47"/>
        <v>0.42597592646966298</v>
      </c>
      <c r="I169" s="112"/>
      <c r="J169" s="271">
        <f t="shared" si="48"/>
        <v>14.28962396177041</v>
      </c>
      <c r="K169" s="112">
        <f t="shared" si="49"/>
        <v>16.546024185290264</v>
      </c>
    </row>
    <row r="170" spans="1:11">
      <c r="A170" s="82">
        <v>162</v>
      </c>
      <c r="B170" s="109">
        <v>32762</v>
      </c>
      <c r="C170" s="112">
        <v>15.9062</v>
      </c>
      <c r="D170" s="112">
        <v>15.8125</v>
      </c>
      <c r="E170" s="112">
        <v>15.875</v>
      </c>
      <c r="F170" s="112">
        <f t="shared" ref="F170:F185" si="50">TREND(E$9:E$195,A$9:A$195,A170)</f>
        <v>15.422426492059362</v>
      </c>
      <c r="G170" s="112">
        <f t="shared" ref="G170:G185" si="51">ABS(C170-F170)</f>
        <v>0.48377350794063823</v>
      </c>
      <c r="H170" s="112">
        <f t="shared" ref="H170:H185" si="52">ABS(F170-D170)</f>
        <v>0.39007350794063811</v>
      </c>
      <c r="I170" s="112"/>
      <c r="J170" s="271">
        <f t="shared" ref="J170:J185" si="53">F170-I$9</f>
        <v>14.294226380299435</v>
      </c>
      <c r="K170" s="112">
        <f t="shared" ref="K170:K185" si="54">F170+I$9</f>
        <v>16.550626603819289</v>
      </c>
    </row>
    <row r="171" spans="1:11">
      <c r="A171" s="83">
        <v>163</v>
      </c>
      <c r="B171" s="110">
        <v>32763</v>
      </c>
      <c r="C171" s="111">
        <v>15.9375</v>
      </c>
      <c r="D171" s="111">
        <v>15.7812</v>
      </c>
      <c r="E171" s="111">
        <v>15.8125</v>
      </c>
      <c r="F171" s="111">
        <f t="shared" si="50"/>
        <v>15.427028910588389</v>
      </c>
      <c r="G171" s="111">
        <f t="shared" si="51"/>
        <v>0.51047108941161135</v>
      </c>
      <c r="H171" s="111">
        <f t="shared" si="52"/>
        <v>0.35417108941161146</v>
      </c>
      <c r="I171" s="111"/>
      <c r="J171" s="272">
        <f t="shared" si="53"/>
        <v>14.298828798828461</v>
      </c>
      <c r="K171" s="111">
        <f t="shared" si="54"/>
        <v>16.555229022348314</v>
      </c>
    </row>
    <row r="172" spans="1:11">
      <c r="A172" s="83">
        <v>164</v>
      </c>
      <c r="B172" s="110">
        <v>32764</v>
      </c>
      <c r="C172" s="111">
        <v>15.875</v>
      </c>
      <c r="D172" s="111">
        <v>15.6875</v>
      </c>
      <c r="E172" s="111">
        <v>15.6875</v>
      </c>
      <c r="F172" s="111">
        <f t="shared" si="50"/>
        <v>15.431631329117415</v>
      </c>
      <c r="G172" s="111">
        <f t="shared" si="51"/>
        <v>0.44336867088258458</v>
      </c>
      <c r="H172" s="111">
        <f t="shared" si="52"/>
        <v>0.25586867088258458</v>
      </c>
      <c r="I172" s="111"/>
      <c r="J172" s="272">
        <f t="shared" si="53"/>
        <v>14.303431217357488</v>
      </c>
      <c r="K172" s="111">
        <f t="shared" si="54"/>
        <v>16.559831440877343</v>
      </c>
    </row>
    <row r="173" spans="1:11">
      <c r="A173" s="82">
        <v>165</v>
      </c>
      <c r="B173" s="109">
        <v>32765</v>
      </c>
      <c r="C173" s="112">
        <v>15.6875</v>
      </c>
      <c r="D173" s="112">
        <v>15.5312</v>
      </c>
      <c r="E173" s="112">
        <v>15.5938</v>
      </c>
      <c r="F173" s="112">
        <f t="shared" si="50"/>
        <v>15.436233747646442</v>
      </c>
      <c r="G173" s="112">
        <f t="shared" si="51"/>
        <v>0.25126625235355782</v>
      </c>
      <c r="H173" s="112">
        <f t="shared" si="52"/>
        <v>9.4966252353557934E-2</v>
      </c>
      <c r="I173" s="112"/>
      <c r="J173" s="271">
        <f t="shared" si="53"/>
        <v>14.308033635886515</v>
      </c>
      <c r="K173" s="112">
        <f t="shared" si="54"/>
        <v>16.564433859406371</v>
      </c>
    </row>
    <row r="174" spans="1:11">
      <c r="A174" s="82">
        <v>166</v>
      </c>
      <c r="B174" s="109">
        <v>32766</v>
      </c>
      <c r="C174" s="112">
        <v>15.5938</v>
      </c>
      <c r="D174" s="112">
        <v>15.4688</v>
      </c>
      <c r="E174" s="112">
        <v>15.5938</v>
      </c>
      <c r="F174" s="112">
        <f t="shared" si="50"/>
        <v>15.440836166175467</v>
      </c>
      <c r="G174" s="112">
        <f t="shared" si="51"/>
        <v>0.15296383382453271</v>
      </c>
      <c r="H174" s="112">
        <f t="shared" si="52"/>
        <v>2.7963833824532713E-2</v>
      </c>
      <c r="I174" s="112"/>
      <c r="J174" s="271">
        <f t="shared" si="53"/>
        <v>14.31263605441554</v>
      </c>
      <c r="K174" s="112">
        <f t="shared" si="54"/>
        <v>16.569036277935396</v>
      </c>
    </row>
    <row r="175" spans="1:11">
      <c r="A175" s="71">
        <v>167</v>
      </c>
      <c r="B175" s="110">
        <v>32769</v>
      </c>
      <c r="C175" s="111">
        <v>15.5</v>
      </c>
      <c r="D175" s="111">
        <v>15.3438</v>
      </c>
      <c r="E175" s="111">
        <v>15.4375</v>
      </c>
      <c r="F175" s="111">
        <f t="shared" si="50"/>
        <v>15.445438584704494</v>
      </c>
      <c r="G175" s="111">
        <f t="shared" si="51"/>
        <v>5.4561415295506066E-2</v>
      </c>
      <c r="H175" s="111">
        <f t="shared" si="52"/>
        <v>0.10163858470449405</v>
      </c>
      <c r="I175" s="111"/>
      <c r="J175" s="272">
        <f t="shared" si="53"/>
        <v>14.317238472944567</v>
      </c>
      <c r="K175" s="111">
        <f t="shared" si="54"/>
        <v>16.573638696464421</v>
      </c>
    </row>
    <row r="176" spans="1:11">
      <c r="A176" s="71">
        <v>168</v>
      </c>
      <c r="B176" s="110">
        <v>32770</v>
      </c>
      <c r="C176" s="111">
        <v>15.5</v>
      </c>
      <c r="D176" s="111">
        <v>15.4062</v>
      </c>
      <c r="E176" s="111">
        <v>15.5</v>
      </c>
      <c r="F176" s="111">
        <f t="shared" si="50"/>
        <v>15.450041003233521</v>
      </c>
      <c r="G176" s="111">
        <f t="shared" si="51"/>
        <v>4.9958996766479302E-2</v>
      </c>
      <c r="H176" s="111">
        <f t="shared" si="52"/>
        <v>4.3841003233520581E-2</v>
      </c>
      <c r="I176" s="111"/>
      <c r="J176" s="272">
        <f t="shared" si="53"/>
        <v>14.321840891473594</v>
      </c>
      <c r="K176" s="111">
        <f t="shared" si="54"/>
        <v>16.578241114993446</v>
      </c>
    </row>
    <row r="177" spans="1:11">
      <c r="A177" s="82">
        <v>169</v>
      </c>
      <c r="B177" s="109">
        <v>32771</v>
      </c>
      <c r="C177" s="112">
        <v>15.4688</v>
      </c>
      <c r="D177" s="112">
        <v>15.4062</v>
      </c>
      <c r="E177" s="112">
        <v>15.4375</v>
      </c>
      <c r="F177" s="112">
        <f t="shared" si="50"/>
        <v>15.454643421762547</v>
      </c>
      <c r="G177" s="112">
        <f t="shared" si="51"/>
        <v>1.4156578237452422E-2</v>
      </c>
      <c r="H177" s="112">
        <f t="shared" si="52"/>
        <v>4.8443421762547345E-2</v>
      </c>
      <c r="I177" s="112"/>
      <c r="J177" s="271">
        <f t="shared" si="53"/>
        <v>14.32644331000262</v>
      </c>
      <c r="K177" s="112">
        <f t="shared" si="54"/>
        <v>16.582843533522475</v>
      </c>
    </row>
    <row r="178" spans="1:11">
      <c r="A178" s="82">
        <v>170</v>
      </c>
      <c r="B178" s="109">
        <v>32772</v>
      </c>
      <c r="C178" s="112">
        <v>15.5312</v>
      </c>
      <c r="D178" s="112">
        <v>15.4062</v>
      </c>
      <c r="E178" s="112">
        <v>15.5</v>
      </c>
      <c r="F178" s="112">
        <f t="shared" si="50"/>
        <v>15.459245840291574</v>
      </c>
      <c r="G178" s="112">
        <f t="shared" si="51"/>
        <v>7.1954159708425891E-2</v>
      </c>
      <c r="H178" s="112">
        <f t="shared" si="52"/>
        <v>5.3045840291574109E-2</v>
      </c>
      <c r="I178" s="112"/>
      <c r="J178" s="271">
        <f t="shared" si="53"/>
        <v>14.331045728531647</v>
      </c>
      <c r="K178" s="112">
        <f t="shared" si="54"/>
        <v>16.587445952051503</v>
      </c>
    </row>
    <row r="179" spans="1:11">
      <c r="A179" s="83">
        <v>171</v>
      </c>
      <c r="B179" s="110">
        <v>32773</v>
      </c>
      <c r="C179" s="111">
        <v>15.5</v>
      </c>
      <c r="D179" s="111">
        <v>15.375</v>
      </c>
      <c r="E179" s="111">
        <v>15.4688</v>
      </c>
      <c r="F179" s="111">
        <f t="shared" si="50"/>
        <v>15.463848258820599</v>
      </c>
      <c r="G179" s="111">
        <f t="shared" si="51"/>
        <v>3.6151741179400787E-2</v>
      </c>
      <c r="H179" s="111">
        <f t="shared" si="52"/>
        <v>8.8848258820599213E-2</v>
      </c>
      <c r="I179" s="111"/>
      <c r="J179" s="272">
        <f t="shared" si="53"/>
        <v>14.335648147060672</v>
      </c>
      <c r="K179" s="111">
        <f t="shared" si="54"/>
        <v>16.592048370580528</v>
      </c>
    </row>
    <row r="180" spans="1:11">
      <c r="A180" s="83">
        <v>172</v>
      </c>
      <c r="B180" s="110">
        <v>32776</v>
      </c>
      <c r="C180" s="111">
        <v>15.4375</v>
      </c>
      <c r="D180" s="111">
        <v>15.3438</v>
      </c>
      <c r="E180" s="111">
        <v>15.3438</v>
      </c>
      <c r="F180" s="111">
        <f t="shared" si="50"/>
        <v>15.468450677349626</v>
      </c>
      <c r="G180" s="111">
        <f t="shared" si="51"/>
        <v>3.0950677349625977E-2</v>
      </c>
      <c r="H180" s="111">
        <f t="shared" si="52"/>
        <v>0.12465067734962609</v>
      </c>
      <c r="I180" s="111"/>
      <c r="J180" s="272">
        <f t="shared" si="53"/>
        <v>14.340250565589699</v>
      </c>
      <c r="K180" s="111">
        <f t="shared" si="54"/>
        <v>16.596650789109553</v>
      </c>
    </row>
    <row r="181" spans="1:11">
      <c r="A181" s="82">
        <v>173</v>
      </c>
      <c r="B181" s="109">
        <v>32777</v>
      </c>
      <c r="C181" s="112">
        <v>15.3438</v>
      </c>
      <c r="D181" s="112">
        <v>15.2188</v>
      </c>
      <c r="E181" s="112">
        <v>15.2188</v>
      </c>
      <c r="F181" s="112">
        <f t="shared" si="50"/>
        <v>15.473053095878653</v>
      </c>
      <c r="G181" s="112">
        <f t="shared" si="51"/>
        <v>0.12925309587865286</v>
      </c>
      <c r="H181" s="112">
        <f t="shared" si="52"/>
        <v>0.25425309587865286</v>
      </c>
      <c r="I181" s="112"/>
      <c r="J181" s="271">
        <f t="shared" si="53"/>
        <v>14.344852984118726</v>
      </c>
      <c r="K181" s="112">
        <f t="shared" si="54"/>
        <v>16.601253207638578</v>
      </c>
    </row>
    <row r="182" spans="1:11">
      <c r="A182" s="82">
        <v>174</v>
      </c>
      <c r="B182" s="109">
        <v>32778</v>
      </c>
      <c r="C182" s="112">
        <v>15.3125</v>
      </c>
      <c r="D182" s="112">
        <v>15.1875</v>
      </c>
      <c r="E182" s="112">
        <v>15.25</v>
      </c>
      <c r="F182" s="112">
        <f t="shared" si="50"/>
        <v>15.47765551440768</v>
      </c>
      <c r="G182" s="112">
        <f t="shared" si="51"/>
        <v>0.1651555144076795</v>
      </c>
      <c r="H182" s="112">
        <f t="shared" si="52"/>
        <v>0.2901555144076795</v>
      </c>
      <c r="I182" s="112"/>
      <c r="J182" s="271">
        <f t="shared" si="53"/>
        <v>14.349455402647752</v>
      </c>
      <c r="K182" s="112">
        <f t="shared" si="54"/>
        <v>16.605855626167607</v>
      </c>
    </row>
    <row r="183" spans="1:11">
      <c r="A183" s="83">
        <v>175</v>
      </c>
      <c r="B183" s="110">
        <v>32779</v>
      </c>
      <c r="C183" s="111">
        <v>15.375</v>
      </c>
      <c r="D183" s="111">
        <v>15.25</v>
      </c>
      <c r="E183" s="111">
        <v>15.3438</v>
      </c>
      <c r="F183" s="111">
        <f t="shared" si="50"/>
        <v>15.482257932936704</v>
      </c>
      <c r="G183" s="111">
        <f t="shared" si="51"/>
        <v>0.10725793293670449</v>
      </c>
      <c r="H183" s="111">
        <f t="shared" si="52"/>
        <v>0.23225793293670449</v>
      </c>
      <c r="I183" s="111"/>
      <c r="J183" s="272">
        <f t="shared" si="53"/>
        <v>14.354057821176777</v>
      </c>
      <c r="K183" s="111">
        <f t="shared" si="54"/>
        <v>16.610458044696632</v>
      </c>
    </row>
    <row r="184" spans="1:11">
      <c r="A184" s="83">
        <v>176</v>
      </c>
      <c r="B184" s="110">
        <v>32780</v>
      </c>
      <c r="C184" s="111">
        <v>15.4062</v>
      </c>
      <c r="D184" s="111">
        <v>15.2188</v>
      </c>
      <c r="E184" s="111">
        <v>15.25</v>
      </c>
      <c r="F184" s="111">
        <f t="shared" si="50"/>
        <v>15.486860351465731</v>
      </c>
      <c r="G184" s="111">
        <f t="shared" si="51"/>
        <v>8.0660351465731139E-2</v>
      </c>
      <c r="H184" s="111">
        <f t="shared" si="52"/>
        <v>0.26806035146573137</v>
      </c>
      <c r="I184" s="111"/>
      <c r="J184" s="272">
        <f t="shared" si="53"/>
        <v>14.358660239705804</v>
      </c>
      <c r="K184" s="111">
        <f t="shared" si="54"/>
        <v>16.61506046322566</v>
      </c>
    </row>
    <row r="185" spans="1:11">
      <c r="A185" s="82">
        <v>177</v>
      </c>
      <c r="B185" s="109">
        <v>32783</v>
      </c>
      <c r="C185" s="112">
        <v>15.375</v>
      </c>
      <c r="D185" s="112">
        <v>15.25</v>
      </c>
      <c r="E185" s="112">
        <v>15.3438</v>
      </c>
      <c r="F185" s="112">
        <f t="shared" si="50"/>
        <v>15.491462769994758</v>
      </c>
      <c r="G185" s="112">
        <f t="shared" si="51"/>
        <v>0.11646276999475802</v>
      </c>
      <c r="H185" s="112">
        <f t="shared" si="52"/>
        <v>0.24146276999475802</v>
      </c>
      <c r="I185" s="112"/>
      <c r="J185" s="271">
        <f t="shared" si="53"/>
        <v>14.363262658234831</v>
      </c>
      <c r="K185" s="112">
        <f t="shared" si="54"/>
        <v>16.619662881754685</v>
      </c>
    </row>
    <row r="186" spans="1:11">
      <c r="A186" s="82">
        <v>178</v>
      </c>
      <c r="B186" s="109">
        <v>32784</v>
      </c>
      <c r="C186" s="112">
        <v>15.4062</v>
      </c>
      <c r="D186" s="112">
        <v>15.3125</v>
      </c>
      <c r="E186" s="112">
        <v>15.375</v>
      </c>
      <c r="F186" s="112">
        <f t="shared" ref="F186:F195" si="55">TREND(E$9:E$195,A$9:A$195,A186)</f>
        <v>15.496065188523785</v>
      </c>
      <c r="G186" s="112">
        <f t="shared" ref="G186:G195" si="56">ABS(C186-F186)</f>
        <v>8.9865188523784667E-2</v>
      </c>
      <c r="H186" s="112">
        <f t="shared" ref="H186:H195" si="57">ABS(F186-D186)</f>
        <v>0.18356518852378478</v>
      </c>
      <c r="I186" s="112"/>
      <c r="J186" s="271">
        <f t="shared" ref="J186:J195" si="58">F186-I$9</f>
        <v>14.367865076763858</v>
      </c>
      <c r="K186" s="112">
        <f t="shared" ref="K186:K195" si="59">F186+I$9</f>
        <v>16.62426530028371</v>
      </c>
    </row>
    <row r="187" spans="1:11">
      <c r="A187" s="83">
        <v>179</v>
      </c>
      <c r="B187" s="110">
        <v>32785</v>
      </c>
      <c r="C187" s="111">
        <v>15.4062</v>
      </c>
      <c r="D187" s="111">
        <v>15.2812</v>
      </c>
      <c r="E187" s="111">
        <v>15.3438</v>
      </c>
      <c r="F187" s="111">
        <f t="shared" si="55"/>
        <v>15.500667607052812</v>
      </c>
      <c r="G187" s="111">
        <f t="shared" si="56"/>
        <v>9.4467607052811431E-2</v>
      </c>
      <c r="H187" s="111">
        <f t="shared" si="57"/>
        <v>0.21946760705281143</v>
      </c>
      <c r="I187" s="111"/>
      <c r="J187" s="272">
        <f t="shared" si="58"/>
        <v>14.372467495292884</v>
      </c>
      <c r="K187" s="111">
        <f t="shared" si="59"/>
        <v>16.628867718812739</v>
      </c>
    </row>
    <row r="188" spans="1:11">
      <c r="A188" s="83">
        <v>180</v>
      </c>
      <c r="B188" s="110">
        <v>32786</v>
      </c>
      <c r="C188" s="111">
        <v>15.4375</v>
      </c>
      <c r="D188" s="111">
        <v>15.3125</v>
      </c>
      <c r="E188" s="111">
        <v>15.4375</v>
      </c>
      <c r="F188" s="111">
        <f t="shared" si="55"/>
        <v>15.505270025581837</v>
      </c>
      <c r="G188" s="111">
        <f t="shared" si="56"/>
        <v>6.7770025581836535E-2</v>
      </c>
      <c r="H188" s="111">
        <f t="shared" si="57"/>
        <v>0.19277002558183653</v>
      </c>
      <c r="I188" s="111"/>
      <c r="J188" s="272">
        <f t="shared" si="58"/>
        <v>14.377069913821909</v>
      </c>
      <c r="K188" s="111">
        <f t="shared" si="59"/>
        <v>16.633470137341764</v>
      </c>
    </row>
    <row r="189" spans="1:11">
      <c r="A189" s="82">
        <v>181</v>
      </c>
      <c r="B189" s="109">
        <v>32787</v>
      </c>
      <c r="C189" s="112">
        <v>15.5</v>
      </c>
      <c r="D189" s="112">
        <v>15.375</v>
      </c>
      <c r="E189" s="112">
        <v>15.4062</v>
      </c>
      <c r="F189" s="112">
        <f t="shared" si="55"/>
        <v>15.509872444110863</v>
      </c>
      <c r="G189" s="112">
        <f t="shared" si="56"/>
        <v>9.8724441108632988E-3</v>
      </c>
      <c r="H189" s="112">
        <f t="shared" si="57"/>
        <v>0.1348724441108633</v>
      </c>
      <c r="I189" s="112"/>
      <c r="J189" s="271">
        <f t="shared" si="58"/>
        <v>14.381672332350936</v>
      </c>
      <c r="K189" s="112">
        <f t="shared" si="59"/>
        <v>16.638072555870792</v>
      </c>
    </row>
    <row r="190" spans="1:11">
      <c r="A190" s="82">
        <v>182</v>
      </c>
      <c r="B190" s="109">
        <v>32790</v>
      </c>
      <c r="C190" s="112">
        <v>15.5</v>
      </c>
      <c r="D190" s="112">
        <v>15.3125</v>
      </c>
      <c r="E190" s="112">
        <v>15.375</v>
      </c>
      <c r="F190" s="112">
        <f t="shared" si="55"/>
        <v>15.51447486263989</v>
      </c>
      <c r="G190" s="112">
        <f t="shared" si="56"/>
        <v>1.4474862639890063E-2</v>
      </c>
      <c r="H190" s="112">
        <f t="shared" si="57"/>
        <v>0.20197486263989006</v>
      </c>
      <c r="I190" s="112"/>
      <c r="J190" s="271">
        <f t="shared" si="58"/>
        <v>14.386274750879963</v>
      </c>
      <c r="K190" s="112">
        <f t="shared" si="59"/>
        <v>16.642674974399817</v>
      </c>
    </row>
    <row r="191" spans="1:11">
      <c r="A191" s="83">
        <v>183</v>
      </c>
      <c r="B191" s="110">
        <v>32791</v>
      </c>
      <c r="C191" s="111">
        <v>15.4062</v>
      </c>
      <c r="D191" s="111">
        <v>15.1875</v>
      </c>
      <c r="E191" s="111">
        <v>15.25</v>
      </c>
      <c r="F191" s="111">
        <f t="shared" si="55"/>
        <v>15.519077281168917</v>
      </c>
      <c r="G191" s="111">
        <f t="shared" si="56"/>
        <v>0.11287728116891671</v>
      </c>
      <c r="H191" s="111">
        <f t="shared" si="57"/>
        <v>0.33157728116891683</v>
      </c>
      <c r="I191" s="111"/>
      <c r="J191" s="272">
        <f t="shared" si="58"/>
        <v>14.39087716940899</v>
      </c>
      <c r="K191" s="111">
        <f t="shared" si="59"/>
        <v>16.647277392928842</v>
      </c>
    </row>
    <row r="192" spans="1:11">
      <c r="A192" s="83">
        <v>184</v>
      </c>
      <c r="B192" s="110">
        <v>32792</v>
      </c>
      <c r="C192" s="111">
        <v>15.25</v>
      </c>
      <c r="D192" s="111">
        <v>15.125</v>
      </c>
      <c r="E192" s="111">
        <v>15.125</v>
      </c>
      <c r="F192" s="111">
        <f t="shared" si="55"/>
        <v>15.523679699697944</v>
      </c>
      <c r="G192" s="111">
        <f t="shared" si="56"/>
        <v>0.27367969969794359</v>
      </c>
      <c r="H192" s="111">
        <f t="shared" si="57"/>
        <v>0.39867969969794359</v>
      </c>
      <c r="I192" s="111"/>
      <c r="J192" s="272">
        <f t="shared" si="58"/>
        <v>14.395479587938016</v>
      </c>
      <c r="K192" s="111">
        <f t="shared" si="59"/>
        <v>16.651879811457871</v>
      </c>
    </row>
    <row r="193" spans="1:11">
      <c r="A193" s="82">
        <v>185</v>
      </c>
      <c r="B193" s="109">
        <v>32793</v>
      </c>
      <c r="C193" s="112">
        <v>15.1562</v>
      </c>
      <c r="D193" s="112">
        <v>15.0625</v>
      </c>
      <c r="E193" s="112">
        <v>15.1562</v>
      </c>
      <c r="F193" s="112">
        <f t="shared" si="55"/>
        <v>15.528282118226969</v>
      </c>
      <c r="G193" s="112">
        <f t="shared" si="56"/>
        <v>0.37208211822696846</v>
      </c>
      <c r="H193" s="112">
        <f t="shared" si="57"/>
        <v>0.46578211822696858</v>
      </c>
      <c r="I193" s="112"/>
      <c r="J193" s="271">
        <f t="shared" si="58"/>
        <v>14.400082006467041</v>
      </c>
      <c r="K193" s="112">
        <f t="shared" si="59"/>
        <v>16.656482229986896</v>
      </c>
    </row>
    <row r="194" spans="1:11">
      <c r="A194" s="82">
        <v>186</v>
      </c>
      <c r="B194" s="109">
        <v>32794</v>
      </c>
      <c r="C194" s="112">
        <v>15.1875</v>
      </c>
      <c r="D194" s="112">
        <v>14.5</v>
      </c>
      <c r="E194" s="112">
        <v>14.5938</v>
      </c>
      <c r="F194" s="112">
        <f t="shared" si="55"/>
        <v>15.532884536755995</v>
      </c>
      <c r="G194" s="112">
        <f t="shared" si="56"/>
        <v>0.34538453675599534</v>
      </c>
      <c r="H194" s="112">
        <f t="shared" si="57"/>
        <v>1.0328845367559953</v>
      </c>
      <c r="I194" s="112"/>
      <c r="J194" s="271">
        <f t="shared" si="58"/>
        <v>14.404684424996068</v>
      </c>
      <c r="K194" s="112">
        <f t="shared" si="59"/>
        <v>16.661084648515924</v>
      </c>
    </row>
    <row r="195" spans="1:11">
      <c r="A195" s="83">
        <v>187</v>
      </c>
      <c r="B195" s="110">
        <v>32797</v>
      </c>
      <c r="C195" s="111">
        <v>15.125</v>
      </c>
      <c r="D195" s="111">
        <v>14.5312</v>
      </c>
      <c r="E195" s="111">
        <v>14.7188</v>
      </c>
      <c r="F195" s="111">
        <f t="shared" si="55"/>
        <v>15.537486955285022</v>
      </c>
      <c r="G195" s="111">
        <f t="shared" si="56"/>
        <v>0.41248695528502211</v>
      </c>
      <c r="H195" s="111">
        <f t="shared" si="57"/>
        <v>1.006286955285022</v>
      </c>
      <c r="I195" s="111"/>
      <c r="J195" s="272">
        <f t="shared" si="58"/>
        <v>14.409286843525095</v>
      </c>
      <c r="K195" s="111">
        <f t="shared" si="59"/>
        <v>16.665687067044949</v>
      </c>
    </row>
    <row r="196" spans="1:11">
      <c r="B196" s="8"/>
    </row>
    <row r="197" spans="1:11">
      <c r="B197" s="8"/>
    </row>
    <row r="198" spans="1:11">
      <c r="A198" t="s">
        <v>64</v>
      </c>
      <c r="B198" s="8" t="s">
        <v>9</v>
      </c>
    </row>
    <row r="199" spans="1:11">
      <c r="A199" t="s">
        <v>66</v>
      </c>
      <c r="B199" s="8"/>
    </row>
    <row r="200" spans="1:11">
      <c r="A200" t="s">
        <v>65</v>
      </c>
      <c r="B200" s="8"/>
    </row>
    <row r="201" spans="1:11">
      <c r="A201" t="s">
        <v>67</v>
      </c>
      <c r="B201" s="8"/>
    </row>
    <row r="202" spans="1:11">
      <c r="A202" t="s">
        <v>69</v>
      </c>
      <c r="B202" s="8"/>
    </row>
    <row r="203" spans="1:11">
      <c r="A203" t="s">
        <v>68</v>
      </c>
      <c r="B203" s="8"/>
    </row>
    <row r="204" spans="1:11">
      <c r="B204" s="8"/>
    </row>
    <row r="205" spans="1:11">
      <c r="B205" s="8"/>
    </row>
    <row r="206" spans="1:11">
      <c r="B206" s="8"/>
    </row>
    <row r="207" spans="1:11">
      <c r="B207" s="8"/>
    </row>
    <row r="208" spans="1:11">
      <c r="B208" s="8"/>
    </row>
    <row r="209" spans="2:2">
      <c r="B209" s="8"/>
    </row>
    <row r="210" spans="2:2">
      <c r="B210" s="8"/>
    </row>
    <row r="211" spans="2:2">
      <c r="B211" s="8"/>
    </row>
    <row r="212" spans="2:2">
      <c r="B212" s="8"/>
    </row>
    <row r="213" spans="2:2">
      <c r="B213" s="8"/>
    </row>
    <row r="214" spans="2:2">
      <c r="B214" s="8"/>
    </row>
    <row r="215" spans="2:2">
      <c r="B215" s="8"/>
    </row>
    <row r="216" spans="2:2">
      <c r="B216" s="8"/>
    </row>
    <row r="217" spans="2:2">
      <c r="B217" s="8"/>
    </row>
    <row r="218" spans="2:2">
      <c r="B218" s="8"/>
    </row>
    <row r="219" spans="2:2">
      <c r="B219" s="8"/>
    </row>
    <row r="220" spans="2:2">
      <c r="B220" s="8"/>
    </row>
    <row r="221" spans="2:2">
      <c r="B221" s="8"/>
    </row>
    <row r="222" spans="2:2">
      <c r="B222" s="8"/>
    </row>
    <row r="223" spans="2:2">
      <c r="B223" s="8"/>
    </row>
    <row r="224" spans="2:2">
      <c r="B224" s="8"/>
    </row>
    <row r="225" spans="2:2">
      <c r="B225" s="8"/>
    </row>
    <row r="226" spans="2:2">
      <c r="B226" s="8"/>
    </row>
    <row r="227" spans="2:2">
      <c r="B227" s="8"/>
    </row>
    <row r="228" spans="2:2">
      <c r="B228" s="8"/>
    </row>
    <row r="229" spans="2:2">
      <c r="B229" s="8"/>
    </row>
    <row r="230" spans="2:2">
      <c r="B230" s="8"/>
    </row>
    <row r="231" spans="2:2">
      <c r="B231" s="8"/>
    </row>
    <row r="232" spans="2:2">
      <c r="B232" s="8"/>
    </row>
    <row r="233" spans="2:2">
      <c r="B233" s="8"/>
    </row>
    <row r="234" spans="2:2">
      <c r="B234" s="8"/>
    </row>
    <row r="235" spans="2:2">
      <c r="B235" s="8"/>
    </row>
    <row r="236" spans="2:2">
      <c r="B236" s="8"/>
    </row>
    <row r="237" spans="2:2">
      <c r="B237" s="8"/>
    </row>
    <row r="238" spans="2:2">
      <c r="B238" s="8"/>
    </row>
    <row r="239" spans="2:2">
      <c r="B239" s="8"/>
    </row>
    <row r="240" spans="2:2">
      <c r="B240" s="8"/>
    </row>
    <row r="241" spans="2:2">
      <c r="B241" s="8"/>
    </row>
    <row r="242" spans="2:2">
      <c r="B242" s="8"/>
    </row>
    <row r="243" spans="2:2">
      <c r="B243" s="8"/>
    </row>
    <row r="244" spans="2:2">
      <c r="B244" s="8"/>
    </row>
    <row r="245" spans="2:2">
      <c r="B245" s="8"/>
    </row>
    <row r="246" spans="2:2">
      <c r="B246" s="8"/>
    </row>
    <row r="247" spans="2:2">
      <c r="B247" s="8"/>
    </row>
    <row r="248" spans="2:2">
      <c r="B248" s="8"/>
    </row>
    <row r="249" spans="2:2">
      <c r="B249" s="8"/>
    </row>
    <row r="250" spans="2:2">
      <c r="B250" s="8"/>
    </row>
    <row r="251" spans="2:2">
      <c r="B251" s="8"/>
    </row>
    <row r="252" spans="2:2">
      <c r="B252" s="8"/>
    </row>
    <row r="253" spans="2:2">
      <c r="B253" s="8"/>
    </row>
    <row r="254" spans="2:2">
      <c r="B254" s="8"/>
    </row>
    <row r="255" spans="2:2">
      <c r="B255" s="8"/>
    </row>
    <row r="256" spans="2:2">
      <c r="B256" s="8"/>
    </row>
    <row r="257" spans="2:2">
      <c r="B257" s="8"/>
    </row>
    <row r="258" spans="2:2">
      <c r="B258" s="8"/>
    </row>
    <row r="259" spans="2:2">
      <c r="B259" s="8"/>
    </row>
    <row r="260" spans="2:2">
      <c r="B260" s="8"/>
    </row>
    <row r="261" spans="2:2">
      <c r="B261" s="8"/>
    </row>
    <row r="262" spans="2:2">
      <c r="B262" s="8"/>
    </row>
    <row r="263" spans="2:2">
      <c r="B263" s="8"/>
    </row>
    <row r="264" spans="2:2">
      <c r="B264" s="8"/>
    </row>
    <row r="265" spans="2:2">
      <c r="B265" s="8"/>
    </row>
    <row r="266" spans="2:2">
      <c r="B266" s="8"/>
    </row>
    <row r="267" spans="2:2">
      <c r="B267" s="8"/>
    </row>
    <row r="268" spans="2:2">
      <c r="B268" s="8"/>
    </row>
    <row r="269" spans="2:2">
      <c r="B269" s="8"/>
    </row>
    <row r="270" spans="2:2">
      <c r="B270" s="8"/>
    </row>
    <row r="271" spans="2:2">
      <c r="B271" s="8"/>
    </row>
    <row r="272" spans="2:2">
      <c r="B272" s="8"/>
    </row>
    <row r="273" spans="2:2">
      <c r="B273" s="8"/>
    </row>
    <row r="274" spans="2:2">
      <c r="B274" s="8"/>
    </row>
    <row r="275" spans="2:2">
      <c r="B275" s="8"/>
    </row>
    <row r="276" spans="2:2">
      <c r="B276" s="8"/>
    </row>
    <row r="277" spans="2:2">
      <c r="B277" s="8"/>
    </row>
    <row r="278" spans="2:2">
      <c r="B278" s="8"/>
    </row>
    <row r="279" spans="2:2">
      <c r="B279" s="8"/>
    </row>
    <row r="280" spans="2:2">
      <c r="B280" s="8"/>
    </row>
    <row r="281" spans="2:2">
      <c r="B281" s="8"/>
    </row>
    <row r="282" spans="2:2">
      <c r="B282" s="8"/>
    </row>
    <row r="283" spans="2:2">
      <c r="B283" s="8"/>
    </row>
    <row r="284" spans="2:2">
      <c r="B284" s="8"/>
    </row>
    <row r="285" spans="2:2">
      <c r="B285" s="8"/>
    </row>
    <row r="286" spans="2:2">
      <c r="B286" s="8"/>
    </row>
    <row r="287" spans="2:2">
      <c r="B287" s="8"/>
    </row>
    <row r="288" spans="2:2">
      <c r="B288" s="8"/>
    </row>
    <row r="289" spans="2:2">
      <c r="B289" s="8"/>
    </row>
    <row r="290" spans="2:2">
      <c r="B290" s="8"/>
    </row>
    <row r="291" spans="2:2">
      <c r="B291" s="8"/>
    </row>
    <row r="292" spans="2:2">
      <c r="B292" s="8"/>
    </row>
    <row r="293" spans="2:2">
      <c r="B293" s="8"/>
    </row>
    <row r="294" spans="2:2">
      <c r="B294" s="8"/>
    </row>
    <row r="295" spans="2:2">
      <c r="B295" s="8"/>
    </row>
    <row r="296" spans="2:2">
      <c r="B296" s="8"/>
    </row>
    <row r="297" spans="2:2">
      <c r="B297" s="8"/>
    </row>
    <row r="298" spans="2:2">
      <c r="B298" s="8"/>
    </row>
    <row r="299" spans="2:2">
      <c r="B299" s="8"/>
    </row>
    <row r="300" spans="2:2">
      <c r="B300" s="8"/>
    </row>
    <row r="301" spans="2:2">
      <c r="B301" s="8"/>
    </row>
    <row r="302" spans="2:2">
      <c r="B302" s="8"/>
    </row>
    <row r="303" spans="2:2">
      <c r="B303" s="8"/>
    </row>
    <row r="304" spans="2:2">
      <c r="B304" s="8"/>
    </row>
    <row r="305" spans="2:2">
      <c r="B305" s="8"/>
    </row>
    <row r="306" spans="2:2">
      <c r="B306" s="8"/>
    </row>
    <row r="307" spans="2:2">
      <c r="B307" s="8"/>
    </row>
    <row r="308" spans="2:2">
      <c r="B308" s="8"/>
    </row>
    <row r="309" spans="2:2">
      <c r="B309" s="8"/>
    </row>
    <row r="310" spans="2:2">
      <c r="B310" s="8"/>
    </row>
    <row r="311" spans="2:2">
      <c r="B311" s="8"/>
    </row>
    <row r="312" spans="2:2">
      <c r="B312" s="8"/>
    </row>
    <row r="313" spans="2:2">
      <c r="B313" s="8"/>
    </row>
    <row r="314" spans="2:2">
      <c r="B314" s="8"/>
    </row>
    <row r="315" spans="2:2">
      <c r="B315" s="8"/>
    </row>
    <row r="316" spans="2:2">
      <c r="B316" s="8"/>
    </row>
    <row r="317" spans="2:2">
      <c r="B317" s="8"/>
    </row>
    <row r="318" spans="2:2">
      <c r="B318" s="8"/>
    </row>
    <row r="319" spans="2:2">
      <c r="B319" s="8"/>
    </row>
    <row r="320" spans="2:2">
      <c r="B320" s="8"/>
    </row>
    <row r="321" spans="2:2">
      <c r="B321" s="8"/>
    </row>
    <row r="322" spans="2:2">
      <c r="B322" s="8"/>
    </row>
    <row r="323" spans="2:2">
      <c r="B323" s="8"/>
    </row>
    <row r="324" spans="2:2">
      <c r="B324" s="8"/>
    </row>
    <row r="325" spans="2:2">
      <c r="B325" s="8"/>
    </row>
    <row r="326" spans="2:2">
      <c r="B326" s="8"/>
    </row>
    <row r="327" spans="2:2">
      <c r="B327" s="8"/>
    </row>
    <row r="328" spans="2:2">
      <c r="B328" s="8"/>
    </row>
    <row r="329" spans="2:2">
      <c r="B329" s="8"/>
    </row>
    <row r="330" spans="2:2">
      <c r="B330" s="8"/>
    </row>
    <row r="331" spans="2:2">
      <c r="B331" s="8"/>
    </row>
    <row r="332" spans="2:2">
      <c r="B332" s="8"/>
    </row>
    <row r="333" spans="2:2">
      <c r="B333" s="8"/>
    </row>
    <row r="334" spans="2:2">
      <c r="B334" s="8"/>
    </row>
    <row r="335" spans="2:2">
      <c r="B335" s="8"/>
    </row>
    <row r="336" spans="2:2">
      <c r="B336" s="8"/>
    </row>
    <row r="337" spans="2:2">
      <c r="B337" s="8"/>
    </row>
    <row r="338" spans="2:2">
      <c r="B338" s="8"/>
    </row>
    <row r="339" spans="2:2">
      <c r="B339" s="8"/>
    </row>
    <row r="340" spans="2:2">
      <c r="B340" s="8"/>
    </row>
    <row r="341" spans="2:2">
      <c r="B341" s="8"/>
    </row>
    <row r="342" spans="2:2">
      <c r="B342" s="8"/>
    </row>
    <row r="343" spans="2:2">
      <c r="B343" s="8"/>
    </row>
    <row r="344" spans="2:2">
      <c r="B344" s="8"/>
    </row>
    <row r="345" spans="2:2">
      <c r="B345" s="8"/>
    </row>
    <row r="346" spans="2:2">
      <c r="B346" s="8"/>
    </row>
    <row r="347" spans="2:2">
      <c r="B347" s="8"/>
    </row>
    <row r="348" spans="2:2">
      <c r="B348" s="8"/>
    </row>
    <row r="349" spans="2:2">
      <c r="B349" s="8"/>
    </row>
    <row r="350" spans="2:2">
      <c r="B350" s="8"/>
    </row>
    <row r="351" spans="2:2">
      <c r="B351" s="8"/>
    </row>
    <row r="352" spans="2:2">
      <c r="B352" s="8"/>
    </row>
    <row r="353" spans="2:2">
      <c r="B353" s="8"/>
    </row>
    <row r="354" spans="2:2">
      <c r="B354" s="8"/>
    </row>
    <row r="355" spans="2:2">
      <c r="B355" s="8"/>
    </row>
    <row r="356" spans="2:2">
      <c r="B356" s="8"/>
    </row>
    <row r="357" spans="2:2">
      <c r="B357" s="8"/>
    </row>
    <row r="358" spans="2:2">
      <c r="B358" s="8"/>
    </row>
    <row r="359" spans="2:2">
      <c r="B359" s="8"/>
    </row>
    <row r="360" spans="2:2">
      <c r="B360" s="8"/>
    </row>
    <row r="361" spans="2:2">
      <c r="B361" s="8"/>
    </row>
    <row r="362" spans="2:2">
      <c r="B362" s="8"/>
    </row>
    <row r="363" spans="2:2">
      <c r="B363" s="8"/>
    </row>
    <row r="364" spans="2:2">
      <c r="B364" s="8"/>
    </row>
    <row r="365" spans="2:2">
      <c r="B365" s="8"/>
    </row>
    <row r="366" spans="2:2">
      <c r="B366" s="8"/>
    </row>
    <row r="367" spans="2:2">
      <c r="B367" s="8"/>
    </row>
    <row r="368" spans="2:2">
      <c r="B368" s="8"/>
    </row>
    <row r="369" spans="2:2">
      <c r="B369" s="8"/>
    </row>
    <row r="370" spans="2:2">
      <c r="B370" s="8"/>
    </row>
    <row r="371" spans="2:2">
      <c r="B371" s="8"/>
    </row>
    <row r="372" spans="2:2">
      <c r="B372" s="8"/>
    </row>
    <row r="373" spans="2:2">
      <c r="B373" s="8"/>
    </row>
    <row r="374" spans="2:2">
      <c r="B374" s="8"/>
    </row>
    <row r="375" spans="2:2">
      <c r="B375" s="8"/>
    </row>
    <row r="376" spans="2:2">
      <c r="B376" s="8"/>
    </row>
    <row r="377" spans="2:2">
      <c r="B377" s="8"/>
    </row>
    <row r="378" spans="2:2">
      <c r="B378" s="8"/>
    </row>
    <row r="379" spans="2:2">
      <c r="B379" s="8"/>
    </row>
    <row r="380" spans="2:2">
      <c r="B380" s="8"/>
    </row>
    <row r="381" spans="2:2">
      <c r="B381" s="8"/>
    </row>
    <row r="382" spans="2:2">
      <c r="B382" s="8"/>
    </row>
    <row r="383" spans="2:2">
      <c r="B383" s="8"/>
    </row>
    <row r="384" spans="2:2">
      <c r="B384" s="8"/>
    </row>
    <row r="385" spans="2:2">
      <c r="B385" s="8"/>
    </row>
    <row r="386" spans="2:2">
      <c r="B386" s="8"/>
    </row>
    <row r="387" spans="2:2">
      <c r="B387" s="8"/>
    </row>
    <row r="388" spans="2:2">
      <c r="B388" s="8"/>
    </row>
    <row r="389" spans="2:2">
      <c r="B389" s="8"/>
    </row>
    <row r="390" spans="2:2">
      <c r="B390" s="8"/>
    </row>
    <row r="391" spans="2:2">
      <c r="B391" s="8"/>
    </row>
    <row r="392" spans="2:2">
      <c r="B392" s="8"/>
    </row>
    <row r="393" spans="2:2">
      <c r="B393" s="8"/>
    </row>
    <row r="394" spans="2:2">
      <c r="B394" s="8"/>
    </row>
    <row r="395" spans="2:2">
      <c r="B395" s="8"/>
    </row>
    <row r="396" spans="2:2">
      <c r="B396" s="8"/>
    </row>
    <row r="397" spans="2:2">
      <c r="B397" s="8"/>
    </row>
    <row r="398" spans="2:2">
      <c r="B398" s="8"/>
    </row>
    <row r="399" spans="2:2">
      <c r="B399" s="8"/>
    </row>
    <row r="400" spans="2:2">
      <c r="B400" s="8"/>
    </row>
    <row r="401" spans="2:2">
      <c r="B401" s="8"/>
    </row>
    <row r="402" spans="2:2">
      <c r="B402" s="8"/>
    </row>
    <row r="403" spans="2:2">
      <c r="B403" s="8"/>
    </row>
    <row r="404" spans="2:2">
      <c r="B404" s="8"/>
    </row>
    <row r="405" spans="2:2">
      <c r="B405" s="8"/>
    </row>
    <row r="406" spans="2:2">
      <c r="B406" s="8"/>
    </row>
    <row r="407" spans="2:2">
      <c r="B407" s="8"/>
    </row>
    <row r="408" spans="2:2">
      <c r="B408" s="8"/>
    </row>
    <row r="409" spans="2:2">
      <c r="B409" s="8"/>
    </row>
    <row r="410" spans="2:2">
      <c r="B410" s="8"/>
    </row>
    <row r="411" spans="2:2">
      <c r="B411" s="8"/>
    </row>
    <row r="412" spans="2:2">
      <c r="B412" s="8"/>
    </row>
    <row r="413" spans="2:2">
      <c r="B413" s="8"/>
    </row>
    <row r="414" spans="2:2">
      <c r="B414" s="8"/>
    </row>
    <row r="415" spans="2:2">
      <c r="B415" s="8"/>
    </row>
    <row r="416" spans="2:2">
      <c r="B416" s="8"/>
    </row>
    <row r="417" spans="2:2">
      <c r="B417" s="8"/>
    </row>
    <row r="418" spans="2:2">
      <c r="B418" s="8"/>
    </row>
    <row r="419" spans="2:2">
      <c r="B419" s="8"/>
    </row>
    <row r="420" spans="2:2">
      <c r="B420" s="8"/>
    </row>
    <row r="421" spans="2:2">
      <c r="B421" s="8"/>
    </row>
    <row r="422" spans="2:2">
      <c r="B422" s="8"/>
    </row>
    <row r="423" spans="2:2">
      <c r="B423" s="8"/>
    </row>
    <row r="424" spans="2:2">
      <c r="B424" s="8"/>
    </row>
    <row r="425" spans="2:2">
      <c r="B425" s="8"/>
    </row>
    <row r="426" spans="2:2">
      <c r="B426" s="8"/>
    </row>
    <row r="427" spans="2:2">
      <c r="B427" s="8"/>
    </row>
    <row r="428" spans="2:2">
      <c r="B428" s="8"/>
    </row>
    <row r="429" spans="2:2">
      <c r="B429" s="8"/>
    </row>
    <row r="430" spans="2:2">
      <c r="B430" s="8"/>
    </row>
    <row r="431" spans="2:2">
      <c r="B431" s="8"/>
    </row>
    <row r="432" spans="2:2">
      <c r="B432" s="8"/>
    </row>
    <row r="433" spans="2:2">
      <c r="B433" s="8"/>
    </row>
    <row r="434" spans="2:2">
      <c r="B434" s="8"/>
    </row>
    <row r="435" spans="2:2">
      <c r="B435" s="8"/>
    </row>
    <row r="436" spans="2:2">
      <c r="B436" s="8"/>
    </row>
    <row r="437" spans="2:2">
      <c r="B437" s="8"/>
    </row>
    <row r="438" spans="2:2">
      <c r="B438" s="8"/>
    </row>
    <row r="439" spans="2:2">
      <c r="B439" s="8"/>
    </row>
    <row r="440" spans="2:2">
      <c r="B440" s="8"/>
    </row>
    <row r="441" spans="2:2">
      <c r="B441" s="8"/>
    </row>
    <row r="442" spans="2:2">
      <c r="B442" s="8"/>
    </row>
    <row r="443" spans="2:2">
      <c r="B443" s="8"/>
    </row>
    <row r="444" spans="2:2">
      <c r="B444" s="8"/>
    </row>
    <row r="445" spans="2:2">
      <c r="B445" s="8"/>
    </row>
    <row r="446" spans="2:2">
      <c r="B446" s="8"/>
    </row>
    <row r="447" spans="2:2">
      <c r="B447" s="8"/>
    </row>
    <row r="448" spans="2:2">
      <c r="B448" s="8"/>
    </row>
    <row r="449" spans="2:2">
      <c r="B449" s="8"/>
    </row>
    <row r="450" spans="2:2">
      <c r="B450" s="8"/>
    </row>
    <row r="451" spans="2:2">
      <c r="B451" s="8"/>
    </row>
    <row r="452" spans="2:2">
      <c r="B452" s="8"/>
    </row>
    <row r="453" spans="2:2">
      <c r="B453" s="8"/>
    </row>
    <row r="454" spans="2:2">
      <c r="B454" s="8"/>
    </row>
    <row r="455" spans="2:2">
      <c r="B455" s="8"/>
    </row>
    <row r="456" spans="2:2">
      <c r="B456" s="8"/>
    </row>
    <row r="457" spans="2:2">
      <c r="B457" s="8"/>
    </row>
    <row r="458" spans="2:2">
      <c r="B458" s="8"/>
    </row>
    <row r="459" spans="2:2">
      <c r="B459" s="8"/>
    </row>
    <row r="460" spans="2:2">
      <c r="B460" s="8"/>
    </row>
    <row r="461" spans="2:2">
      <c r="B461" s="8"/>
    </row>
    <row r="462" spans="2:2">
      <c r="B462" s="8"/>
    </row>
    <row r="463" spans="2:2">
      <c r="B463" s="8"/>
    </row>
    <row r="464" spans="2:2">
      <c r="B464" s="8"/>
    </row>
    <row r="465" spans="2:2">
      <c r="B465" s="8"/>
    </row>
    <row r="466" spans="2:2">
      <c r="B466" s="8"/>
    </row>
    <row r="467" spans="2:2">
      <c r="B467" s="8"/>
    </row>
    <row r="468" spans="2:2">
      <c r="B468" s="8"/>
    </row>
    <row r="469" spans="2:2">
      <c r="B469" s="8"/>
    </row>
    <row r="470" spans="2:2">
      <c r="B470" s="8"/>
    </row>
    <row r="471" spans="2:2">
      <c r="B471" s="8"/>
    </row>
    <row r="472" spans="2:2">
      <c r="B472" s="8"/>
    </row>
    <row r="473" spans="2:2">
      <c r="B473" s="8"/>
    </row>
    <row r="474" spans="2:2">
      <c r="B474" s="8"/>
    </row>
  </sheetData>
  <mergeCells count="3">
    <mergeCell ref="B5:K5"/>
    <mergeCell ref="B6:K6"/>
    <mergeCell ref="B7:K7"/>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1138"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1139"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1140"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91141" r:id="rId7" name="Button 5">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1142" r:id="rId8"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1143" r:id="rId9"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1144" r:id="rId10"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0" enableFormatConditionsCalculation="0"/>
  <dimension ref="A1:N69"/>
  <sheetViews>
    <sheetView workbookViewId="0"/>
  </sheetViews>
  <sheetFormatPr baseColWidth="10" defaultColWidth="8.83203125" defaultRowHeight="12" x14ac:dyDescent="0"/>
  <cols>
    <col min="1" max="1" width="12" customWidth="1"/>
    <col min="2" max="3" width="9.5" bestFit="1" customWidth="1"/>
    <col min="4" max="4" width="12.1640625" customWidth="1"/>
    <col min="5" max="5" width="11.5" bestFit="1" customWidth="1"/>
    <col min="6" max="6" width="11.5" customWidth="1"/>
    <col min="7" max="7" width="9.5" bestFit="1" customWidth="1"/>
    <col min="8" max="8" width="11.5" customWidth="1"/>
    <col min="9" max="9" width="10.5" customWidth="1"/>
    <col min="10" max="10" width="12.1640625" customWidth="1"/>
    <col min="11" max="11" width="9.5" bestFit="1"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110</v>
      </c>
      <c r="C3" s="21"/>
      <c r="D3" s="21"/>
      <c r="E3" s="21"/>
      <c r="F3" s="21"/>
      <c r="G3" s="21"/>
      <c r="H3" s="21"/>
      <c r="I3" s="21"/>
      <c r="J3" s="21"/>
      <c r="K3" s="21"/>
    </row>
    <row r="4" spans="1:14">
      <c r="A4" s="19" t="s">
        <v>774</v>
      </c>
      <c r="B4" s="20" t="s">
        <v>381</v>
      </c>
      <c r="C4" s="21"/>
      <c r="D4" s="21"/>
      <c r="E4" s="21"/>
      <c r="F4" s="21"/>
      <c r="G4" s="21"/>
      <c r="H4" s="21"/>
      <c r="I4" s="21"/>
      <c r="J4" s="21"/>
      <c r="K4" s="21"/>
    </row>
    <row r="5" spans="1:14">
      <c r="A5" s="19" t="s">
        <v>779</v>
      </c>
      <c r="B5" s="20" t="s">
        <v>963</v>
      </c>
      <c r="C5" s="21"/>
      <c r="D5" s="21"/>
      <c r="E5" s="21"/>
      <c r="F5" s="21"/>
      <c r="G5" s="21"/>
      <c r="H5" s="21"/>
      <c r="I5" s="21"/>
      <c r="J5" s="21"/>
      <c r="K5" s="21"/>
    </row>
    <row r="6" spans="1:14">
      <c r="A6" s="19" t="s">
        <v>635</v>
      </c>
      <c r="B6" s="21" t="s">
        <v>471</v>
      </c>
      <c r="C6" s="21" t="s">
        <v>472</v>
      </c>
      <c r="D6" s="21"/>
      <c r="E6" s="21"/>
      <c r="F6" s="21"/>
      <c r="G6" s="21"/>
      <c r="H6" s="21"/>
      <c r="I6" s="21"/>
      <c r="J6" s="21"/>
      <c r="K6" s="21"/>
    </row>
    <row r="7" spans="1:14" ht="43.5" customHeight="1">
      <c r="A7" s="22" t="s">
        <v>1090</v>
      </c>
      <c r="B7" s="22" t="s">
        <v>1096</v>
      </c>
      <c r="C7" s="22" t="s">
        <v>1097</v>
      </c>
      <c r="D7" s="22" t="s">
        <v>1098</v>
      </c>
      <c r="E7" s="22" t="s">
        <v>1099</v>
      </c>
      <c r="F7" s="31" t="s">
        <v>1108</v>
      </c>
      <c r="G7" s="31" t="s">
        <v>964</v>
      </c>
      <c r="H7" s="31" t="s">
        <v>965</v>
      </c>
      <c r="I7" s="31" t="s">
        <v>91</v>
      </c>
      <c r="J7" s="31" t="s">
        <v>964</v>
      </c>
      <c r="K7" s="31" t="s">
        <v>92</v>
      </c>
    </row>
    <row r="8" spans="1:14">
      <c r="A8" s="26">
        <v>36496</v>
      </c>
      <c r="B8" s="291">
        <v>249.75</v>
      </c>
      <c r="C8" s="291">
        <v>227.75</v>
      </c>
      <c r="D8" s="291">
        <v>245.81200000000001</v>
      </c>
      <c r="E8" s="77">
        <v>98081</v>
      </c>
      <c r="F8" s="100"/>
      <c r="G8" s="52"/>
      <c r="H8" s="52"/>
      <c r="I8" s="52"/>
      <c r="J8" s="64"/>
      <c r="K8" s="64"/>
    </row>
    <row r="9" spans="1:14">
      <c r="A9" s="26">
        <v>36497</v>
      </c>
      <c r="B9" s="291">
        <v>258.75</v>
      </c>
      <c r="C9" s="291">
        <v>248.93799999999999</v>
      </c>
      <c r="D9" s="291">
        <v>253</v>
      </c>
      <c r="E9" s="77">
        <v>100081</v>
      </c>
      <c r="F9" s="100">
        <f>MAX(B9-C9,B9-D8,D8-C9)</f>
        <v>12.937999999999988</v>
      </c>
      <c r="G9" s="52">
        <f>IF(D9&gt;D8,F9/(D9-D8),F9)</f>
        <v>1.7999443516972746</v>
      </c>
      <c r="H9" s="52"/>
      <c r="I9" s="52"/>
      <c r="J9" s="64"/>
      <c r="K9" s="64"/>
    </row>
    <row r="10" spans="1:14">
      <c r="A10" s="27">
        <v>36500</v>
      </c>
      <c r="B10" s="292">
        <v>282</v>
      </c>
      <c r="C10" s="292">
        <v>250.68799999999999</v>
      </c>
      <c r="D10" s="292">
        <v>280.81200000000001</v>
      </c>
      <c r="E10" s="79">
        <v>160982</v>
      </c>
      <c r="F10" s="99">
        <f>MAX(B10-C10,B10-D9,D9-C10)</f>
        <v>31.312000000000012</v>
      </c>
      <c r="G10" s="55">
        <f t="shared" ref="G10:G57" si="0">IF(D10&gt;D9,F10/(D10-D9),F10)</f>
        <v>1.1258449590104991</v>
      </c>
      <c r="H10" s="55"/>
      <c r="I10" s="55"/>
      <c r="J10" s="65"/>
      <c r="K10" s="65"/>
    </row>
    <row r="11" spans="1:14">
      <c r="A11" s="27">
        <v>36501</v>
      </c>
      <c r="B11" s="292">
        <v>353</v>
      </c>
      <c r="C11" s="292">
        <v>286.125</v>
      </c>
      <c r="D11" s="292">
        <v>348</v>
      </c>
      <c r="E11" s="79">
        <v>663351</v>
      </c>
      <c r="F11" s="99">
        <f>MAX(B11-C11,B11-D10,D10-C11)</f>
        <v>72.187999999999988</v>
      </c>
      <c r="G11" s="55">
        <f t="shared" si="0"/>
        <v>1.0744180508424124</v>
      </c>
      <c r="H11" s="55"/>
      <c r="I11" s="55"/>
      <c r="J11" s="65"/>
      <c r="K11" s="65"/>
    </row>
    <row r="12" spans="1:14">
      <c r="A12" s="26">
        <v>36502</v>
      </c>
      <c r="B12" s="291">
        <v>329.31200000000001</v>
      </c>
      <c r="C12" s="291">
        <v>311</v>
      </c>
      <c r="D12" s="291">
        <v>319.625</v>
      </c>
      <c r="E12" s="77">
        <v>249087</v>
      </c>
      <c r="F12" s="100">
        <f>MAX(B12-C12,B12-D11,D11-C12)</f>
        <v>37</v>
      </c>
      <c r="G12" s="52">
        <f t="shared" si="0"/>
        <v>37</v>
      </c>
      <c r="H12" s="52"/>
      <c r="I12" s="52"/>
      <c r="J12" s="64"/>
      <c r="K12" s="64"/>
    </row>
    <row r="13" spans="1:14">
      <c r="A13" s="26">
        <v>36503</v>
      </c>
      <c r="B13" s="291">
        <v>341.25</v>
      </c>
      <c r="C13" s="291">
        <v>312.06200000000001</v>
      </c>
      <c r="D13" s="291">
        <v>340</v>
      </c>
      <c r="E13" s="77">
        <v>114180</v>
      </c>
      <c r="F13" s="100">
        <f t="shared" ref="F13:F57" si="1">MAX(B13-C13,B13-D12,D12-C13)</f>
        <v>29.187999999999988</v>
      </c>
      <c r="G13" s="52">
        <f t="shared" si="0"/>
        <v>1.4325398773006128</v>
      </c>
      <c r="H13" s="52">
        <f>MIN(G9:G13)</f>
        <v>1.0744180508424124</v>
      </c>
      <c r="I13" s="52">
        <f>MAX(G9:G13)</f>
        <v>37</v>
      </c>
      <c r="J13" s="64">
        <f>IF(I13-H13&gt;0,100*(G13-H13)/(I13-H13),100*(G13-H13))</f>
        <v>0.99684349432396036</v>
      </c>
      <c r="K13" s="335">
        <f>J13</f>
        <v>0.99684349432396036</v>
      </c>
    </row>
    <row r="14" spans="1:14">
      <c r="A14" s="27">
        <v>36504</v>
      </c>
      <c r="B14" s="292">
        <v>357.5</v>
      </c>
      <c r="C14" s="292">
        <v>334.25</v>
      </c>
      <c r="D14" s="292">
        <v>353.5</v>
      </c>
      <c r="E14" s="79">
        <v>95457</v>
      </c>
      <c r="F14" s="99">
        <f t="shared" si="1"/>
        <v>23.25</v>
      </c>
      <c r="G14" s="55">
        <f t="shared" si="0"/>
        <v>1.7222222222222223</v>
      </c>
      <c r="H14" s="55">
        <f t="shared" ref="H14:H57" si="2">MIN(G10:G14)</f>
        <v>1.0744180508424124</v>
      </c>
      <c r="I14" s="55">
        <f t="shared" ref="I14:I57" si="3">MAX(G10:G14)</f>
        <v>37</v>
      </c>
      <c r="J14" s="65">
        <f t="shared" ref="J14:J57" si="4">IF(I14-H14&gt;0,100*(G14-H14)/(I14-H14),100*(G14-H14))</f>
        <v>1.803183515013318</v>
      </c>
      <c r="K14" s="336">
        <f>(J14*2/(3+1)) + (K13*(1-(2/(3+1))))</f>
        <v>1.4000135046686393</v>
      </c>
    </row>
    <row r="15" spans="1:14">
      <c r="A15" s="27">
        <v>36507</v>
      </c>
      <c r="B15" s="292">
        <v>356.25</v>
      </c>
      <c r="C15" s="292">
        <v>344.5</v>
      </c>
      <c r="D15" s="292">
        <v>351.06200000000001</v>
      </c>
      <c r="E15" s="79">
        <v>56966</v>
      </c>
      <c r="F15" s="99">
        <f t="shared" si="1"/>
        <v>11.75</v>
      </c>
      <c r="G15" s="55">
        <f t="shared" si="0"/>
        <v>11.75</v>
      </c>
      <c r="H15" s="55">
        <f t="shared" si="2"/>
        <v>1.0744180508424124</v>
      </c>
      <c r="I15" s="55">
        <f t="shared" si="3"/>
        <v>37</v>
      </c>
      <c r="J15" s="65">
        <f t="shared" si="4"/>
        <v>29.715821901690635</v>
      </c>
      <c r="K15" s="65">
        <f t="shared" ref="K15:K57" si="5">(J15*2/(3+1)) + (K14*(1-(2/(3+1))))</f>
        <v>15.557917703179637</v>
      </c>
    </row>
    <row r="16" spans="1:14">
      <c r="A16" s="26">
        <v>36508</v>
      </c>
      <c r="B16" s="291">
        <v>350.5</v>
      </c>
      <c r="C16" s="291">
        <v>333</v>
      </c>
      <c r="D16" s="291">
        <v>333.125</v>
      </c>
      <c r="E16" s="77">
        <v>72000</v>
      </c>
      <c r="F16" s="100">
        <f t="shared" si="1"/>
        <v>18.062000000000012</v>
      </c>
      <c r="G16" s="52">
        <f t="shared" si="0"/>
        <v>18.062000000000012</v>
      </c>
      <c r="H16" s="52">
        <f t="shared" si="2"/>
        <v>1.4325398773006128</v>
      </c>
      <c r="I16" s="52">
        <f t="shared" si="3"/>
        <v>37</v>
      </c>
      <c r="J16" s="64">
        <f t="shared" si="4"/>
        <v>46.754702374956395</v>
      </c>
      <c r="K16" s="64">
        <f t="shared" si="5"/>
        <v>31.156310039068018</v>
      </c>
    </row>
    <row r="17" spans="1:11">
      <c r="A17" s="26">
        <v>36509</v>
      </c>
      <c r="B17" s="291">
        <v>334.75</v>
      </c>
      <c r="C17" s="291">
        <v>315.5</v>
      </c>
      <c r="D17" s="291">
        <v>327.5</v>
      </c>
      <c r="E17" s="77">
        <v>82831</v>
      </c>
      <c r="F17" s="100">
        <f t="shared" si="1"/>
        <v>19.25</v>
      </c>
      <c r="G17" s="52">
        <f t="shared" si="0"/>
        <v>19.25</v>
      </c>
      <c r="H17" s="52">
        <f t="shared" si="2"/>
        <v>1.4325398773006128</v>
      </c>
      <c r="I17" s="52">
        <f t="shared" si="3"/>
        <v>19.25</v>
      </c>
      <c r="J17" s="64">
        <f t="shared" si="4"/>
        <v>100</v>
      </c>
      <c r="K17" s="64">
        <f t="shared" si="5"/>
        <v>65.578155019534009</v>
      </c>
    </row>
    <row r="18" spans="1:11">
      <c r="A18" s="27">
        <v>36510</v>
      </c>
      <c r="B18" s="292">
        <v>341.875</v>
      </c>
      <c r="C18" s="292">
        <v>332.375</v>
      </c>
      <c r="D18" s="292">
        <v>341</v>
      </c>
      <c r="E18" s="79">
        <v>49703</v>
      </c>
      <c r="F18" s="99">
        <f t="shared" si="1"/>
        <v>14.375</v>
      </c>
      <c r="G18" s="55">
        <f t="shared" si="0"/>
        <v>1.0648148148148149</v>
      </c>
      <c r="H18" s="55">
        <f t="shared" si="2"/>
        <v>1.0648148148148149</v>
      </c>
      <c r="I18" s="55">
        <f t="shared" si="3"/>
        <v>19.25</v>
      </c>
      <c r="J18" s="65">
        <f t="shared" si="4"/>
        <v>0</v>
      </c>
      <c r="K18" s="65">
        <f t="shared" si="5"/>
        <v>32.789077509767004</v>
      </c>
    </row>
    <row r="19" spans="1:11">
      <c r="A19" s="27">
        <v>36511</v>
      </c>
      <c r="B19" s="292">
        <v>352.125</v>
      </c>
      <c r="C19" s="292">
        <v>337</v>
      </c>
      <c r="D19" s="292">
        <v>350</v>
      </c>
      <c r="E19" s="79">
        <v>51630</v>
      </c>
      <c r="F19" s="99">
        <f t="shared" si="1"/>
        <v>15.125</v>
      </c>
      <c r="G19" s="55">
        <f t="shared" si="0"/>
        <v>1.6805555555555556</v>
      </c>
      <c r="H19" s="55">
        <f t="shared" si="2"/>
        <v>1.0648148148148149</v>
      </c>
      <c r="I19" s="55">
        <f t="shared" si="3"/>
        <v>19.25</v>
      </c>
      <c r="J19" s="65">
        <f t="shared" si="4"/>
        <v>3.3859470468431772</v>
      </c>
      <c r="K19" s="65">
        <f t="shared" si="5"/>
        <v>18.087512278305091</v>
      </c>
    </row>
    <row r="20" spans="1:11">
      <c r="A20" s="26">
        <v>36514</v>
      </c>
      <c r="B20" s="291">
        <v>369.875</v>
      </c>
      <c r="C20" s="291">
        <v>346</v>
      </c>
      <c r="D20" s="291">
        <v>369.5</v>
      </c>
      <c r="E20" s="77">
        <v>68821</v>
      </c>
      <c r="F20" s="100">
        <f t="shared" si="1"/>
        <v>23.875</v>
      </c>
      <c r="G20" s="52">
        <f t="shared" si="0"/>
        <v>1.2243589743589745</v>
      </c>
      <c r="H20" s="52">
        <f t="shared" si="2"/>
        <v>1.0648148148148149</v>
      </c>
      <c r="I20" s="52">
        <f t="shared" si="3"/>
        <v>19.25</v>
      </c>
      <c r="J20" s="64">
        <f t="shared" si="4"/>
        <v>0.87733040889863723</v>
      </c>
      <c r="K20" s="64">
        <f t="shared" si="5"/>
        <v>9.4824213436018638</v>
      </c>
    </row>
    <row r="21" spans="1:11">
      <c r="A21" s="26">
        <v>36515</v>
      </c>
      <c r="B21" s="291">
        <v>408.31200000000001</v>
      </c>
      <c r="C21" s="291">
        <v>364.81200000000001</v>
      </c>
      <c r="D21" s="291">
        <v>405.56200000000001</v>
      </c>
      <c r="E21" s="77">
        <v>101076</v>
      </c>
      <c r="F21" s="100">
        <f t="shared" si="1"/>
        <v>43.5</v>
      </c>
      <c r="G21" s="52">
        <f t="shared" si="0"/>
        <v>1.2062558926293601</v>
      </c>
      <c r="H21" s="52">
        <f t="shared" si="2"/>
        <v>1.0648148148148149</v>
      </c>
      <c r="I21" s="52">
        <f t="shared" si="3"/>
        <v>19.25</v>
      </c>
      <c r="J21" s="64">
        <f t="shared" si="4"/>
        <v>0.77778189429586975</v>
      </c>
      <c r="K21" s="64">
        <f t="shared" si="5"/>
        <v>5.1301016189488671</v>
      </c>
    </row>
    <row r="22" spans="1:11">
      <c r="A22" s="27">
        <v>36516</v>
      </c>
      <c r="B22" s="292">
        <v>421.18799999999999</v>
      </c>
      <c r="C22" s="292">
        <v>394.75</v>
      </c>
      <c r="D22" s="292">
        <v>419.31200000000001</v>
      </c>
      <c r="E22" s="79">
        <v>86393</v>
      </c>
      <c r="F22" s="99">
        <f t="shared" si="1"/>
        <v>26.437999999999988</v>
      </c>
      <c r="G22" s="55">
        <f t="shared" si="0"/>
        <v>1.9227636363636356</v>
      </c>
      <c r="H22" s="55">
        <f t="shared" si="2"/>
        <v>1.0648148148148149</v>
      </c>
      <c r="I22" s="55">
        <f t="shared" si="3"/>
        <v>1.9227636363636356</v>
      </c>
      <c r="J22" s="65">
        <f t="shared" si="4"/>
        <v>100.00000000000001</v>
      </c>
      <c r="K22" s="65">
        <f t="shared" si="5"/>
        <v>52.565050809474442</v>
      </c>
    </row>
    <row r="23" spans="1:11">
      <c r="A23" s="27">
        <v>36517</v>
      </c>
      <c r="B23" s="292">
        <v>426.25</v>
      </c>
      <c r="C23" s="292">
        <v>400</v>
      </c>
      <c r="D23" s="292">
        <v>402.625</v>
      </c>
      <c r="E23" s="79">
        <v>46171</v>
      </c>
      <c r="F23" s="99">
        <f t="shared" si="1"/>
        <v>26.25</v>
      </c>
      <c r="G23" s="55">
        <f t="shared" si="0"/>
        <v>26.25</v>
      </c>
      <c r="H23" s="55">
        <f t="shared" si="2"/>
        <v>1.2062558926293601</v>
      </c>
      <c r="I23" s="55">
        <f t="shared" si="3"/>
        <v>26.25</v>
      </c>
      <c r="J23" s="65">
        <f t="shared" si="4"/>
        <v>100</v>
      </c>
      <c r="K23" s="65">
        <f t="shared" si="5"/>
        <v>76.282525404737214</v>
      </c>
    </row>
    <row r="24" spans="1:11">
      <c r="A24" s="26">
        <v>36521</v>
      </c>
      <c r="B24" s="291">
        <v>428.06200000000001</v>
      </c>
      <c r="C24" s="291">
        <v>377.875</v>
      </c>
      <c r="D24" s="291">
        <v>415</v>
      </c>
      <c r="E24" s="77">
        <v>95395</v>
      </c>
      <c r="F24" s="100">
        <f t="shared" si="1"/>
        <v>50.187000000000012</v>
      </c>
      <c r="G24" s="52">
        <f t="shared" si="0"/>
        <v>4.0555151515151522</v>
      </c>
      <c r="H24" s="52">
        <f t="shared" si="2"/>
        <v>1.2062558926293601</v>
      </c>
      <c r="I24" s="52">
        <f t="shared" si="3"/>
        <v>26.25</v>
      </c>
      <c r="J24" s="64">
        <f t="shared" si="4"/>
        <v>11.377129740146261</v>
      </c>
      <c r="K24" s="64">
        <f t="shared" si="5"/>
        <v>43.829827572441737</v>
      </c>
    </row>
    <row r="25" spans="1:11">
      <c r="A25" s="26">
        <v>36522</v>
      </c>
      <c r="B25" s="291">
        <v>420</v>
      </c>
      <c r="C25" s="291">
        <v>390</v>
      </c>
      <c r="D25" s="291">
        <v>390.25</v>
      </c>
      <c r="E25" s="77">
        <v>52241</v>
      </c>
      <c r="F25" s="100">
        <f t="shared" si="1"/>
        <v>30</v>
      </c>
      <c r="G25" s="52">
        <f t="shared" si="0"/>
        <v>30</v>
      </c>
      <c r="H25" s="52">
        <f t="shared" si="2"/>
        <v>1.2062558926293601</v>
      </c>
      <c r="I25" s="52">
        <f t="shared" si="3"/>
        <v>30</v>
      </c>
      <c r="J25" s="64">
        <f t="shared" si="4"/>
        <v>100</v>
      </c>
      <c r="K25" s="64">
        <f t="shared" si="5"/>
        <v>71.914913786220865</v>
      </c>
    </row>
    <row r="26" spans="1:11">
      <c r="A26" s="27">
        <v>36523</v>
      </c>
      <c r="B26" s="292">
        <v>410</v>
      </c>
      <c r="C26" s="292">
        <v>394</v>
      </c>
      <c r="D26" s="292">
        <v>403.68799999999999</v>
      </c>
      <c r="E26" s="79">
        <v>29408</v>
      </c>
      <c r="F26" s="99">
        <f t="shared" si="1"/>
        <v>19.75</v>
      </c>
      <c r="G26" s="55">
        <f t="shared" si="0"/>
        <v>1.4697127548742386</v>
      </c>
      <c r="H26" s="55">
        <f t="shared" si="2"/>
        <v>1.4697127548742386</v>
      </c>
      <c r="I26" s="55">
        <f t="shared" si="3"/>
        <v>30</v>
      </c>
      <c r="J26" s="65">
        <f t="shared" si="4"/>
        <v>0</v>
      </c>
      <c r="K26" s="65">
        <f t="shared" si="5"/>
        <v>35.957456893110432</v>
      </c>
    </row>
    <row r="27" spans="1:11">
      <c r="A27" s="27">
        <v>36524</v>
      </c>
      <c r="B27" s="292">
        <v>448</v>
      </c>
      <c r="C27" s="292">
        <v>406.75</v>
      </c>
      <c r="D27" s="292">
        <v>416.06200000000001</v>
      </c>
      <c r="E27" s="79">
        <v>62431</v>
      </c>
      <c r="F27" s="99">
        <f t="shared" si="1"/>
        <v>44.312000000000012</v>
      </c>
      <c r="G27" s="55">
        <f t="shared" si="0"/>
        <v>3.5810570551155592</v>
      </c>
      <c r="H27" s="55">
        <f t="shared" si="2"/>
        <v>1.4697127548742386</v>
      </c>
      <c r="I27" s="55">
        <f t="shared" si="3"/>
        <v>30</v>
      </c>
      <c r="J27" s="65">
        <f t="shared" si="4"/>
        <v>7.400361174428876</v>
      </c>
      <c r="K27" s="65">
        <f t="shared" si="5"/>
        <v>21.678909033769653</v>
      </c>
    </row>
    <row r="28" spans="1:11">
      <c r="A28" s="26">
        <v>36525</v>
      </c>
      <c r="B28" s="41">
        <v>441.5</v>
      </c>
      <c r="C28" s="41">
        <v>410.06200000000001</v>
      </c>
      <c r="D28" s="41">
        <v>432.68799999999999</v>
      </c>
      <c r="E28" s="77">
        <v>25291</v>
      </c>
      <c r="F28" s="52">
        <f t="shared" si="1"/>
        <v>31.437999999999988</v>
      </c>
      <c r="G28" s="52">
        <f t="shared" si="0"/>
        <v>1.8908937808252155</v>
      </c>
      <c r="H28" s="52">
        <f t="shared" si="2"/>
        <v>1.4697127548742386</v>
      </c>
      <c r="I28" s="52">
        <f t="shared" si="3"/>
        <v>30</v>
      </c>
      <c r="J28" s="64">
        <f t="shared" si="4"/>
        <v>1.4762593251595577</v>
      </c>
      <c r="K28" s="64">
        <f t="shared" si="5"/>
        <v>11.577584179464605</v>
      </c>
    </row>
    <row r="29" spans="1:11">
      <c r="A29" s="26">
        <v>36528</v>
      </c>
      <c r="B29" s="41">
        <v>477</v>
      </c>
      <c r="C29" s="41">
        <v>429.5</v>
      </c>
      <c r="D29" s="41">
        <v>475</v>
      </c>
      <c r="E29" s="77">
        <v>96181</v>
      </c>
      <c r="F29" s="52">
        <f t="shared" si="1"/>
        <v>47.5</v>
      </c>
      <c r="G29" s="52">
        <f t="shared" si="0"/>
        <v>1.1226129703157492</v>
      </c>
      <c r="H29" s="52">
        <f t="shared" si="2"/>
        <v>1.1226129703157492</v>
      </c>
      <c r="I29" s="52">
        <f t="shared" si="3"/>
        <v>30</v>
      </c>
      <c r="J29" s="64">
        <f t="shared" si="4"/>
        <v>0</v>
      </c>
      <c r="K29" s="64">
        <f t="shared" si="5"/>
        <v>5.7887920897323024</v>
      </c>
    </row>
    <row r="30" spans="1:11">
      <c r="A30" s="27">
        <v>36529</v>
      </c>
      <c r="B30" s="45">
        <v>500.125</v>
      </c>
      <c r="C30" s="45">
        <v>442</v>
      </c>
      <c r="D30" s="45">
        <v>443</v>
      </c>
      <c r="E30" s="79">
        <v>174099</v>
      </c>
      <c r="F30" s="55">
        <f t="shared" si="1"/>
        <v>58.125</v>
      </c>
      <c r="G30" s="55">
        <f t="shared" si="0"/>
        <v>58.125</v>
      </c>
      <c r="H30" s="55">
        <f t="shared" si="2"/>
        <v>1.1226129703157492</v>
      </c>
      <c r="I30" s="55">
        <f t="shared" si="3"/>
        <v>58.125</v>
      </c>
      <c r="J30" s="65">
        <f t="shared" si="4"/>
        <v>100</v>
      </c>
      <c r="K30" s="65">
        <f t="shared" si="5"/>
        <v>52.894396044866149</v>
      </c>
    </row>
    <row r="31" spans="1:11">
      <c r="A31" s="27">
        <v>36530</v>
      </c>
      <c r="B31" s="45">
        <v>431.125</v>
      </c>
      <c r="C31" s="45">
        <v>402</v>
      </c>
      <c r="D31" s="45">
        <v>410.5</v>
      </c>
      <c r="E31" s="79">
        <v>207987</v>
      </c>
      <c r="F31" s="55">
        <f t="shared" si="1"/>
        <v>41</v>
      </c>
      <c r="G31" s="55">
        <f t="shared" si="0"/>
        <v>41</v>
      </c>
      <c r="H31" s="55">
        <f t="shared" si="2"/>
        <v>1.1226129703157492</v>
      </c>
      <c r="I31" s="55">
        <f t="shared" si="3"/>
        <v>58.125</v>
      </c>
      <c r="J31" s="65">
        <f t="shared" si="4"/>
        <v>69.957398466344785</v>
      </c>
      <c r="K31" s="65">
        <f t="shared" si="5"/>
        <v>61.425897255605463</v>
      </c>
    </row>
    <row r="32" spans="1:11">
      <c r="A32" s="26">
        <v>36531</v>
      </c>
      <c r="B32" s="41">
        <v>413</v>
      </c>
      <c r="C32" s="41">
        <v>361</v>
      </c>
      <c r="D32" s="41">
        <v>368.18799999999999</v>
      </c>
      <c r="E32" s="77">
        <v>178254</v>
      </c>
      <c r="F32" s="52">
        <f t="shared" si="1"/>
        <v>52</v>
      </c>
      <c r="G32" s="52">
        <f t="shared" si="0"/>
        <v>52</v>
      </c>
      <c r="H32" s="52">
        <f t="shared" si="2"/>
        <v>1.1226129703157492</v>
      </c>
      <c r="I32" s="52">
        <f t="shared" si="3"/>
        <v>58.125</v>
      </c>
      <c r="J32" s="64">
        <f t="shared" si="4"/>
        <v>89.254835947816744</v>
      </c>
      <c r="K32" s="64">
        <f t="shared" si="5"/>
        <v>75.340366601711111</v>
      </c>
    </row>
    <row r="33" spans="1:11">
      <c r="A33" s="26">
        <v>36532</v>
      </c>
      <c r="B33" s="41">
        <v>408</v>
      </c>
      <c r="C33" s="41">
        <v>363</v>
      </c>
      <c r="D33" s="41">
        <v>407.25</v>
      </c>
      <c r="E33" s="77">
        <v>122499</v>
      </c>
      <c r="F33" s="52">
        <f t="shared" si="1"/>
        <v>45</v>
      </c>
      <c r="G33" s="52">
        <f t="shared" si="0"/>
        <v>1.1520147457887457</v>
      </c>
      <c r="H33" s="52">
        <f t="shared" si="2"/>
        <v>1.1226129703157492</v>
      </c>
      <c r="I33" s="52">
        <f t="shared" si="3"/>
        <v>58.125</v>
      </c>
      <c r="J33" s="64">
        <f t="shared" si="4"/>
        <v>5.1579902184947776E-2</v>
      </c>
      <c r="K33" s="64">
        <f t="shared" si="5"/>
        <v>37.695973251948033</v>
      </c>
    </row>
    <row r="34" spans="1:11">
      <c r="A34" s="27">
        <v>36535</v>
      </c>
      <c r="B34" s="45">
        <v>451.25</v>
      </c>
      <c r="C34" s="45">
        <v>420</v>
      </c>
      <c r="D34" s="45">
        <v>436.06200000000001</v>
      </c>
      <c r="E34" s="79">
        <v>152557</v>
      </c>
      <c r="F34" s="55">
        <f t="shared" si="1"/>
        <v>44</v>
      </c>
      <c r="G34" s="55">
        <f t="shared" si="0"/>
        <v>1.5271414688324303</v>
      </c>
      <c r="H34" s="55">
        <f t="shared" si="2"/>
        <v>1.1520147457887457</v>
      </c>
      <c r="I34" s="55">
        <f t="shared" si="3"/>
        <v>58.125</v>
      </c>
      <c r="J34" s="65">
        <f t="shared" si="4"/>
        <v>0.65842911578160013</v>
      </c>
      <c r="K34" s="65">
        <f t="shared" si="5"/>
        <v>19.177201183864817</v>
      </c>
    </row>
    <row r="35" spans="1:11">
      <c r="A35" s="27">
        <v>36536</v>
      </c>
      <c r="B35" s="45">
        <v>426.25</v>
      </c>
      <c r="C35" s="45">
        <v>392</v>
      </c>
      <c r="D35" s="45">
        <v>397.375</v>
      </c>
      <c r="E35" s="79">
        <v>189419</v>
      </c>
      <c r="F35" s="55">
        <f t="shared" si="1"/>
        <v>44.062000000000012</v>
      </c>
      <c r="G35" s="55">
        <f t="shared" si="0"/>
        <v>44.062000000000012</v>
      </c>
      <c r="H35" s="55">
        <f t="shared" si="2"/>
        <v>1.1520147457887457</v>
      </c>
      <c r="I35" s="55">
        <f t="shared" si="3"/>
        <v>52</v>
      </c>
      <c r="J35" s="65">
        <f t="shared" si="4"/>
        <v>84.388761992605083</v>
      </c>
      <c r="K35" s="65">
        <f t="shared" si="5"/>
        <v>51.782981588234946</v>
      </c>
    </row>
    <row r="36" spans="1:11">
      <c r="A36" s="26">
        <v>36537</v>
      </c>
      <c r="B36" s="41">
        <v>394</v>
      </c>
      <c r="C36" s="41">
        <v>355</v>
      </c>
      <c r="D36" s="41">
        <v>357.56200000000001</v>
      </c>
      <c r="E36" s="77">
        <v>185251</v>
      </c>
      <c r="F36" s="52">
        <f t="shared" si="1"/>
        <v>42.375</v>
      </c>
      <c r="G36" s="52">
        <f t="shared" si="0"/>
        <v>42.375</v>
      </c>
      <c r="H36" s="52">
        <f t="shared" si="2"/>
        <v>1.1520147457887457</v>
      </c>
      <c r="I36" s="52">
        <f t="shared" si="3"/>
        <v>52</v>
      </c>
      <c r="J36" s="64">
        <f t="shared" si="4"/>
        <v>81.071029752938244</v>
      </c>
      <c r="K36" s="64">
        <f t="shared" si="5"/>
        <v>66.427005670586595</v>
      </c>
    </row>
    <row r="37" spans="1:11">
      <c r="A37" s="26">
        <v>36538</v>
      </c>
      <c r="B37" s="41">
        <v>377.375</v>
      </c>
      <c r="C37" s="41">
        <v>338</v>
      </c>
      <c r="D37" s="41">
        <v>346.875</v>
      </c>
      <c r="E37" s="77">
        <v>169407</v>
      </c>
      <c r="F37" s="52">
        <f t="shared" si="1"/>
        <v>39.375</v>
      </c>
      <c r="G37" s="52">
        <f t="shared" si="0"/>
        <v>39.375</v>
      </c>
      <c r="H37" s="52">
        <f t="shared" si="2"/>
        <v>1.1520147457887457</v>
      </c>
      <c r="I37" s="52">
        <f t="shared" si="3"/>
        <v>44.062000000000012</v>
      </c>
      <c r="J37" s="64">
        <f t="shared" si="4"/>
        <v>89.077134442641139</v>
      </c>
      <c r="K37" s="64">
        <f t="shared" si="5"/>
        <v>77.75207005661386</v>
      </c>
    </row>
    <row r="38" spans="1:11">
      <c r="A38" s="27">
        <v>36539</v>
      </c>
      <c r="B38" s="45">
        <v>363</v>
      </c>
      <c r="C38" s="45">
        <v>342</v>
      </c>
      <c r="D38" s="45">
        <v>353</v>
      </c>
      <c r="E38" s="79">
        <v>123084</v>
      </c>
      <c r="F38" s="55">
        <f t="shared" si="1"/>
        <v>21</v>
      </c>
      <c r="G38" s="55">
        <f t="shared" si="0"/>
        <v>3.4285714285714284</v>
      </c>
      <c r="H38" s="55">
        <f t="shared" si="2"/>
        <v>1.5271414688324303</v>
      </c>
      <c r="I38" s="55">
        <f t="shared" si="3"/>
        <v>44.062000000000012</v>
      </c>
      <c r="J38" s="65">
        <f t="shared" si="4"/>
        <v>4.4702863143313811</v>
      </c>
      <c r="K38" s="65">
        <f t="shared" si="5"/>
        <v>41.111178185472617</v>
      </c>
    </row>
    <row r="39" spans="1:11">
      <c r="A39" s="27">
        <v>36543</v>
      </c>
      <c r="B39" s="45">
        <v>350</v>
      </c>
      <c r="C39" s="45">
        <v>335</v>
      </c>
      <c r="D39" s="45">
        <v>341.18799999999999</v>
      </c>
      <c r="E39" s="79">
        <v>76765</v>
      </c>
      <c r="F39" s="55">
        <f t="shared" si="1"/>
        <v>18</v>
      </c>
      <c r="G39" s="55">
        <f t="shared" si="0"/>
        <v>18</v>
      </c>
      <c r="H39" s="55">
        <f t="shared" si="2"/>
        <v>3.4285714285714284</v>
      </c>
      <c r="I39" s="55">
        <f t="shared" si="3"/>
        <v>44.062000000000012</v>
      </c>
      <c r="J39" s="65">
        <f t="shared" si="4"/>
        <v>35.860691759775548</v>
      </c>
      <c r="K39" s="65">
        <f t="shared" si="5"/>
        <v>38.485934972624079</v>
      </c>
    </row>
    <row r="40" spans="1:11">
      <c r="A40" s="26">
        <v>36544</v>
      </c>
      <c r="B40" s="41">
        <v>367.375</v>
      </c>
      <c r="C40" s="41">
        <v>336</v>
      </c>
      <c r="D40" s="41">
        <v>364</v>
      </c>
      <c r="E40" s="77">
        <v>79500</v>
      </c>
      <c r="F40" s="52">
        <f t="shared" si="1"/>
        <v>31.375</v>
      </c>
      <c r="G40" s="52">
        <f t="shared" si="0"/>
        <v>1.3753726109065396</v>
      </c>
      <c r="H40" s="52">
        <f t="shared" si="2"/>
        <v>1.3753726109065396</v>
      </c>
      <c r="I40" s="52">
        <f t="shared" si="3"/>
        <v>42.375</v>
      </c>
      <c r="J40" s="64">
        <f t="shared" si="4"/>
        <v>0</v>
      </c>
      <c r="K40" s="64">
        <f t="shared" si="5"/>
        <v>19.24296748631204</v>
      </c>
    </row>
    <row r="41" spans="1:11">
      <c r="A41" s="26">
        <v>36545</v>
      </c>
      <c r="B41" s="41">
        <v>371.93799999999999</v>
      </c>
      <c r="C41" s="41">
        <v>349</v>
      </c>
      <c r="D41" s="41">
        <v>351.93799999999999</v>
      </c>
      <c r="E41" s="77">
        <v>78374</v>
      </c>
      <c r="F41" s="52">
        <f t="shared" si="1"/>
        <v>22.937999999999988</v>
      </c>
      <c r="G41" s="52">
        <f t="shared" si="0"/>
        <v>22.937999999999988</v>
      </c>
      <c r="H41" s="52">
        <f t="shared" si="2"/>
        <v>1.3753726109065396</v>
      </c>
      <c r="I41" s="52">
        <f t="shared" si="3"/>
        <v>39.375</v>
      </c>
      <c r="J41" s="64">
        <f t="shared" si="4"/>
        <v>56.74431269629315</v>
      </c>
      <c r="K41" s="64">
        <f t="shared" si="5"/>
        <v>37.993640091302595</v>
      </c>
    </row>
    <row r="42" spans="1:11">
      <c r="A42" s="27">
        <v>36546</v>
      </c>
      <c r="B42" s="45">
        <v>360</v>
      </c>
      <c r="C42" s="45">
        <v>348</v>
      </c>
      <c r="D42" s="45">
        <v>351.93799999999999</v>
      </c>
      <c r="E42" s="79">
        <v>44038</v>
      </c>
      <c r="F42" s="55">
        <f t="shared" si="1"/>
        <v>12</v>
      </c>
      <c r="G42" s="55">
        <f t="shared" si="0"/>
        <v>12</v>
      </c>
      <c r="H42" s="55">
        <f t="shared" si="2"/>
        <v>1.3753726109065396</v>
      </c>
      <c r="I42" s="55">
        <f t="shared" si="3"/>
        <v>22.937999999999988</v>
      </c>
      <c r="J42" s="65">
        <f t="shared" si="4"/>
        <v>49.273343166276113</v>
      </c>
      <c r="K42" s="65">
        <f t="shared" si="5"/>
        <v>43.633491628789358</v>
      </c>
    </row>
    <row r="43" spans="1:11">
      <c r="A43" s="27">
        <v>36549</v>
      </c>
      <c r="B43" s="45">
        <v>360.5</v>
      </c>
      <c r="C43" s="45">
        <v>324</v>
      </c>
      <c r="D43" s="45">
        <v>324.31200000000001</v>
      </c>
      <c r="E43" s="79">
        <v>63324</v>
      </c>
      <c r="F43" s="55">
        <f t="shared" si="1"/>
        <v>36.5</v>
      </c>
      <c r="G43" s="55">
        <f t="shared" si="0"/>
        <v>36.5</v>
      </c>
      <c r="H43" s="55">
        <f t="shared" si="2"/>
        <v>1.3753726109065396</v>
      </c>
      <c r="I43" s="55">
        <f t="shared" si="3"/>
        <v>36.5</v>
      </c>
      <c r="J43" s="65">
        <f t="shared" si="4"/>
        <v>100</v>
      </c>
      <c r="K43" s="65">
        <f t="shared" si="5"/>
        <v>71.816745814394679</v>
      </c>
    </row>
    <row r="44" spans="1:11">
      <c r="A44" s="26">
        <v>36550</v>
      </c>
      <c r="B44" s="41">
        <v>347</v>
      </c>
      <c r="C44" s="41">
        <v>316.25</v>
      </c>
      <c r="D44" s="41">
        <v>345.56200000000001</v>
      </c>
      <c r="E44" s="77">
        <v>86501</v>
      </c>
      <c r="F44" s="52">
        <f t="shared" si="1"/>
        <v>30.75</v>
      </c>
      <c r="G44" s="52">
        <f t="shared" si="0"/>
        <v>1.4470588235294117</v>
      </c>
      <c r="H44" s="52">
        <f t="shared" si="2"/>
        <v>1.3753726109065396</v>
      </c>
      <c r="I44" s="52">
        <f t="shared" si="3"/>
        <v>36.5</v>
      </c>
      <c r="J44" s="64">
        <f t="shared" si="4"/>
        <v>0.20409102658589734</v>
      </c>
      <c r="K44" s="64">
        <f t="shared" si="5"/>
        <v>36.010418420490289</v>
      </c>
    </row>
    <row r="45" spans="1:11">
      <c r="A45" s="26">
        <v>36551</v>
      </c>
      <c r="B45" s="41">
        <v>343.48399999999998</v>
      </c>
      <c r="C45" s="41">
        <v>327.75</v>
      </c>
      <c r="D45" s="41">
        <v>328.56200000000001</v>
      </c>
      <c r="E45" s="77">
        <v>48510</v>
      </c>
      <c r="F45" s="52">
        <f t="shared" si="1"/>
        <v>17.812000000000012</v>
      </c>
      <c r="G45" s="52">
        <f t="shared" si="0"/>
        <v>17.812000000000012</v>
      </c>
      <c r="H45" s="52">
        <f t="shared" si="2"/>
        <v>1.4470588235294117</v>
      </c>
      <c r="I45" s="52">
        <f t="shared" si="3"/>
        <v>36.5</v>
      </c>
      <c r="J45" s="64">
        <f t="shared" si="4"/>
        <v>46.686356771270383</v>
      </c>
      <c r="K45" s="64">
        <f t="shared" si="5"/>
        <v>41.34838759588034</v>
      </c>
    </row>
    <row r="46" spans="1:11">
      <c r="A46" s="27">
        <v>36552</v>
      </c>
      <c r="B46" s="45">
        <v>339.56200000000001</v>
      </c>
      <c r="C46" s="45">
        <v>325.125</v>
      </c>
      <c r="D46" s="45">
        <v>337.375</v>
      </c>
      <c r="E46" s="79">
        <v>48048</v>
      </c>
      <c r="F46" s="55">
        <f t="shared" si="1"/>
        <v>14.437000000000012</v>
      </c>
      <c r="G46" s="55">
        <f t="shared" si="0"/>
        <v>1.6381481901736108</v>
      </c>
      <c r="H46" s="55">
        <f t="shared" si="2"/>
        <v>1.4470588235294117</v>
      </c>
      <c r="I46" s="55">
        <f t="shared" si="3"/>
        <v>36.5</v>
      </c>
      <c r="J46" s="65">
        <f t="shared" si="4"/>
        <v>0.54514502986262525</v>
      </c>
      <c r="K46" s="65">
        <f t="shared" si="5"/>
        <v>20.946766312871482</v>
      </c>
    </row>
    <row r="47" spans="1:11">
      <c r="A47" s="27">
        <v>36553</v>
      </c>
      <c r="B47" s="45">
        <v>343</v>
      </c>
      <c r="C47" s="45">
        <v>309.625</v>
      </c>
      <c r="D47" s="45">
        <v>313.5</v>
      </c>
      <c r="E47" s="79">
        <v>91650</v>
      </c>
      <c r="F47" s="55">
        <f t="shared" si="1"/>
        <v>33.375</v>
      </c>
      <c r="G47" s="55">
        <f t="shared" si="0"/>
        <v>33.375</v>
      </c>
      <c r="H47" s="55">
        <f t="shared" si="2"/>
        <v>1.4470588235294117</v>
      </c>
      <c r="I47" s="55">
        <f t="shared" si="3"/>
        <v>36.5</v>
      </c>
      <c r="J47" s="65">
        <f t="shared" si="4"/>
        <v>91.084913576103375</v>
      </c>
      <c r="K47" s="65">
        <f t="shared" si="5"/>
        <v>56.015839944487425</v>
      </c>
    </row>
    <row r="48" spans="1:11">
      <c r="A48" s="26">
        <v>36556</v>
      </c>
      <c r="B48" s="41">
        <v>322.06200000000001</v>
      </c>
      <c r="C48" s="41">
        <v>303</v>
      </c>
      <c r="D48" s="41">
        <v>322.06200000000001</v>
      </c>
      <c r="E48" s="77">
        <v>89563</v>
      </c>
      <c r="F48" s="52">
        <f t="shared" si="1"/>
        <v>19.062000000000012</v>
      </c>
      <c r="G48" s="52">
        <f t="shared" si="0"/>
        <v>2.2263489838822688</v>
      </c>
      <c r="H48" s="52">
        <f t="shared" si="2"/>
        <v>1.4470588235294117</v>
      </c>
      <c r="I48" s="52">
        <f t="shared" si="3"/>
        <v>33.375</v>
      </c>
      <c r="J48" s="64">
        <f t="shared" si="4"/>
        <v>2.4407779883005976</v>
      </c>
      <c r="K48" s="64">
        <f t="shared" si="5"/>
        <v>29.22830896639401</v>
      </c>
    </row>
    <row r="49" spans="1:11">
      <c r="A49" s="26">
        <v>36557</v>
      </c>
      <c r="B49" s="41">
        <v>329.75</v>
      </c>
      <c r="C49" s="41">
        <v>310.81200000000001</v>
      </c>
      <c r="D49" s="41">
        <v>317.375</v>
      </c>
      <c r="E49" s="77">
        <v>61727</v>
      </c>
      <c r="F49" s="52">
        <f t="shared" si="1"/>
        <v>18.937999999999988</v>
      </c>
      <c r="G49" s="52">
        <f t="shared" si="0"/>
        <v>18.937999999999988</v>
      </c>
      <c r="H49" s="52">
        <f t="shared" si="2"/>
        <v>1.6381481901736108</v>
      </c>
      <c r="I49" s="52">
        <f t="shared" si="3"/>
        <v>33.375</v>
      </c>
      <c r="J49" s="64">
        <f t="shared" si="4"/>
        <v>54.510295833659164</v>
      </c>
      <c r="K49" s="64">
        <f t="shared" si="5"/>
        <v>41.869302400026584</v>
      </c>
    </row>
    <row r="50" spans="1:11">
      <c r="A50" s="27">
        <v>36558</v>
      </c>
      <c r="B50" s="45">
        <v>337</v>
      </c>
      <c r="C50" s="45">
        <v>317</v>
      </c>
      <c r="D50" s="45">
        <v>328</v>
      </c>
      <c r="E50" s="79">
        <v>67033</v>
      </c>
      <c r="F50" s="55">
        <f t="shared" si="1"/>
        <v>20</v>
      </c>
      <c r="G50" s="55">
        <f t="shared" si="0"/>
        <v>1.8823529411764706</v>
      </c>
      <c r="H50" s="55">
        <f t="shared" si="2"/>
        <v>1.6381481901736108</v>
      </c>
      <c r="I50" s="55">
        <f t="shared" si="3"/>
        <v>33.375</v>
      </c>
      <c r="J50" s="65">
        <f t="shared" si="4"/>
        <v>0.7694674710213345</v>
      </c>
      <c r="K50" s="65">
        <f t="shared" si="5"/>
        <v>21.31938493552396</v>
      </c>
    </row>
    <row r="51" spans="1:11">
      <c r="A51" s="27">
        <v>36559</v>
      </c>
      <c r="B51" s="45">
        <v>361</v>
      </c>
      <c r="C51" s="45">
        <v>334</v>
      </c>
      <c r="D51" s="45">
        <v>360.25</v>
      </c>
      <c r="E51" s="79">
        <v>97644</v>
      </c>
      <c r="F51" s="55">
        <f t="shared" si="1"/>
        <v>33</v>
      </c>
      <c r="G51" s="55">
        <f t="shared" si="0"/>
        <v>1.0232558139534884</v>
      </c>
      <c r="H51" s="55">
        <f t="shared" si="2"/>
        <v>1.0232558139534884</v>
      </c>
      <c r="I51" s="55">
        <f t="shared" si="3"/>
        <v>33.375</v>
      </c>
      <c r="J51" s="65">
        <f t="shared" si="4"/>
        <v>0</v>
      </c>
      <c r="K51" s="65">
        <f t="shared" si="5"/>
        <v>10.65969246776198</v>
      </c>
    </row>
    <row r="52" spans="1:11">
      <c r="A52" s="26">
        <v>36560</v>
      </c>
      <c r="B52" s="41">
        <v>372.5</v>
      </c>
      <c r="C52" s="41">
        <v>347</v>
      </c>
      <c r="D52" s="41">
        <v>353.5</v>
      </c>
      <c r="E52" s="77">
        <v>84540</v>
      </c>
      <c r="F52" s="52">
        <f t="shared" si="1"/>
        <v>25.5</v>
      </c>
      <c r="G52" s="52">
        <f t="shared" si="0"/>
        <v>25.5</v>
      </c>
      <c r="H52" s="52">
        <f t="shared" si="2"/>
        <v>1.0232558139534884</v>
      </c>
      <c r="I52" s="52">
        <f t="shared" si="3"/>
        <v>25.5</v>
      </c>
      <c r="J52" s="64">
        <f t="shared" si="4"/>
        <v>99.999999999999986</v>
      </c>
      <c r="K52" s="64">
        <f t="shared" si="5"/>
        <v>55.329846233880986</v>
      </c>
    </row>
    <row r="53" spans="1:11">
      <c r="A53" s="26">
        <v>36563</v>
      </c>
      <c r="B53" s="41">
        <v>363</v>
      </c>
      <c r="C53" s="41">
        <v>347</v>
      </c>
      <c r="D53" s="41">
        <v>354</v>
      </c>
      <c r="E53" s="77">
        <v>52161</v>
      </c>
      <c r="F53" s="52">
        <f t="shared" si="1"/>
        <v>16</v>
      </c>
      <c r="G53" s="52">
        <f t="shared" si="0"/>
        <v>32</v>
      </c>
      <c r="H53" s="52">
        <f t="shared" si="2"/>
        <v>1.0232558139534884</v>
      </c>
      <c r="I53" s="52">
        <f t="shared" si="3"/>
        <v>32</v>
      </c>
      <c r="J53" s="64">
        <f t="shared" si="4"/>
        <v>100</v>
      </c>
      <c r="K53" s="64">
        <f t="shared" si="5"/>
        <v>77.664923116940486</v>
      </c>
    </row>
    <row r="54" spans="1:11">
      <c r="A54" s="27">
        <v>36564</v>
      </c>
      <c r="B54" s="45">
        <v>379.81200000000001</v>
      </c>
      <c r="C54" s="45">
        <v>358.5</v>
      </c>
      <c r="D54" s="45">
        <v>373.125</v>
      </c>
      <c r="E54" s="79">
        <v>74581</v>
      </c>
      <c r="F54" s="55">
        <f t="shared" si="1"/>
        <v>25.812000000000012</v>
      </c>
      <c r="G54" s="55">
        <f t="shared" si="0"/>
        <v>1.3496470588235301</v>
      </c>
      <c r="H54" s="55">
        <f t="shared" si="2"/>
        <v>1.0232558139534884</v>
      </c>
      <c r="I54" s="55">
        <f t="shared" si="3"/>
        <v>32</v>
      </c>
      <c r="J54" s="65">
        <f t="shared" si="4"/>
        <v>1.0536654301360204</v>
      </c>
      <c r="K54" s="65">
        <f t="shared" si="5"/>
        <v>39.359294273538254</v>
      </c>
    </row>
    <row r="55" spans="1:11">
      <c r="A55" s="27">
        <v>36565</v>
      </c>
      <c r="B55" s="45">
        <v>377.25</v>
      </c>
      <c r="C55" s="45">
        <v>360.125</v>
      </c>
      <c r="D55" s="45">
        <v>362.31200000000001</v>
      </c>
      <c r="E55" s="79">
        <v>59797</v>
      </c>
      <c r="F55" s="55">
        <f t="shared" si="1"/>
        <v>17.125</v>
      </c>
      <c r="G55" s="55">
        <f t="shared" si="0"/>
        <v>17.125</v>
      </c>
      <c r="H55" s="55">
        <f t="shared" si="2"/>
        <v>1.0232558139534884</v>
      </c>
      <c r="I55" s="55">
        <f t="shared" si="3"/>
        <v>32</v>
      </c>
      <c r="J55" s="65">
        <f t="shared" si="4"/>
        <v>51.980105105105103</v>
      </c>
      <c r="K55" s="65">
        <f t="shared" si="5"/>
        <v>45.669699689321675</v>
      </c>
    </row>
    <row r="56" spans="1:11">
      <c r="A56" s="26">
        <v>36566</v>
      </c>
      <c r="B56" s="41">
        <v>366</v>
      </c>
      <c r="C56" s="41">
        <v>353.93799999999999</v>
      </c>
      <c r="D56" s="41">
        <v>365</v>
      </c>
      <c r="E56" s="77">
        <v>44951</v>
      </c>
      <c r="F56" s="52">
        <f t="shared" si="1"/>
        <v>12.062000000000012</v>
      </c>
      <c r="G56" s="52">
        <f t="shared" si="0"/>
        <v>4.4873511904762147</v>
      </c>
      <c r="H56" s="52">
        <f t="shared" si="2"/>
        <v>1.3496470588235301</v>
      </c>
      <c r="I56" s="52">
        <f t="shared" si="3"/>
        <v>32</v>
      </c>
      <c r="J56" s="64">
        <f t="shared" si="4"/>
        <v>10.23708972511508</v>
      </c>
      <c r="K56" s="64">
        <f t="shared" si="5"/>
        <v>27.953394707218379</v>
      </c>
    </row>
    <row r="57" spans="1:11">
      <c r="A57" s="26">
        <v>36567</v>
      </c>
      <c r="B57" s="41">
        <v>365</v>
      </c>
      <c r="C57" s="41">
        <v>341.75</v>
      </c>
      <c r="D57" s="41">
        <v>342.68799999999999</v>
      </c>
      <c r="E57" s="77">
        <v>47874</v>
      </c>
      <c r="F57" s="52">
        <f t="shared" si="1"/>
        <v>23.25</v>
      </c>
      <c r="G57" s="52">
        <f t="shared" si="0"/>
        <v>23.25</v>
      </c>
      <c r="H57" s="52">
        <f t="shared" si="2"/>
        <v>1.3496470588235301</v>
      </c>
      <c r="I57" s="52">
        <f t="shared" si="3"/>
        <v>32</v>
      </c>
      <c r="J57" s="64">
        <f t="shared" si="4"/>
        <v>71.452204753423814</v>
      </c>
      <c r="K57" s="64">
        <f t="shared" si="5"/>
        <v>49.702799730321097</v>
      </c>
    </row>
    <row r="58" spans="1:11">
      <c r="A58" s="138"/>
      <c r="B58" s="264"/>
      <c r="C58" s="264"/>
      <c r="D58" s="264"/>
      <c r="E58" s="264"/>
      <c r="F58" s="264"/>
      <c r="G58" s="139"/>
      <c r="H58" s="139"/>
      <c r="I58" s="139"/>
      <c r="J58" s="140"/>
    </row>
    <row r="59" spans="1:11" ht="15">
      <c r="A59" s="241" t="s">
        <v>149</v>
      </c>
    </row>
    <row r="60" spans="1:11" ht="34.5" customHeight="1">
      <c r="A60" s="447" t="s">
        <v>145</v>
      </c>
      <c r="B60" s="447"/>
      <c r="C60" s="447"/>
      <c r="D60" s="447"/>
      <c r="E60" s="447"/>
      <c r="F60" s="447"/>
      <c r="G60" s="447"/>
      <c r="H60" s="447"/>
      <c r="I60" s="447"/>
      <c r="J60" s="447"/>
      <c r="K60" s="447"/>
    </row>
    <row r="61" spans="1:11" ht="15">
      <c r="A61" s="241" t="s">
        <v>146</v>
      </c>
    </row>
    <row r="62" spans="1:11" ht="15">
      <c r="A62" s="241" t="s">
        <v>147</v>
      </c>
    </row>
    <row r="63" spans="1:11" ht="15">
      <c r="A63" s="241" t="s">
        <v>148</v>
      </c>
    </row>
    <row r="64" spans="1:11" ht="40.5" customHeight="1">
      <c r="A64" s="241"/>
    </row>
    <row r="66" spans="1:11" ht="15">
      <c r="A66" s="361" t="s">
        <v>150</v>
      </c>
    </row>
    <row r="67" spans="1:11" ht="24.75" customHeight="1">
      <c r="A67" s="359"/>
    </row>
    <row r="68" spans="1:11" ht="15">
      <c r="A68" s="241"/>
    </row>
    <row r="69" spans="1:11" ht="68.25" customHeight="1">
      <c r="A69" s="447" t="s">
        <v>962</v>
      </c>
      <c r="B69" s="447"/>
      <c r="C69" s="447"/>
      <c r="D69" s="447"/>
      <c r="E69" s="447"/>
      <c r="F69" s="447"/>
      <c r="G69" s="447"/>
      <c r="H69" s="447"/>
      <c r="I69" s="447"/>
      <c r="J69" s="447"/>
      <c r="K69" s="447"/>
    </row>
  </sheetData>
  <mergeCells count="2">
    <mergeCell ref="A60:K60"/>
    <mergeCell ref="A69:K69"/>
  </mergeCells>
  <phoneticPr fontId="0" type="noConversion"/>
  <pageMargins left="0.75" right="0.75" top="1" bottom="1" header="0.5" footer="0.5"/>
  <pageSetup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9635"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69636"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69637"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69638"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69639" r:id="rId7" name="Button 7">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69640" r:id="rId8" name="Button 8">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69641" r:id="rId9" name="Button 9">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69642" r:id="rId10" name="Button 10">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enableFormatConditionsCalculation="0"/>
  <dimension ref="A1:N277"/>
  <sheetViews>
    <sheetView workbookViewId="0"/>
  </sheetViews>
  <sheetFormatPr baseColWidth="10" defaultColWidth="8.83203125" defaultRowHeight="12" x14ac:dyDescent="0"/>
  <cols>
    <col min="1" max="1" width="10.5" customWidth="1"/>
    <col min="2" max="2" width="7.6640625" customWidth="1"/>
    <col min="3" max="3" width="12" customWidth="1"/>
    <col min="4" max="4" width="16" customWidth="1"/>
    <col min="5" max="5" width="12.1640625" customWidth="1"/>
    <col min="6" max="6" width="11" customWidth="1"/>
    <col min="7" max="7" width="11.5" customWidth="1"/>
    <col min="8" max="8" width="17.66406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447</v>
      </c>
      <c r="C3" s="21"/>
      <c r="D3" s="21"/>
      <c r="E3" s="21"/>
      <c r="F3" s="21"/>
      <c r="G3" s="21"/>
      <c r="H3" s="21"/>
      <c r="I3" s="21"/>
      <c r="J3" s="21"/>
    </row>
    <row r="4" spans="1:14">
      <c r="A4" s="19" t="s">
        <v>774</v>
      </c>
      <c r="B4" s="20" t="s">
        <v>839</v>
      </c>
      <c r="C4" s="21"/>
      <c r="D4" s="21"/>
      <c r="E4" s="21"/>
      <c r="F4" s="21"/>
      <c r="G4" s="21"/>
      <c r="H4" s="21"/>
      <c r="I4" s="21"/>
      <c r="J4" s="21"/>
    </row>
    <row r="5" spans="1:14" ht="61.5" customHeight="1">
      <c r="A5" s="118" t="s">
        <v>779</v>
      </c>
      <c r="B5" s="446" t="s">
        <v>93</v>
      </c>
      <c r="C5" s="446"/>
      <c r="D5" s="446"/>
      <c r="E5" s="446"/>
      <c r="F5" s="446"/>
      <c r="G5" s="446"/>
      <c r="H5" s="446"/>
      <c r="I5" s="446"/>
      <c r="J5" s="446"/>
    </row>
    <row r="6" spans="1:14">
      <c r="A6" s="19" t="s">
        <v>635</v>
      </c>
      <c r="B6" s="187" t="s">
        <v>250</v>
      </c>
      <c r="C6" s="21"/>
      <c r="D6" s="21"/>
      <c r="E6" s="21"/>
      <c r="F6" s="21"/>
      <c r="G6" s="21"/>
      <c r="H6" s="21"/>
      <c r="I6" s="21"/>
      <c r="J6" s="21"/>
    </row>
    <row r="7" spans="1:14" s="1" customFormat="1" ht="68.25" customHeight="1">
      <c r="A7" s="22" t="s">
        <v>1090</v>
      </c>
      <c r="B7" s="22" t="s">
        <v>1098</v>
      </c>
      <c r="C7" s="31" t="s">
        <v>105</v>
      </c>
      <c r="D7" s="31" t="s">
        <v>101</v>
      </c>
      <c r="E7" s="22" t="s">
        <v>100</v>
      </c>
      <c r="F7" s="31" t="s">
        <v>102</v>
      </c>
      <c r="G7" s="31" t="s">
        <v>103</v>
      </c>
      <c r="H7" s="31" t="s">
        <v>104</v>
      </c>
      <c r="I7" s="22"/>
      <c r="J7" s="22"/>
    </row>
    <row r="8" spans="1:14">
      <c r="A8" s="26">
        <v>30713</v>
      </c>
      <c r="B8" s="52">
        <v>6.875</v>
      </c>
      <c r="C8" s="52"/>
      <c r="D8" s="52"/>
      <c r="E8" s="52"/>
      <c r="F8" s="52"/>
      <c r="G8" s="52"/>
      <c r="H8" s="52"/>
      <c r="I8" s="72"/>
      <c r="J8" s="54"/>
      <c r="K8" s="2"/>
      <c r="N8" s="4"/>
    </row>
    <row r="9" spans="1:14">
      <c r="A9" s="26">
        <v>30714</v>
      </c>
      <c r="B9" s="52">
        <v>6.9375</v>
      </c>
      <c r="C9" s="52"/>
      <c r="D9" s="52"/>
      <c r="E9" s="52"/>
      <c r="F9" s="52"/>
      <c r="G9" s="52"/>
      <c r="H9" s="52"/>
      <c r="I9" s="72"/>
      <c r="J9" s="54"/>
      <c r="K9" s="2"/>
      <c r="N9" s="4"/>
    </row>
    <row r="10" spans="1:14">
      <c r="A10" s="27">
        <v>30715</v>
      </c>
      <c r="B10" s="55">
        <v>6.8125</v>
      </c>
      <c r="C10" s="55"/>
      <c r="D10" s="55"/>
      <c r="E10" s="55"/>
      <c r="F10" s="55"/>
      <c r="G10" s="55"/>
      <c r="H10" s="55"/>
      <c r="I10" s="73"/>
      <c r="J10" s="57"/>
      <c r="K10" s="2"/>
      <c r="N10" s="4"/>
    </row>
    <row r="11" spans="1:14">
      <c r="A11" s="27">
        <v>30718</v>
      </c>
      <c r="B11" s="55">
        <v>6.6094999999999997</v>
      </c>
      <c r="C11" s="55"/>
      <c r="D11" s="55"/>
      <c r="E11" s="55"/>
      <c r="F11" s="55"/>
      <c r="G11" s="55"/>
      <c r="H11" s="55"/>
      <c r="I11" s="73"/>
      <c r="J11" s="57"/>
      <c r="K11" s="2"/>
      <c r="N11" s="4"/>
    </row>
    <row r="12" spans="1:14">
      <c r="A12" s="26">
        <v>30719</v>
      </c>
      <c r="B12" s="52">
        <v>6.7344999999999997</v>
      </c>
      <c r="C12" s="100">
        <f>IF(B12&gt;B8,B12-B8,0)</f>
        <v>0</v>
      </c>
      <c r="D12" s="52">
        <f>IF(B12&lt;B8,ABS(B12-B8),0)</f>
        <v>0.14050000000000029</v>
      </c>
      <c r="E12" s="52"/>
      <c r="F12" s="52"/>
      <c r="G12" s="52"/>
      <c r="H12" s="52"/>
      <c r="I12" s="72"/>
      <c r="J12" s="54"/>
      <c r="K12" s="2"/>
      <c r="N12" s="4"/>
    </row>
    <row r="13" spans="1:14">
      <c r="A13" s="26">
        <v>30720</v>
      </c>
      <c r="B13" s="52">
        <v>6.6719999999999997</v>
      </c>
      <c r="C13" s="100">
        <f t="shared" ref="C13:C51" si="0">IF(B13&gt;B9,B13-B9,0)</f>
        <v>0</v>
      </c>
      <c r="D13" s="52">
        <f t="shared" ref="D13:D30" si="1">IF(B13&lt;B9,ABS(B13-B9),0)</f>
        <v>0.26550000000000029</v>
      </c>
      <c r="E13" s="52"/>
      <c r="F13" s="52"/>
      <c r="G13" s="52"/>
      <c r="H13" s="52"/>
      <c r="I13" s="72"/>
      <c r="J13" s="54"/>
      <c r="K13" s="2"/>
      <c r="N13" s="4"/>
    </row>
    <row r="14" spans="1:14">
      <c r="A14" s="27">
        <v>30721</v>
      </c>
      <c r="B14" s="55">
        <v>6.625</v>
      </c>
      <c r="C14" s="99">
        <f t="shared" si="0"/>
        <v>0</v>
      </c>
      <c r="D14" s="55">
        <f t="shared" si="1"/>
        <v>0.1875</v>
      </c>
      <c r="E14" s="55"/>
      <c r="F14" s="55"/>
      <c r="G14" s="55"/>
      <c r="H14" s="55"/>
      <c r="I14" s="73"/>
      <c r="J14" s="57"/>
      <c r="K14" s="2"/>
      <c r="N14" s="4"/>
    </row>
    <row r="15" spans="1:14">
      <c r="A15" s="27">
        <v>30722</v>
      </c>
      <c r="B15" s="55">
        <v>6.6875</v>
      </c>
      <c r="C15" s="99">
        <f t="shared" si="0"/>
        <v>7.8000000000000291E-2</v>
      </c>
      <c r="D15" s="55">
        <f t="shared" si="1"/>
        <v>0</v>
      </c>
      <c r="E15" s="55"/>
      <c r="F15" s="55"/>
      <c r="G15" s="55"/>
      <c r="H15" s="55"/>
      <c r="I15" s="73"/>
      <c r="J15" s="57"/>
      <c r="K15" s="2"/>
      <c r="N15" s="4"/>
    </row>
    <row r="16" spans="1:14">
      <c r="A16" s="26">
        <v>30725</v>
      </c>
      <c r="B16" s="52">
        <v>6.5469999999999997</v>
      </c>
      <c r="C16" s="100">
        <f t="shared" si="0"/>
        <v>0</v>
      </c>
      <c r="D16" s="52">
        <f t="shared" si="1"/>
        <v>0.1875</v>
      </c>
      <c r="E16" s="52"/>
      <c r="F16" s="52"/>
      <c r="G16" s="52"/>
      <c r="H16" s="52"/>
      <c r="I16" s="72"/>
      <c r="J16" s="54"/>
      <c r="K16" s="2"/>
      <c r="N16" s="4"/>
    </row>
    <row r="17" spans="1:14">
      <c r="A17" s="26">
        <v>30726</v>
      </c>
      <c r="B17" s="52">
        <v>6.6562999999999999</v>
      </c>
      <c r="C17" s="100">
        <f t="shared" si="0"/>
        <v>0</v>
      </c>
      <c r="D17" s="52">
        <f t="shared" si="1"/>
        <v>1.5699999999999825E-2</v>
      </c>
      <c r="E17" s="52"/>
      <c r="F17" s="52"/>
      <c r="G17" s="52"/>
      <c r="H17" s="52"/>
      <c r="I17" s="72"/>
      <c r="J17" s="54"/>
      <c r="K17" s="2"/>
      <c r="N17" s="4"/>
    </row>
    <row r="18" spans="1:14">
      <c r="A18" s="27">
        <v>30727</v>
      </c>
      <c r="B18" s="55">
        <v>6.6719999999999997</v>
      </c>
      <c r="C18" s="99">
        <f t="shared" si="0"/>
        <v>4.6999999999999709E-2</v>
      </c>
      <c r="D18" s="55">
        <f t="shared" si="1"/>
        <v>0</v>
      </c>
      <c r="E18" s="55"/>
      <c r="F18" s="55"/>
      <c r="G18" s="55"/>
      <c r="H18" s="55"/>
      <c r="I18" s="73"/>
      <c r="J18" s="57"/>
      <c r="K18" s="2"/>
      <c r="N18" s="4"/>
    </row>
    <row r="19" spans="1:14">
      <c r="A19" s="27">
        <v>30728</v>
      </c>
      <c r="B19" s="55">
        <v>6.6562999999999999</v>
      </c>
      <c r="C19" s="99">
        <f t="shared" si="0"/>
        <v>0</v>
      </c>
      <c r="D19" s="55">
        <f t="shared" si="1"/>
        <v>3.1200000000000117E-2</v>
      </c>
      <c r="E19" s="55">
        <f>SUM(C12:C19)/8</f>
        <v>1.5625E-2</v>
      </c>
      <c r="F19" s="55">
        <f>SUM(D12:D19)/8</f>
        <v>0.10348750000000007</v>
      </c>
      <c r="G19" s="55">
        <f>E19/F19</f>
        <v>0.15098441840802021</v>
      </c>
      <c r="H19" s="55">
        <f>100*(G19/(1+G19))</f>
        <v>13.11785077132962</v>
      </c>
      <c r="I19" s="111"/>
      <c r="J19" s="57"/>
      <c r="K19" s="2"/>
      <c r="N19" s="4"/>
    </row>
    <row r="20" spans="1:14">
      <c r="A20" s="26">
        <v>30729</v>
      </c>
      <c r="B20" s="52">
        <v>6.5937999999999999</v>
      </c>
      <c r="C20" s="100">
        <f t="shared" si="0"/>
        <v>4.6800000000000175E-2</v>
      </c>
      <c r="D20" s="52">
        <f t="shared" si="1"/>
        <v>0</v>
      </c>
      <c r="E20" s="52">
        <f>E19+((C20-E19)/8)</f>
        <v>1.9521875000000022E-2</v>
      </c>
      <c r="F20" s="52">
        <f>F19+((D20-F19)/8)</f>
        <v>9.0551562500000057E-2</v>
      </c>
      <c r="G20" s="52">
        <f>E20/F20</f>
        <v>0.21558849412454931</v>
      </c>
      <c r="H20" s="52">
        <f>100*(G20/(1+G20))</f>
        <v>17.735318750266163</v>
      </c>
      <c r="I20" s="112"/>
      <c r="J20" s="54"/>
      <c r="K20" s="2"/>
      <c r="N20" s="4"/>
    </row>
    <row r="21" spans="1:14">
      <c r="A21" s="26">
        <v>30733</v>
      </c>
      <c r="B21" s="52">
        <v>6.4844999999999997</v>
      </c>
      <c r="C21" s="100">
        <f t="shared" si="0"/>
        <v>0</v>
      </c>
      <c r="D21" s="52">
        <f t="shared" si="1"/>
        <v>0.17180000000000017</v>
      </c>
      <c r="E21" s="52">
        <f t="shared" ref="E21:E51" si="2">E20+((C21-E20)/8)</f>
        <v>1.7081640625000019E-2</v>
      </c>
      <c r="F21" s="52">
        <f t="shared" ref="F21:F51" si="3">F20+((D21-F20)/8)</f>
        <v>0.10070761718750007</v>
      </c>
      <c r="G21" s="52">
        <f t="shared" ref="G21:G30" si="4">E21/F21</f>
        <v>0.16961617305667132</v>
      </c>
      <c r="H21" s="52">
        <f t="shared" ref="H21:H51" si="5">100*(G21/(1+G21))</f>
        <v>14.501866250138876</v>
      </c>
      <c r="I21" s="112"/>
      <c r="J21" s="54"/>
      <c r="K21" s="2"/>
      <c r="N21" s="4"/>
    </row>
    <row r="22" spans="1:14">
      <c r="A22" s="27">
        <v>30734</v>
      </c>
      <c r="B22" s="55">
        <v>6.5</v>
      </c>
      <c r="C22" s="99">
        <f t="shared" si="0"/>
        <v>0</v>
      </c>
      <c r="D22" s="55">
        <f t="shared" si="1"/>
        <v>0.17199999999999971</v>
      </c>
      <c r="E22" s="55">
        <f t="shared" si="2"/>
        <v>1.4946435546875017E-2</v>
      </c>
      <c r="F22" s="55">
        <f t="shared" si="3"/>
        <v>0.10961916503906252</v>
      </c>
      <c r="G22" s="55">
        <f t="shared" si="4"/>
        <v>0.13634874468847569</v>
      </c>
      <c r="H22" s="55">
        <f t="shared" si="5"/>
        <v>11.998846773562901</v>
      </c>
      <c r="I22" s="111"/>
      <c r="J22" s="57"/>
      <c r="K22" s="2"/>
      <c r="N22" s="4"/>
    </row>
    <row r="23" spans="1:14">
      <c r="A23" s="27">
        <v>30735</v>
      </c>
      <c r="B23" s="55">
        <v>6.5</v>
      </c>
      <c r="C23" s="99">
        <f t="shared" si="0"/>
        <v>0</v>
      </c>
      <c r="D23" s="55">
        <f t="shared" si="1"/>
        <v>0.15629999999999988</v>
      </c>
      <c r="E23" s="55">
        <f t="shared" si="2"/>
        <v>1.307813110351564E-2</v>
      </c>
      <c r="F23" s="55">
        <f t="shared" si="3"/>
        <v>0.11545426940917969</v>
      </c>
      <c r="G23" s="55">
        <f t="shared" si="4"/>
        <v>0.11327542212549661</v>
      </c>
      <c r="H23" s="55">
        <f t="shared" si="5"/>
        <v>10.174968374782587</v>
      </c>
      <c r="I23" s="111"/>
      <c r="J23" s="57"/>
      <c r="K23" s="2"/>
      <c r="N23" s="4"/>
    </row>
    <row r="24" spans="1:14">
      <c r="A24" s="26">
        <v>30736</v>
      </c>
      <c r="B24" s="52">
        <v>6.7187999999999999</v>
      </c>
      <c r="C24" s="100">
        <f t="shared" si="0"/>
        <v>0.125</v>
      </c>
      <c r="D24" s="52">
        <f t="shared" si="1"/>
        <v>0</v>
      </c>
      <c r="E24" s="52">
        <f t="shared" si="2"/>
        <v>2.7068364715576186E-2</v>
      </c>
      <c r="F24" s="52">
        <f t="shared" si="3"/>
        <v>0.10102248573303223</v>
      </c>
      <c r="G24" s="52">
        <f t="shared" si="4"/>
        <v>0.26794395840851298</v>
      </c>
      <c r="H24" s="52">
        <f t="shared" si="5"/>
        <v>21.132160978536351</v>
      </c>
      <c r="I24" s="112"/>
      <c r="J24" s="54"/>
      <c r="K24" s="2"/>
      <c r="N24" s="4"/>
    </row>
    <row r="25" spans="1:14">
      <c r="A25" s="26">
        <v>30739</v>
      </c>
      <c r="B25" s="52">
        <v>6.6406999999999998</v>
      </c>
      <c r="C25" s="100">
        <f t="shared" si="0"/>
        <v>0.15620000000000012</v>
      </c>
      <c r="D25" s="52">
        <f t="shared" si="1"/>
        <v>0</v>
      </c>
      <c r="E25" s="52">
        <f t="shared" si="2"/>
        <v>4.3209819126129173E-2</v>
      </c>
      <c r="F25" s="52">
        <f t="shared" si="3"/>
        <v>8.8394675016403204E-2</v>
      </c>
      <c r="G25" s="52">
        <f t="shared" si="4"/>
        <v>0.48882830462480714</v>
      </c>
      <c r="H25" s="52">
        <f t="shared" si="5"/>
        <v>32.833087811827603</v>
      </c>
      <c r="I25" s="112"/>
      <c r="J25" s="54"/>
      <c r="K25" s="2"/>
      <c r="N25" s="4"/>
    </row>
    <row r="26" spans="1:14">
      <c r="A26" s="27">
        <v>30740</v>
      </c>
      <c r="B26" s="55">
        <v>6.5156999999999998</v>
      </c>
      <c r="C26" s="99">
        <f t="shared" si="0"/>
        <v>1.5699999999999825E-2</v>
      </c>
      <c r="D26" s="55">
        <f t="shared" si="1"/>
        <v>0</v>
      </c>
      <c r="E26" s="55">
        <f t="shared" si="2"/>
        <v>3.9771091735363001E-2</v>
      </c>
      <c r="F26" s="55">
        <f t="shared" si="3"/>
        <v>7.7345340639352805E-2</v>
      </c>
      <c r="G26" s="55">
        <f t="shared" si="4"/>
        <v>0.51420152017699861</v>
      </c>
      <c r="H26" s="55">
        <f t="shared" si="5"/>
        <v>33.958592256392159</v>
      </c>
      <c r="I26" s="111"/>
      <c r="J26" s="57"/>
      <c r="K26" s="2"/>
      <c r="N26" s="4"/>
    </row>
    <row r="27" spans="1:14">
      <c r="A27" s="27">
        <v>30741</v>
      </c>
      <c r="B27" s="55">
        <v>6.5</v>
      </c>
      <c r="C27" s="99">
        <f t="shared" si="0"/>
        <v>0</v>
      </c>
      <c r="D27" s="55">
        <f t="shared" si="1"/>
        <v>0</v>
      </c>
      <c r="E27" s="55">
        <f t="shared" si="2"/>
        <v>3.4799705268442629E-2</v>
      </c>
      <c r="F27" s="55">
        <f t="shared" si="3"/>
        <v>6.7677173059433701E-2</v>
      </c>
      <c r="G27" s="55">
        <f t="shared" si="4"/>
        <v>0.51420152017699872</v>
      </c>
      <c r="H27" s="55">
        <f t="shared" si="5"/>
        <v>33.958592256392159</v>
      </c>
      <c r="I27" s="111"/>
      <c r="J27" s="57"/>
      <c r="K27" s="2"/>
      <c r="N27" s="4"/>
    </row>
    <row r="28" spans="1:14">
      <c r="A28" s="26">
        <v>30742</v>
      </c>
      <c r="B28" s="52">
        <v>6.4844999999999997</v>
      </c>
      <c r="C28" s="100">
        <f t="shared" si="0"/>
        <v>0</v>
      </c>
      <c r="D28" s="52">
        <f t="shared" si="1"/>
        <v>0.23430000000000017</v>
      </c>
      <c r="E28" s="52">
        <f t="shared" si="2"/>
        <v>3.0449742109887303E-2</v>
      </c>
      <c r="F28" s="52">
        <f t="shared" si="3"/>
        <v>8.8505026427004502E-2</v>
      </c>
      <c r="G28" s="52">
        <f t="shared" si="4"/>
        <v>0.34404534227218231</v>
      </c>
      <c r="H28" s="52">
        <f t="shared" si="5"/>
        <v>25.59774818984565</v>
      </c>
      <c r="I28" s="112"/>
      <c r="J28" s="54"/>
      <c r="K28" s="2"/>
      <c r="N28" s="4"/>
    </row>
    <row r="29" spans="1:14">
      <c r="A29" s="26">
        <v>30743</v>
      </c>
      <c r="B29" s="52">
        <v>6.5312999999999999</v>
      </c>
      <c r="C29" s="100">
        <f t="shared" si="0"/>
        <v>0</v>
      </c>
      <c r="D29" s="52">
        <f t="shared" si="1"/>
        <v>0.10939999999999994</v>
      </c>
      <c r="E29" s="52">
        <f t="shared" si="2"/>
        <v>2.6643524346151391E-2</v>
      </c>
      <c r="F29" s="52">
        <f t="shared" si="3"/>
        <v>9.1116898123628928E-2</v>
      </c>
      <c r="G29" s="52">
        <f t="shared" si="4"/>
        <v>0.29241035301707718</v>
      </c>
      <c r="H29" s="52">
        <f t="shared" si="5"/>
        <v>22.625194260821075</v>
      </c>
      <c r="I29" s="112"/>
      <c r="J29" s="54"/>
      <c r="K29" s="2"/>
      <c r="N29" s="4"/>
    </row>
    <row r="30" spans="1:14">
      <c r="A30" s="27">
        <v>30746</v>
      </c>
      <c r="B30" s="55">
        <v>6.4687999999999999</v>
      </c>
      <c r="C30" s="99">
        <f t="shared" si="0"/>
        <v>0</v>
      </c>
      <c r="D30" s="55">
        <f t="shared" si="1"/>
        <v>4.6899999999999942E-2</v>
      </c>
      <c r="E30" s="55">
        <f t="shared" si="2"/>
        <v>2.3313083802882467E-2</v>
      </c>
      <c r="F30" s="55">
        <f t="shared" si="3"/>
        <v>8.558978585817531E-2</v>
      </c>
      <c r="G30" s="55">
        <f t="shared" si="4"/>
        <v>0.27238161153379803</v>
      </c>
      <c r="H30" s="55">
        <f t="shared" si="5"/>
        <v>21.407226343475241</v>
      </c>
      <c r="I30" s="111"/>
      <c r="J30" s="57"/>
      <c r="K30" s="2"/>
      <c r="N30" s="4"/>
    </row>
    <row r="31" spans="1:14">
      <c r="A31" s="27">
        <v>30747</v>
      </c>
      <c r="B31" s="55">
        <v>6.4375</v>
      </c>
      <c r="C31" s="99">
        <f t="shared" si="0"/>
        <v>0</v>
      </c>
      <c r="D31" s="55">
        <f t="shared" ref="D31:D51" si="6">IF(B31&lt;B27,ABS(B31-B27),0)</f>
        <v>6.25E-2</v>
      </c>
      <c r="E31" s="55">
        <f t="shared" si="2"/>
        <v>2.0398948327522159E-2</v>
      </c>
      <c r="F31" s="55">
        <f t="shared" si="3"/>
        <v>8.2703562625903393E-2</v>
      </c>
      <c r="G31" s="55">
        <f t="shared" ref="G31:G51" si="7">E31/F31</f>
        <v>0.2466513857425176</v>
      </c>
      <c r="H31" s="55">
        <f t="shared" si="5"/>
        <v>19.785113028660344</v>
      </c>
      <c r="I31" s="111"/>
      <c r="J31" s="57"/>
      <c r="K31" s="2"/>
      <c r="N31" s="4"/>
    </row>
    <row r="32" spans="1:14">
      <c r="A32" s="26">
        <v>30748</v>
      </c>
      <c r="B32" s="52">
        <v>6.2656999999999998</v>
      </c>
      <c r="C32" s="100">
        <f t="shared" si="0"/>
        <v>0</v>
      </c>
      <c r="D32" s="52">
        <f t="shared" si="6"/>
        <v>0.21879999999999988</v>
      </c>
      <c r="E32" s="52">
        <f t="shared" si="2"/>
        <v>1.784907978658189E-2</v>
      </c>
      <c r="F32" s="52">
        <f t="shared" si="3"/>
        <v>9.9715617297665454E-2</v>
      </c>
      <c r="G32" s="52">
        <f t="shared" si="7"/>
        <v>0.17899984245496692</v>
      </c>
      <c r="H32" s="52">
        <f t="shared" si="5"/>
        <v>15.182346596607285</v>
      </c>
      <c r="I32" s="112"/>
      <c r="J32" s="54"/>
      <c r="K32" s="2"/>
      <c r="N32" s="4"/>
    </row>
    <row r="33" spans="1:14">
      <c r="A33" s="26">
        <v>30749</v>
      </c>
      <c r="B33" s="52">
        <v>6.1875</v>
      </c>
      <c r="C33" s="100">
        <f t="shared" si="0"/>
        <v>0</v>
      </c>
      <c r="D33" s="52">
        <f t="shared" si="6"/>
        <v>0.34379999999999988</v>
      </c>
      <c r="E33" s="52">
        <f t="shared" si="2"/>
        <v>1.5617944813259154E-2</v>
      </c>
      <c r="F33" s="52">
        <f t="shared" si="3"/>
        <v>0.13022616513545726</v>
      </c>
      <c r="G33" s="52">
        <f t="shared" si="7"/>
        <v>0.11992939204662786</v>
      </c>
      <c r="H33" s="52">
        <f t="shared" si="5"/>
        <v>10.708656536593036</v>
      </c>
      <c r="I33" s="112"/>
      <c r="J33" s="54"/>
      <c r="K33" s="2"/>
      <c r="N33" s="4"/>
    </row>
    <row r="34" spans="1:14">
      <c r="A34" s="27">
        <v>30750</v>
      </c>
      <c r="B34" s="55">
        <v>6.1719999999999997</v>
      </c>
      <c r="C34" s="99">
        <f t="shared" si="0"/>
        <v>0</v>
      </c>
      <c r="D34" s="55">
        <f t="shared" si="6"/>
        <v>0.29680000000000017</v>
      </c>
      <c r="E34" s="55">
        <f t="shared" si="2"/>
        <v>1.3665701711601761E-2</v>
      </c>
      <c r="F34" s="55">
        <f t="shared" si="3"/>
        <v>0.15104789449352513</v>
      </c>
      <c r="G34" s="55">
        <f t="shared" si="7"/>
        <v>9.0472639538762722E-2</v>
      </c>
      <c r="H34" s="55">
        <f t="shared" si="5"/>
        <v>8.296644616139103</v>
      </c>
      <c r="I34" s="111"/>
      <c r="J34" s="57"/>
      <c r="K34" s="2"/>
      <c r="N34" s="4"/>
    </row>
    <row r="35" spans="1:14">
      <c r="A35" s="27">
        <v>30753</v>
      </c>
      <c r="B35" s="55">
        <v>6.3281999999999998</v>
      </c>
      <c r="C35" s="99">
        <f t="shared" si="0"/>
        <v>0</v>
      </c>
      <c r="D35" s="55">
        <f t="shared" si="6"/>
        <v>0.10930000000000017</v>
      </c>
      <c r="E35" s="55">
        <f t="shared" si="2"/>
        <v>1.195748899765154E-2</v>
      </c>
      <c r="F35" s="55">
        <f t="shared" si="3"/>
        <v>0.1458294076818345</v>
      </c>
      <c r="G35" s="55">
        <f t="shared" si="7"/>
        <v>8.199641751093148E-2</v>
      </c>
      <c r="H35" s="55">
        <f t="shared" si="5"/>
        <v>7.5782522182059875</v>
      </c>
      <c r="I35" s="111"/>
      <c r="J35" s="57"/>
      <c r="K35" s="2"/>
      <c r="N35" s="4"/>
    </row>
    <row r="36" spans="1:14">
      <c r="A36" s="26">
        <v>30754</v>
      </c>
      <c r="B36" s="52">
        <v>6.4531999999999998</v>
      </c>
      <c r="C36" s="100">
        <f t="shared" si="0"/>
        <v>0.1875</v>
      </c>
      <c r="D36" s="52">
        <f t="shared" si="6"/>
        <v>0</v>
      </c>
      <c r="E36" s="52">
        <f t="shared" si="2"/>
        <v>3.3900302872945098E-2</v>
      </c>
      <c r="F36" s="52">
        <f t="shared" si="3"/>
        <v>0.12760073172160519</v>
      </c>
      <c r="G36" s="52">
        <f t="shared" si="7"/>
        <v>0.26567483129256336</v>
      </c>
      <c r="H36" s="52">
        <f t="shared" si="5"/>
        <v>20.990765141568346</v>
      </c>
      <c r="I36" s="112"/>
      <c r="J36" s="54"/>
      <c r="K36" s="2"/>
      <c r="N36" s="4"/>
    </row>
    <row r="37" spans="1:14">
      <c r="A37" s="26">
        <v>30755</v>
      </c>
      <c r="B37" s="52">
        <v>6.5156999999999998</v>
      </c>
      <c r="C37" s="100">
        <f t="shared" si="0"/>
        <v>0.32819999999999983</v>
      </c>
      <c r="D37" s="52">
        <f t="shared" si="6"/>
        <v>0</v>
      </c>
      <c r="E37" s="52">
        <f t="shared" si="2"/>
        <v>7.0687765013826939E-2</v>
      </c>
      <c r="F37" s="52">
        <f t="shared" si="3"/>
        <v>0.11165064025640453</v>
      </c>
      <c r="G37" s="52">
        <f t="shared" si="7"/>
        <v>0.63311562613069861</v>
      </c>
      <c r="H37" s="52">
        <f t="shared" si="5"/>
        <v>38.767348496366068</v>
      </c>
      <c r="I37" s="112"/>
      <c r="J37" s="54"/>
      <c r="K37" s="2"/>
      <c r="N37" s="4"/>
    </row>
    <row r="38" spans="1:14">
      <c r="A38" s="27">
        <v>30756</v>
      </c>
      <c r="B38" s="55">
        <v>6.5781999999999998</v>
      </c>
      <c r="C38" s="99">
        <f t="shared" si="0"/>
        <v>0.40620000000000012</v>
      </c>
      <c r="D38" s="55">
        <f t="shared" si="6"/>
        <v>0</v>
      </c>
      <c r="E38" s="55">
        <f t="shared" si="2"/>
        <v>0.11262679438709858</v>
      </c>
      <c r="F38" s="55">
        <f t="shared" si="3"/>
        <v>9.7694310224353959E-2</v>
      </c>
      <c r="G38" s="55">
        <f t="shared" si="7"/>
        <v>1.152849066935959</v>
      </c>
      <c r="H38" s="55">
        <f t="shared" si="5"/>
        <v>53.549925289316768</v>
      </c>
      <c r="I38" s="111"/>
      <c r="J38" s="57"/>
      <c r="K38" s="2"/>
      <c r="N38" s="4"/>
    </row>
    <row r="39" spans="1:14">
      <c r="A39" s="27">
        <v>30757</v>
      </c>
      <c r="B39" s="55">
        <v>6.6719999999999997</v>
      </c>
      <c r="C39" s="99">
        <f t="shared" si="0"/>
        <v>0.34379999999999988</v>
      </c>
      <c r="D39" s="55">
        <f t="shared" si="6"/>
        <v>0</v>
      </c>
      <c r="E39" s="55">
        <f t="shared" si="2"/>
        <v>0.14152344508871123</v>
      </c>
      <c r="F39" s="55">
        <f t="shared" si="3"/>
        <v>8.5482521446309717E-2</v>
      </c>
      <c r="G39" s="55">
        <f t="shared" si="7"/>
        <v>1.6555834186243554</v>
      </c>
      <c r="H39" s="55">
        <f t="shared" si="5"/>
        <v>62.343491340293888</v>
      </c>
      <c r="I39" s="111"/>
      <c r="J39" s="57"/>
      <c r="K39" s="2"/>
      <c r="N39" s="4"/>
    </row>
    <row r="40" spans="1:14">
      <c r="A40" s="26">
        <v>30760</v>
      </c>
      <c r="B40" s="52">
        <v>6.6094999999999997</v>
      </c>
      <c r="C40" s="100">
        <f t="shared" si="0"/>
        <v>0.15629999999999988</v>
      </c>
      <c r="D40" s="52">
        <f t="shared" si="6"/>
        <v>0</v>
      </c>
      <c r="E40" s="52">
        <f t="shared" si="2"/>
        <v>0.14337051445262231</v>
      </c>
      <c r="F40" s="52">
        <f t="shared" si="3"/>
        <v>7.4797206265520999E-2</v>
      </c>
      <c r="G40" s="52">
        <f t="shared" si="7"/>
        <v>1.9167896985841208</v>
      </c>
      <c r="H40" s="52">
        <f t="shared" si="5"/>
        <v>65.715731906025866</v>
      </c>
      <c r="I40" s="112"/>
      <c r="J40" s="54"/>
      <c r="K40" s="2"/>
      <c r="N40" s="4"/>
    </row>
    <row r="41" spans="1:14">
      <c r="A41" s="26">
        <v>30761</v>
      </c>
      <c r="B41" s="52">
        <v>6.625</v>
      </c>
      <c r="C41" s="100">
        <f t="shared" si="0"/>
        <v>0.10930000000000017</v>
      </c>
      <c r="D41" s="52">
        <f t="shared" si="6"/>
        <v>0</v>
      </c>
      <c r="E41" s="52">
        <f t="shared" si="2"/>
        <v>0.13911170014604454</v>
      </c>
      <c r="F41" s="52">
        <f t="shared" si="3"/>
        <v>6.5447555482330874E-2</v>
      </c>
      <c r="G41" s="52">
        <f t="shared" si="7"/>
        <v>2.125544630671516</v>
      </c>
      <c r="H41" s="52">
        <f t="shared" si="5"/>
        <v>68.005576046272864</v>
      </c>
      <c r="I41" s="112"/>
      <c r="J41" s="54"/>
      <c r="K41" s="2"/>
      <c r="N41" s="4"/>
    </row>
    <row r="42" spans="1:14">
      <c r="A42" s="27">
        <v>30762</v>
      </c>
      <c r="B42" s="55">
        <v>6.5937999999999999</v>
      </c>
      <c r="C42" s="99">
        <f t="shared" si="0"/>
        <v>1.5600000000000058E-2</v>
      </c>
      <c r="D42" s="55">
        <f t="shared" si="6"/>
        <v>0</v>
      </c>
      <c r="E42" s="55">
        <f t="shared" si="2"/>
        <v>0.12367273762778898</v>
      </c>
      <c r="F42" s="55">
        <f t="shared" si="3"/>
        <v>5.7266611047039513E-2</v>
      </c>
      <c r="G42" s="55">
        <f t="shared" si="7"/>
        <v>2.1595958860949995</v>
      </c>
      <c r="H42" s="55">
        <f t="shared" si="5"/>
        <v>68.350382895455724</v>
      </c>
      <c r="I42" s="111"/>
      <c r="J42" s="57"/>
      <c r="K42" s="2"/>
      <c r="N42" s="4"/>
    </row>
    <row r="43" spans="1:14">
      <c r="A43" s="27">
        <v>30763</v>
      </c>
      <c r="B43" s="55">
        <v>6.4687999999999999</v>
      </c>
      <c r="C43" s="99">
        <f t="shared" si="0"/>
        <v>0</v>
      </c>
      <c r="D43" s="55">
        <f t="shared" si="6"/>
        <v>0.20319999999999983</v>
      </c>
      <c r="E43" s="55">
        <f t="shared" si="2"/>
        <v>0.10821364542431536</v>
      </c>
      <c r="F43" s="55">
        <f t="shared" si="3"/>
        <v>7.5508284666159553E-2</v>
      </c>
      <c r="G43" s="55">
        <f t="shared" si="7"/>
        <v>1.4331360578876098</v>
      </c>
      <c r="H43" s="55">
        <f t="shared" si="5"/>
        <v>58.900777588731479</v>
      </c>
      <c r="I43" s="111"/>
      <c r="J43" s="57"/>
      <c r="K43" s="2"/>
      <c r="N43" s="4"/>
    </row>
    <row r="44" spans="1:14">
      <c r="A44" s="26">
        <v>30764</v>
      </c>
      <c r="B44" s="52">
        <v>6.5156999999999998</v>
      </c>
      <c r="C44" s="100">
        <f t="shared" si="0"/>
        <v>0</v>
      </c>
      <c r="D44" s="52">
        <f t="shared" si="6"/>
        <v>9.3799999999999883E-2</v>
      </c>
      <c r="E44" s="52">
        <f t="shared" si="2"/>
        <v>9.4686939746275942E-2</v>
      </c>
      <c r="F44" s="52">
        <f t="shared" si="3"/>
        <v>7.7794749082889594E-2</v>
      </c>
      <c r="G44" s="52">
        <f t="shared" si="7"/>
        <v>1.2171379284916501</v>
      </c>
      <c r="H44" s="52">
        <f t="shared" si="5"/>
        <v>54.896806953263663</v>
      </c>
      <c r="I44" s="112"/>
      <c r="J44" s="54"/>
      <c r="K44" s="2"/>
      <c r="N44" s="4"/>
    </row>
    <row r="45" spans="1:14">
      <c r="A45" s="26">
        <v>30767</v>
      </c>
      <c r="B45" s="52">
        <v>6.5</v>
      </c>
      <c r="C45" s="100">
        <f t="shared" si="0"/>
        <v>0</v>
      </c>
      <c r="D45" s="52">
        <f t="shared" si="6"/>
        <v>0.125</v>
      </c>
      <c r="E45" s="52">
        <f t="shared" si="2"/>
        <v>8.2851072277991447E-2</v>
      </c>
      <c r="F45" s="52">
        <f t="shared" si="3"/>
        <v>8.369540544752839E-2</v>
      </c>
      <c r="G45" s="52">
        <f t="shared" si="7"/>
        <v>0.98991183369000724</v>
      </c>
      <c r="H45" s="52">
        <f t="shared" si="5"/>
        <v>49.746517254202018</v>
      </c>
      <c r="I45" s="112"/>
      <c r="J45" s="54"/>
      <c r="K45" s="2"/>
      <c r="N45" s="4"/>
    </row>
    <row r="46" spans="1:14">
      <c r="A46" s="27">
        <v>30768</v>
      </c>
      <c r="B46" s="55">
        <v>6.5625</v>
      </c>
      <c r="C46" s="99">
        <f t="shared" si="0"/>
        <v>0</v>
      </c>
      <c r="D46" s="55">
        <f t="shared" si="6"/>
        <v>3.1299999999999883E-2</v>
      </c>
      <c r="E46" s="55">
        <f t="shared" si="2"/>
        <v>7.2494688243242511E-2</v>
      </c>
      <c r="F46" s="55">
        <f t="shared" si="3"/>
        <v>7.7145979766587325E-2</v>
      </c>
      <c r="G46" s="55">
        <f t="shared" si="7"/>
        <v>0.93970792078319898</v>
      </c>
      <c r="H46" s="55">
        <f t="shared" si="5"/>
        <v>48.445846444951961</v>
      </c>
      <c r="I46" s="111"/>
      <c r="J46" s="57"/>
      <c r="K46" s="2"/>
      <c r="N46" s="4"/>
    </row>
    <row r="47" spans="1:14">
      <c r="A47" s="27">
        <v>30769</v>
      </c>
      <c r="B47" s="55">
        <v>6.8281999999999998</v>
      </c>
      <c r="C47" s="99">
        <f t="shared" si="0"/>
        <v>0.35939999999999994</v>
      </c>
      <c r="D47" s="55">
        <f t="shared" si="6"/>
        <v>0</v>
      </c>
      <c r="E47" s="55">
        <f t="shared" si="2"/>
        <v>0.1083578522128372</v>
      </c>
      <c r="F47" s="55">
        <f t="shared" si="3"/>
        <v>6.7502732295763909E-2</v>
      </c>
      <c r="G47" s="55">
        <f t="shared" si="7"/>
        <v>1.6052365367681143</v>
      </c>
      <c r="H47" s="55">
        <f t="shared" si="5"/>
        <v>61.615769398024241</v>
      </c>
      <c r="I47" s="111"/>
      <c r="J47" s="57"/>
      <c r="K47" s="2"/>
      <c r="N47" s="4"/>
    </row>
    <row r="48" spans="1:14">
      <c r="A48" s="26">
        <v>30770</v>
      </c>
      <c r="B48" s="52">
        <v>6.8906999999999998</v>
      </c>
      <c r="C48" s="100">
        <f t="shared" si="0"/>
        <v>0.375</v>
      </c>
      <c r="D48" s="52">
        <f t="shared" si="6"/>
        <v>0</v>
      </c>
      <c r="E48" s="52">
        <f t="shared" si="2"/>
        <v>0.14168812068623254</v>
      </c>
      <c r="F48" s="52">
        <f t="shared" si="3"/>
        <v>5.9064890758793419E-2</v>
      </c>
      <c r="G48" s="52">
        <f t="shared" si="7"/>
        <v>2.3988552059607153</v>
      </c>
      <c r="H48" s="52">
        <f t="shared" si="5"/>
        <v>70.578328895968909</v>
      </c>
      <c r="I48" s="112"/>
      <c r="J48" s="54"/>
      <c r="K48" s="2"/>
      <c r="N48" s="4"/>
    </row>
    <row r="49" spans="1:14">
      <c r="A49" s="26">
        <v>30771</v>
      </c>
      <c r="B49" s="52">
        <v>6.8594999999999997</v>
      </c>
      <c r="C49" s="100">
        <f t="shared" si="0"/>
        <v>0.35949999999999971</v>
      </c>
      <c r="D49" s="52">
        <f t="shared" si="6"/>
        <v>0</v>
      </c>
      <c r="E49" s="52">
        <f t="shared" si="2"/>
        <v>0.16891460560045343</v>
      </c>
      <c r="F49" s="52">
        <f t="shared" si="3"/>
        <v>5.1681779413944244E-2</v>
      </c>
      <c r="G49" s="52">
        <f t="shared" si="7"/>
        <v>3.2683589364742081</v>
      </c>
      <c r="H49" s="52">
        <f t="shared" si="5"/>
        <v>76.571792230153221</v>
      </c>
      <c r="I49" s="112"/>
      <c r="J49" s="54"/>
      <c r="K49" s="2"/>
      <c r="N49" s="4"/>
    </row>
    <row r="50" spans="1:14">
      <c r="A50" s="27">
        <v>30774</v>
      </c>
      <c r="B50" s="55">
        <v>6.75</v>
      </c>
      <c r="C50" s="99">
        <f t="shared" si="0"/>
        <v>0.1875</v>
      </c>
      <c r="D50" s="55">
        <f t="shared" si="6"/>
        <v>0</v>
      </c>
      <c r="E50" s="55">
        <f t="shared" si="2"/>
        <v>0.17123777990039676</v>
      </c>
      <c r="F50" s="55">
        <f t="shared" si="3"/>
        <v>4.5221556987201213E-2</v>
      </c>
      <c r="G50" s="55">
        <f t="shared" si="7"/>
        <v>3.7866405163550909</v>
      </c>
      <c r="H50" s="55">
        <f t="shared" si="5"/>
        <v>79.108520964062805</v>
      </c>
      <c r="I50" s="111"/>
      <c r="J50" s="57"/>
      <c r="K50" s="2"/>
      <c r="N50" s="4"/>
    </row>
    <row r="51" spans="1:14">
      <c r="A51" s="27">
        <v>30775</v>
      </c>
      <c r="B51" s="55">
        <v>6.7031999999999998</v>
      </c>
      <c r="C51" s="99">
        <f t="shared" si="0"/>
        <v>0</v>
      </c>
      <c r="D51" s="55">
        <f t="shared" si="6"/>
        <v>0.125</v>
      </c>
      <c r="E51" s="55">
        <f t="shared" si="2"/>
        <v>0.14983305741284716</v>
      </c>
      <c r="F51" s="55">
        <f t="shared" si="3"/>
        <v>5.5193862363801062E-2</v>
      </c>
      <c r="G51" s="55">
        <f t="shared" si="7"/>
        <v>2.7146688235957788</v>
      </c>
      <c r="H51" s="55">
        <f t="shared" si="5"/>
        <v>73.07969976629019</v>
      </c>
      <c r="I51" s="111"/>
      <c r="J51" s="57"/>
      <c r="K51" s="2"/>
      <c r="N51" s="4"/>
    </row>
    <row r="52" spans="1:14">
      <c r="A52" s="2"/>
      <c r="C52" s="10"/>
      <c r="D52" s="4"/>
      <c r="E52" s="4"/>
      <c r="F52" s="4"/>
      <c r="G52" s="4"/>
      <c r="H52" s="4"/>
    </row>
    <row r="53" spans="1:14">
      <c r="A53" s="2"/>
      <c r="C53" s="10"/>
      <c r="D53" s="4"/>
      <c r="E53" s="4"/>
      <c r="F53" s="4"/>
      <c r="G53" s="4"/>
      <c r="H53" s="4"/>
    </row>
    <row r="54" spans="1:14" ht="33" customHeight="1">
      <c r="A54" s="447" t="s">
        <v>94</v>
      </c>
      <c r="B54" s="447"/>
      <c r="C54" s="447"/>
      <c r="D54" s="447"/>
      <c r="E54" s="447"/>
      <c r="F54" s="447"/>
      <c r="G54" s="447"/>
      <c r="H54" s="447"/>
      <c r="I54" s="447"/>
      <c r="J54" s="447"/>
    </row>
    <row r="55" spans="1:14" ht="49.5" customHeight="1">
      <c r="A55" s="447" t="s">
        <v>95</v>
      </c>
      <c r="B55" s="447"/>
      <c r="C55" s="447"/>
      <c r="D55" s="447"/>
      <c r="E55" s="447"/>
      <c r="F55" s="447"/>
      <c r="G55" s="447"/>
      <c r="H55" s="447"/>
      <c r="I55" s="447"/>
      <c r="J55" s="447"/>
    </row>
    <row r="56" spans="1:14" ht="15">
      <c r="A56" s="241" t="s">
        <v>99</v>
      </c>
      <c r="C56" s="10"/>
      <c r="D56" s="4"/>
      <c r="E56" s="4"/>
      <c r="F56" s="4"/>
      <c r="G56" s="4"/>
      <c r="H56" s="4"/>
    </row>
    <row r="57" spans="1:14" ht="15">
      <c r="A57" s="241" t="s">
        <v>96</v>
      </c>
      <c r="C57" s="10"/>
      <c r="D57" s="4"/>
      <c r="E57" s="4"/>
      <c r="F57" s="4"/>
      <c r="G57" s="4"/>
      <c r="H57" s="4"/>
    </row>
    <row r="58" spans="1:14" ht="15">
      <c r="A58" s="241" t="s">
        <v>97</v>
      </c>
      <c r="C58" s="10"/>
      <c r="D58" s="4"/>
      <c r="E58" s="4"/>
      <c r="F58" s="4"/>
      <c r="G58" s="4"/>
      <c r="H58" s="4"/>
    </row>
    <row r="59" spans="1:14" ht="15">
      <c r="A59" s="241" t="s">
        <v>98</v>
      </c>
      <c r="C59" s="10"/>
      <c r="D59" s="4"/>
      <c r="E59" s="4"/>
      <c r="F59" s="4"/>
      <c r="G59" s="4"/>
      <c r="H59" s="4"/>
    </row>
    <row r="60" spans="1:14">
      <c r="A60" s="2"/>
      <c r="C60" s="10"/>
      <c r="D60" s="4"/>
      <c r="E60" s="4"/>
      <c r="F60" s="4"/>
      <c r="G60" s="4"/>
      <c r="H60" s="4"/>
    </row>
    <row r="61" spans="1:14">
      <c r="A61" s="2"/>
      <c r="C61" s="10"/>
      <c r="D61" s="4"/>
      <c r="E61" s="4"/>
      <c r="F61" s="4"/>
      <c r="G61" s="4"/>
      <c r="H61" s="4"/>
    </row>
    <row r="62" spans="1:14">
      <c r="A62" s="2"/>
      <c r="C62" s="10"/>
      <c r="D62" s="4"/>
      <c r="E62" s="4"/>
      <c r="F62" s="4"/>
      <c r="G62" s="4"/>
      <c r="H62" s="4"/>
    </row>
    <row r="63" spans="1:14">
      <c r="A63" s="2"/>
      <c r="C63" s="10"/>
      <c r="D63" s="4"/>
      <c r="E63" s="4"/>
      <c r="F63" s="4"/>
      <c r="G63" s="4"/>
      <c r="H63" s="4"/>
    </row>
    <row r="64" spans="1:14">
      <c r="A64" s="2"/>
      <c r="C64" s="10"/>
      <c r="D64" s="4"/>
      <c r="E64" s="4"/>
      <c r="F64" s="4"/>
      <c r="G64" s="4"/>
      <c r="H64" s="4"/>
    </row>
    <row r="65" spans="1:8">
      <c r="A65" s="2"/>
      <c r="C65" s="10"/>
      <c r="D65" s="4"/>
      <c r="E65" s="4"/>
      <c r="F65" s="4"/>
      <c r="G65" s="4"/>
      <c r="H65" s="4"/>
    </row>
    <row r="66" spans="1:8">
      <c r="A66" s="2"/>
      <c r="C66" s="10"/>
      <c r="D66" s="4"/>
      <c r="E66" s="4"/>
      <c r="F66" s="4"/>
      <c r="G66" s="4"/>
      <c r="H66" s="4"/>
    </row>
    <row r="67" spans="1:8">
      <c r="A67" s="2"/>
      <c r="C67" s="10"/>
      <c r="D67" s="4"/>
      <c r="E67" s="4"/>
      <c r="F67" s="4"/>
      <c r="G67" s="4"/>
      <c r="H67" s="4"/>
    </row>
    <row r="68" spans="1:8">
      <c r="A68" s="2"/>
      <c r="C68" s="10"/>
      <c r="D68" s="4"/>
      <c r="E68" s="4"/>
      <c r="F68" s="4"/>
      <c r="G68" s="4"/>
      <c r="H68" s="4"/>
    </row>
    <row r="69" spans="1:8">
      <c r="A69" s="2"/>
      <c r="C69" s="10"/>
      <c r="D69" s="4"/>
      <c r="E69" s="4"/>
      <c r="F69" s="4"/>
      <c r="G69" s="4"/>
      <c r="H69" s="4"/>
    </row>
    <row r="70" spans="1:8">
      <c r="A70" s="2"/>
      <c r="C70" s="10"/>
      <c r="D70" s="4"/>
      <c r="E70" s="4"/>
      <c r="F70" s="4"/>
      <c r="G70" s="4"/>
      <c r="H70" s="4"/>
    </row>
    <row r="71" spans="1:8">
      <c r="A71" s="2"/>
      <c r="C71" s="10"/>
      <c r="D71" s="4"/>
      <c r="E71" s="4"/>
      <c r="F71" s="4"/>
      <c r="G71" s="4"/>
      <c r="H71" s="4"/>
    </row>
    <row r="72" spans="1:8">
      <c r="A72" s="2"/>
      <c r="C72" s="10"/>
      <c r="D72" s="4"/>
      <c r="E72" s="4"/>
      <c r="F72" s="4"/>
      <c r="G72" s="4"/>
      <c r="H72" s="4"/>
    </row>
    <row r="73" spans="1:8">
      <c r="A73" s="2"/>
      <c r="C73" s="10"/>
      <c r="D73" s="4"/>
      <c r="E73" s="4"/>
      <c r="F73" s="4"/>
      <c r="G73" s="4"/>
      <c r="H73" s="4"/>
    </row>
    <row r="74" spans="1:8">
      <c r="A74" s="2"/>
      <c r="C74" s="10"/>
      <c r="D74" s="4"/>
      <c r="E74" s="4"/>
      <c r="F74" s="4"/>
      <c r="G74" s="4"/>
      <c r="H74" s="4"/>
    </row>
    <row r="75" spans="1:8">
      <c r="A75" s="2"/>
      <c r="C75" s="10"/>
      <c r="D75" s="4"/>
      <c r="E75" s="4"/>
      <c r="F75" s="4"/>
      <c r="G75" s="4"/>
      <c r="H75" s="4"/>
    </row>
    <row r="76" spans="1:8">
      <c r="A76" s="2"/>
      <c r="C76" s="10"/>
      <c r="D76" s="4"/>
      <c r="E76" s="4"/>
      <c r="F76" s="4"/>
      <c r="G76" s="4"/>
      <c r="H76" s="4"/>
    </row>
    <row r="77" spans="1:8">
      <c r="A77" s="2"/>
      <c r="C77" s="10"/>
      <c r="D77" s="4"/>
      <c r="E77" s="4"/>
      <c r="F77" s="4"/>
      <c r="G77" s="4"/>
      <c r="H77" s="4"/>
    </row>
    <row r="78" spans="1:8">
      <c r="A78" s="2"/>
      <c r="C78" s="10"/>
      <c r="D78" s="4"/>
      <c r="E78" s="4"/>
      <c r="F78" s="4"/>
      <c r="G78" s="4"/>
      <c r="H78" s="4"/>
    </row>
    <row r="79" spans="1:8">
      <c r="A79" s="2"/>
      <c r="C79" s="10"/>
      <c r="D79" s="4"/>
      <c r="E79" s="4"/>
      <c r="F79" s="4"/>
      <c r="G79" s="4"/>
      <c r="H79" s="4"/>
    </row>
    <row r="80" spans="1:8">
      <c r="A80" s="2"/>
      <c r="C80" s="10"/>
      <c r="D80" s="4"/>
      <c r="E80" s="4"/>
      <c r="F80" s="4"/>
      <c r="G80" s="4"/>
      <c r="H80" s="4"/>
    </row>
    <row r="81" spans="1:8">
      <c r="A81" s="2"/>
      <c r="C81" s="10"/>
      <c r="D81" s="4"/>
      <c r="E81" s="4"/>
      <c r="F81" s="4"/>
      <c r="G81" s="4"/>
      <c r="H81" s="4"/>
    </row>
    <row r="82" spans="1:8">
      <c r="A82" s="2"/>
      <c r="C82" s="10"/>
      <c r="D82" s="4"/>
      <c r="E82" s="4"/>
      <c r="F82" s="4"/>
      <c r="G82" s="4"/>
      <c r="H82" s="4"/>
    </row>
    <row r="83" spans="1:8">
      <c r="A83" s="2"/>
      <c r="C83" s="10"/>
      <c r="D83" s="4"/>
      <c r="E83" s="4"/>
      <c r="F83" s="4"/>
      <c r="G83" s="4"/>
      <c r="H83" s="4"/>
    </row>
    <row r="84" spans="1:8">
      <c r="A84" s="2"/>
      <c r="C84" s="10"/>
      <c r="D84" s="4"/>
      <c r="E84" s="4"/>
      <c r="F84" s="4"/>
      <c r="G84" s="4"/>
      <c r="H84" s="4"/>
    </row>
    <row r="85" spans="1:8">
      <c r="A85" s="2"/>
      <c r="C85" s="10"/>
      <c r="D85" s="4"/>
      <c r="E85" s="4"/>
      <c r="F85" s="4"/>
      <c r="G85" s="4"/>
      <c r="H85" s="4"/>
    </row>
    <row r="86" spans="1:8">
      <c r="A86" s="2"/>
      <c r="C86" s="10"/>
      <c r="D86" s="4"/>
      <c r="E86" s="4"/>
      <c r="F86" s="4"/>
      <c r="G86" s="4"/>
      <c r="H86" s="4"/>
    </row>
    <row r="87" spans="1:8">
      <c r="A87" s="2"/>
      <c r="C87" s="10"/>
      <c r="D87" s="4"/>
      <c r="E87" s="4"/>
      <c r="F87" s="4"/>
      <c r="G87" s="4"/>
      <c r="H87" s="4"/>
    </row>
    <row r="88" spans="1:8">
      <c r="A88" s="2"/>
      <c r="C88" s="10"/>
      <c r="D88" s="4"/>
      <c r="E88" s="4"/>
      <c r="F88" s="4"/>
      <c r="G88" s="4"/>
      <c r="H88" s="4"/>
    </row>
    <row r="89" spans="1:8">
      <c r="A89" s="2"/>
      <c r="C89" s="10"/>
      <c r="D89" s="4"/>
      <c r="E89" s="4"/>
      <c r="F89" s="4"/>
      <c r="G89" s="4"/>
      <c r="H89" s="4"/>
    </row>
    <row r="90" spans="1:8">
      <c r="A90" s="2"/>
      <c r="C90" s="10"/>
      <c r="D90" s="4"/>
      <c r="E90" s="4"/>
      <c r="F90" s="4"/>
      <c r="G90" s="4"/>
      <c r="H90" s="4"/>
    </row>
    <row r="91" spans="1:8">
      <c r="A91" s="2"/>
      <c r="C91" s="10"/>
      <c r="D91" s="4"/>
      <c r="E91" s="4"/>
      <c r="F91" s="4"/>
      <c r="G91" s="4"/>
      <c r="H91" s="4"/>
    </row>
    <row r="92" spans="1:8">
      <c r="A92" s="2"/>
      <c r="C92" s="10"/>
      <c r="D92" s="4"/>
      <c r="E92" s="4"/>
      <c r="F92" s="4"/>
      <c r="G92" s="4"/>
      <c r="H92" s="4"/>
    </row>
    <row r="93" spans="1:8">
      <c r="A93" s="2"/>
      <c r="C93" s="10"/>
      <c r="D93" s="4"/>
      <c r="E93" s="4"/>
      <c r="F93" s="4"/>
      <c r="G93" s="4"/>
      <c r="H93" s="4"/>
    </row>
    <row r="94" spans="1:8">
      <c r="A94" s="2"/>
      <c r="C94" s="10"/>
      <c r="D94" s="4"/>
      <c r="E94" s="4"/>
      <c r="F94" s="4"/>
      <c r="G94" s="4"/>
      <c r="H94" s="4"/>
    </row>
    <row r="95" spans="1:8">
      <c r="A95" s="2"/>
      <c r="C95" s="10"/>
      <c r="D95" s="4"/>
      <c r="E95" s="4"/>
      <c r="F95" s="4"/>
      <c r="G95" s="4"/>
      <c r="H95" s="4"/>
    </row>
    <row r="96" spans="1:8">
      <c r="A96" s="2"/>
      <c r="C96" s="10"/>
      <c r="D96" s="4"/>
      <c r="E96" s="4"/>
      <c r="F96" s="4"/>
      <c r="G96" s="4"/>
      <c r="H96" s="4"/>
    </row>
    <row r="97" spans="1:8">
      <c r="A97" s="2"/>
      <c r="C97" s="10"/>
      <c r="D97" s="4"/>
      <c r="E97" s="4"/>
      <c r="F97" s="4"/>
      <c r="G97" s="4"/>
      <c r="H97" s="4"/>
    </row>
    <row r="98" spans="1:8">
      <c r="A98" s="2"/>
      <c r="C98" s="10"/>
      <c r="D98" s="4"/>
      <c r="E98" s="4"/>
      <c r="F98" s="4"/>
      <c r="G98" s="4"/>
      <c r="H98" s="4"/>
    </row>
    <row r="99" spans="1:8">
      <c r="A99" s="2"/>
      <c r="C99" s="10"/>
      <c r="D99" s="4"/>
      <c r="E99" s="4"/>
      <c r="F99" s="4"/>
      <c r="G99" s="4"/>
      <c r="H99" s="4"/>
    </row>
    <row r="100" spans="1:8">
      <c r="A100" s="2"/>
      <c r="C100" s="10"/>
      <c r="D100" s="4"/>
      <c r="E100" s="4"/>
      <c r="F100" s="4"/>
      <c r="G100" s="4"/>
      <c r="H100" s="4"/>
    </row>
    <row r="101" spans="1:8">
      <c r="A101" s="2"/>
      <c r="C101" s="10"/>
      <c r="D101" s="4"/>
      <c r="E101" s="4"/>
      <c r="F101" s="4"/>
      <c r="G101" s="4"/>
      <c r="H101" s="4"/>
    </row>
    <row r="102" spans="1:8">
      <c r="A102" s="2"/>
      <c r="C102" s="10"/>
      <c r="D102" s="4"/>
      <c r="E102" s="4"/>
      <c r="F102" s="4"/>
      <c r="G102" s="4"/>
      <c r="H102" s="4"/>
    </row>
    <row r="103" spans="1:8">
      <c r="A103" s="2"/>
      <c r="C103" s="10"/>
      <c r="D103" s="4"/>
      <c r="E103" s="4"/>
      <c r="F103" s="4"/>
      <c r="G103" s="4"/>
      <c r="H103" s="4"/>
    </row>
    <row r="104" spans="1:8">
      <c r="A104" s="2"/>
      <c r="C104" s="10"/>
      <c r="D104" s="4"/>
      <c r="E104" s="4"/>
      <c r="F104" s="4"/>
      <c r="G104" s="4"/>
      <c r="H104" s="4"/>
    </row>
    <row r="105" spans="1:8">
      <c r="A105" s="2"/>
      <c r="C105" s="10"/>
      <c r="D105" s="4"/>
      <c r="E105" s="4"/>
      <c r="F105" s="4"/>
      <c r="G105" s="4"/>
      <c r="H105" s="4"/>
    </row>
    <row r="106" spans="1:8">
      <c r="A106" s="2"/>
      <c r="C106" s="10"/>
      <c r="D106" s="4"/>
      <c r="E106" s="4"/>
      <c r="F106" s="4"/>
      <c r="G106" s="4"/>
      <c r="H106" s="4"/>
    </row>
    <row r="107" spans="1:8">
      <c r="A107" s="2"/>
      <c r="C107" s="10"/>
      <c r="D107" s="4"/>
      <c r="E107" s="4"/>
      <c r="F107" s="4"/>
      <c r="G107" s="4"/>
      <c r="H107" s="4"/>
    </row>
    <row r="108" spans="1:8">
      <c r="A108" s="2"/>
      <c r="C108" s="10"/>
      <c r="D108" s="4"/>
      <c r="E108" s="4"/>
      <c r="F108" s="4"/>
      <c r="G108" s="4"/>
      <c r="H108" s="4"/>
    </row>
    <row r="109" spans="1:8">
      <c r="A109" s="2"/>
      <c r="C109" s="10"/>
      <c r="D109" s="4"/>
      <c r="E109" s="4"/>
      <c r="F109" s="4"/>
      <c r="G109" s="4"/>
      <c r="H109" s="4"/>
    </row>
    <row r="110" spans="1:8">
      <c r="A110" s="2"/>
      <c r="C110" s="10"/>
      <c r="D110" s="4"/>
      <c r="E110" s="4"/>
      <c r="F110" s="4"/>
      <c r="G110" s="4"/>
      <c r="H110" s="4"/>
    </row>
    <row r="111" spans="1:8">
      <c r="A111" s="2"/>
      <c r="C111" s="10"/>
      <c r="D111" s="4"/>
      <c r="E111" s="4"/>
      <c r="F111" s="4"/>
      <c r="G111" s="4"/>
      <c r="H111" s="4"/>
    </row>
    <row r="112" spans="1:8">
      <c r="A112" s="2"/>
      <c r="C112" s="10"/>
      <c r="D112" s="4"/>
      <c r="E112" s="4"/>
      <c r="F112" s="4"/>
      <c r="G112" s="4"/>
      <c r="H112" s="4"/>
    </row>
    <row r="113" spans="1:8">
      <c r="A113" s="2"/>
      <c r="C113" s="10"/>
      <c r="D113" s="4"/>
      <c r="E113" s="4"/>
      <c r="F113" s="4"/>
      <c r="G113" s="4"/>
      <c r="H113" s="4"/>
    </row>
    <row r="114" spans="1:8">
      <c r="A114" s="2"/>
      <c r="C114" s="10"/>
      <c r="D114" s="4"/>
      <c r="E114" s="4"/>
      <c r="F114" s="4"/>
      <c r="G114" s="4"/>
      <c r="H114" s="4"/>
    </row>
    <row r="115" spans="1:8">
      <c r="A115" s="2"/>
      <c r="C115" s="10"/>
      <c r="D115" s="4"/>
      <c r="E115" s="4"/>
      <c r="F115" s="4"/>
      <c r="G115" s="4"/>
      <c r="H115" s="4"/>
    </row>
    <row r="116" spans="1:8">
      <c r="A116" s="2"/>
      <c r="C116" s="10"/>
      <c r="D116" s="4"/>
      <c r="E116" s="4"/>
      <c r="F116" s="4"/>
      <c r="G116" s="4"/>
      <c r="H116" s="4"/>
    </row>
    <row r="117" spans="1:8">
      <c r="A117" s="2"/>
      <c r="C117" s="10"/>
      <c r="D117" s="4"/>
      <c r="E117" s="4"/>
      <c r="F117" s="4"/>
      <c r="G117" s="4"/>
      <c r="H117" s="4"/>
    </row>
    <row r="118" spans="1:8">
      <c r="A118" s="2"/>
      <c r="C118" s="10"/>
      <c r="D118" s="4"/>
      <c r="E118" s="4"/>
      <c r="F118" s="4"/>
      <c r="G118" s="4"/>
      <c r="H118" s="4"/>
    </row>
    <row r="119" spans="1:8">
      <c r="A119" s="2"/>
      <c r="C119" s="10"/>
      <c r="D119" s="4"/>
      <c r="E119" s="4"/>
      <c r="F119" s="4"/>
      <c r="G119" s="4"/>
      <c r="H119" s="4"/>
    </row>
    <row r="120" spans="1:8">
      <c r="A120" s="2"/>
      <c r="C120" s="10"/>
      <c r="D120" s="4"/>
      <c r="E120" s="4"/>
      <c r="F120" s="4"/>
      <c r="G120" s="4"/>
      <c r="H120" s="4"/>
    </row>
    <row r="121" spans="1:8">
      <c r="A121" s="2"/>
      <c r="C121" s="10"/>
      <c r="D121" s="4"/>
      <c r="E121" s="4"/>
      <c r="F121" s="4"/>
      <c r="G121" s="4"/>
      <c r="H121" s="4"/>
    </row>
    <row r="122" spans="1:8">
      <c r="A122" s="2"/>
      <c r="C122" s="10"/>
      <c r="D122" s="4"/>
      <c r="E122" s="4"/>
      <c r="F122" s="4"/>
      <c r="G122" s="4"/>
      <c r="H122" s="4"/>
    </row>
    <row r="123" spans="1:8">
      <c r="A123" s="2"/>
      <c r="C123" s="10"/>
      <c r="D123" s="4"/>
      <c r="E123" s="4"/>
      <c r="F123" s="4"/>
      <c r="G123" s="4"/>
      <c r="H123" s="4"/>
    </row>
    <row r="124" spans="1:8">
      <c r="A124" s="2"/>
      <c r="C124" s="10"/>
      <c r="D124" s="4"/>
      <c r="E124" s="4"/>
      <c r="F124" s="4"/>
      <c r="G124" s="4"/>
      <c r="H124" s="4"/>
    </row>
    <row r="125" spans="1:8">
      <c r="A125" s="2"/>
      <c r="C125" s="10"/>
      <c r="D125" s="4"/>
      <c r="E125" s="4"/>
      <c r="F125" s="4"/>
      <c r="G125" s="4"/>
      <c r="H125" s="4"/>
    </row>
    <row r="126" spans="1:8">
      <c r="A126" s="2"/>
      <c r="C126" s="10"/>
      <c r="D126" s="4"/>
      <c r="E126" s="4"/>
      <c r="F126" s="4"/>
      <c r="G126" s="4"/>
      <c r="H126" s="4"/>
    </row>
    <row r="127" spans="1:8">
      <c r="A127" s="2"/>
      <c r="C127" s="10"/>
      <c r="D127" s="4"/>
      <c r="E127" s="4"/>
      <c r="F127" s="4"/>
      <c r="G127" s="4"/>
      <c r="H127" s="4"/>
    </row>
    <row r="128" spans="1:8">
      <c r="A128" s="2"/>
      <c r="C128" s="10"/>
      <c r="D128" s="4"/>
      <c r="E128" s="4"/>
      <c r="F128" s="4"/>
      <c r="G128" s="4"/>
      <c r="H128" s="4"/>
    </row>
    <row r="129" spans="1:8">
      <c r="A129" s="2"/>
      <c r="C129" s="10"/>
      <c r="D129" s="4"/>
      <c r="E129" s="4"/>
      <c r="F129" s="4"/>
      <c r="G129" s="4"/>
      <c r="H129" s="4"/>
    </row>
    <row r="130" spans="1:8">
      <c r="A130" s="2"/>
      <c r="C130" s="10"/>
      <c r="D130" s="4"/>
      <c r="E130" s="4"/>
      <c r="F130" s="4"/>
      <c r="G130" s="4"/>
      <c r="H130" s="4"/>
    </row>
    <row r="131" spans="1:8">
      <c r="A131" s="2"/>
      <c r="C131" s="10"/>
      <c r="D131" s="4"/>
      <c r="E131" s="4"/>
      <c r="F131" s="4"/>
      <c r="G131" s="4"/>
      <c r="H131" s="4"/>
    </row>
    <row r="132" spans="1:8">
      <c r="A132" s="2"/>
      <c r="C132" s="10"/>
      <c r="D132" s="4"/>
      <c r="E132" s="4"/>
      <c r="F132" s="4"/>
      <c r="G132" s="4"/>
      <c r="H132" s="4"/>
    </row>
    <row r="133" spans="1:8">
      <c r="A133" s="2"/>
      <c r="C133" s="10"/>
      <c r="D133" s="4"/>
      <c r="E133" s="4"/>
      <c r="F133" s="4"/>
      <c r="G133" s="4"/>
      <c r="H133" s="4"/>
    </row>
    <row r="134" spans="1:8">
      <c r="A134" s="2"/>
      <c r="C134" s="10"/>
      <c r="D134" s="4"/>
      <c r="E134" s="4"/>
      <c r="F134" s="4"/>
      <c r="G134" s="4"/>
      <c r="H134" s="4"/>
    </row>
    <row r="135" spans="1:8">
      <c r="A135" s="2"/>
      <c r="C135" s="10"/>
      <c r="D135" s="4"/>
      <c r="E135" s="4"/>
      <c r="F135" s="4"/>
      <c r="G135" s="4"/>
      <c r="H135" s="4"/>
    </row>
    <row r="136" spans="1:8">
      <c r="A136" s="2"/>
      <c r="C136" s="10"/>
      <c r="D136" s="4"/>
      <c r="E136" s="4"/>
      <c r="F136" s="4"/>
      <c r="G136" s="4"/>
      <c r="H136" s="4"/>
    </row>
    <row r="137" spans="1:8">
      <c r="A137" s="2"/>
      <c r="C137" s="10"/>
      <c r="D137" s="4"/>
      <c r="E137" s="4"/>
      <c r="F137" s="4"/>
      <c r="G137" s="4"/>
      <c r="H137" s="4"/>
    </row>
    <row r="138" spans="1:8">
      <c r="A138" s="2"/>
      <c r="C138" s="10"/>
      <c r="D138" s="4"/>
      <c r="E138" s="4"/>
      <c r="F138" s="4"/>
      <c r="G138" s="4"/>
      <c r="H138" s="4"/>
    </row>
    <row r="139" spans="1:8">
      <c r="A139" s="2"/>
      <c r="C139" s="10"/>
      <c r="D139" s="4"/>
      <c r="E139" s="4"/>
      <c r="F139" s="4"/>
      <c r="G139" s="4"/>
      <c r="H139" s="4"/>
    </row>
    <row r="140" spans="1:8">
      <c r="A140" s="2"/>
      <c r="C140" s="10"/>
      <c r="D140" s="4"/>
      <c r="E140" s="4"/>
      <c r="F140" s="4"/>
      <c r="G140" s="4"/>
      <c r="H140" s="4"/>
    </row>
    <row r="141" spans="1:8">
      <c r="A141" s="2"/>
      <c r="C141" s="10"/>
      <c r="D141" s="4"/>
      <c r="E141" s="4"/>
      <c r="F141" s="4"/>
      <c r="G141" s="4"/>
      <c r="H141" s="4"/>
    </row>
    <row r="142" spans="1:8">
      <c r="A142" s="2"/>
      <c r="C142" s="10"/>
      <c r="D142" s="4"/>
      <c r="E142" s="4"/>
      <c r="F142" s="4"/>
      <c r="G142" s="4"/>
      <c r="H142" s="4"/>
    </row>
    <row r="143" spans="1:8">
      <c r="A143" s="2"/>
      <c r="C143" s="10"/>
      <c r="D143" s="4"/>
      <c r="E143" s="4"/>
      <c r="F143" s="4"/>
      <c r="G143" s="4"/>
      <c r="H143" s="4"/>
    </row>
    <row r="144" spans="1:8">
      <c r="A144" s="2"/>
      <c r="C144" s="10"/>
      <c r="D144" s="4"/>
      <c r="E144" s="4"/>
      <c r="F144" s="4"/>
      <c r="G144" s="4"/>
      <c r="H144" s="4"/>
    </row>
    <row r="145" spans="1:8">
      <c r="A145" s="2"/>
      <c r="C145" s="10"/>
      <c r="D145" s="4"/>
      <c r="E145" s="4"/>
      <c r="F145" s="4"/>
      <c r="G145" s="4"/>
      <c r="H145" s="4"/>
    </row>
    <row r="146" spans="1:8">
      <c r="A146" s="2"/>
      <c r="C146" s="10"/>
      <c r="D146" s="4"/>
      <c r="E146" s="4"/>
      <c r="F146" s="4"/>
      <c r="G146" s="4"/>
      <c r="H146" s="4"/>
    </row>
    <row r="147" spans="1:8">
      <c r="A147" s="2"/>
      <c r="C147" s="10"/>
      <c r="D147" s="4"/>
      <c r="E147" s="4"/>
      <c r="F147" s="4"/>
      <c r="G147" s="4"/>
      <c r="H147" s="4"/>
    </row>
    <row r="148" spans="1:8">
      <c r="A148" s="2"/>
      <c r="C148" s="10"/>
      <c r="D148" s="4"/>
      <c r="E148" s="4"/>
      <c r="F148" s="4"/>
      <c r="G148" s="4"/>
      <c r="H148" s="4"/>
    </row>
    <row r="149" spans="1:8">
      <c r="A149" s="2"/>
      <c r="C149" s="10"/>
      <c r="D149" s="4"/>
      <c r="E149" s="4"/>
      <c r="F149" s="4"/>
      <c r="G149" s="4"/>
      <c r="H149" s="4"/>
    </row>
    <row r="150" spans="1:8">
      <c r="A150" s="2"/>
      <c r="C150" s="10"/>
      <c r="D150" s="4"/>
      <c r="E150" s="4"/>
      <c r="F150" s="4"/>
      <c r="G150" s="4"/>
      <c r="H150" s="4"/>
    </row>
    <row r="151" spans="1:8">
      <c r="A151" s="2"/>
      <c r="C151" s="10"/>
      <c r="D151" s="4"/>
      <c r="E151" s="4"/>
      <c r="F151" s="4"/>
      <c r="G151" s="4"/>
      <c r="H151" s="4"/>
    </row>
    <row r="152" spans="1:8">
      <c r="A152" s="2"/>
      <c r="C152" s="10"/>
      <c r="D152" s="4"/>
      <c r="E152" s="4"/>
      <c r="F152" s="4"/>
      <c r="G152" s="4"/>
      <c r="H152" s="4"/>
    </row>
    <row r="153" spans="1:8">
      <c r="A153" s="2"/>
      <c r="C153" s="10"/>
      <c r="D153" s="4"/>
      <c r="E153" s="4"/>
      <c r="F153" s="4"/>
      <c r="G153" s="4"/>
      <c r="H153" s="4"/>
    </row>
    <row r="154" spans="1:8">
      <c r="A154" s="2"/>
      <c r="C154" s="10"/>
      <c r="D154" s="4"/>
      <c r="E154" s="4"/>
      <c r="F154" s="4"/>
      <c r="G154" s="4"/>
      <c r="H154" s="4"/>
    </row>
    <row r="155" spans="1:8">
      <c r="A155" s="2"/>
      <c r="C155" s="10"/>
      <c r="D155" s="4"/>
      <c r="E155" s="4"/>
      <c r="F155" s="4"/>
      <c r="G155" s="4"/>
      <c r="H155" s="4"/>
    </row>
    <row r="156" spans="1:8">
      <c r="A156" s="2"/>
      <c r="C156" s="10"/>
      <c r="D156" s="4"/>
      <c r="E156" s="4"/>
      <c r="F156" s="4"/>
      <c r="G156" s="4"/>
      <c r="H156" s="4"/>
    </row>
    <row r="157" spans="1:8">
      <c r="A157" s="2"/>
      <c r="C157" s="10"/>
      <c r="D157" s="4"/>
      <c r="E157" s="4"/>
      <c r="F157" s="4"/>
      <c r="G157" s="4"/>
      <c r="H157" s="4"/>
    </row>
    <row r="158" spans="1:8">
      <c r="A158" s="2"/>
      <c r="C158" s="10"/>
      <c r="D158" s="4"/>
      <c r="E158" s="4"/>
      <c r="F158" s="4"/>
      <c r="G158" s="4"/>
      <c r="H158" s="4"/>
    </row>
    <row r="159" spans="1:8">
      <c r="A159" s="2"/>
      <c r="C159" s="10"/>
      <c r="D159" s="4"/>
      <c r="E159" s="4"/>
      <c r="F159" s="4"/>
      <c r="G159" s="4"/>
      <c r="H159" s="4"/>
    </row>
    <row r="160" spans="1:8">
      <c r="A160" s="2"/>
      <c r="C160" s="10"/>
      <c r="D160" s="4"/>
      <c r="E160" s="4"/>
      <c r="F160" s="4"/>
      <c r="G160" s="4"/>
      <c r="H160" s="4"/>
    </row>
    <row r="161" spans="1:8">
      <c r="A161" s="2"/>
      <c r="C161" s="10"/>
      <c r="D161" s="4"/>
      <c r="E161" s="4"/>
      <c r="F161" s="4"/>
      <c r="G161" s="4"/>
      <c r="H161" s="4"/>
    </row>
    <row r="162" spans="1:8">
      <c r="A162" s="2"/>
      <c r="C162" s="10"/>
      <c r="D162" s="4"/>
      <c r="E162" s="4"/>
      <c r="F162" s="4"/>
      <c r="G162" s="4"/>
      <c r="H162" s="4"/>
    </row>
    <row r="163" spans="1:8">
      <c r="A163" s="2"/>
      <c r="C163" s="10"/>
      <c r="D163" s="4"/>
      <c r="E163" s="4"/>
      <c r="F163" s="4"/>
      <c r="G163" s="4"/>
      <c r="H163" s="4"/>
    </row>
    <row r="164" spans="1:8">
      <c r="A164" s="2"/>
      <c r="C164" s="10"/>
      <c r="D164" s="4"/>
      <c r="E164" s="4"/>
      <c r="F164" s="4"/>
      <c r="G164" s="4"/>
      <c r="H164" s="4"/>
    </row>
    <row r="165" spans="1:8">
      <c r="A165" s="2"/>
      <c r="C165" s="10"/>
      <c r="D165" s="4"/>
      <c r="E165" s="4"/>
      <c r="F165" s="4"/>
      <c r="G165" s="4"/>
      <c r="H165" s="4"/>
    </row>
    <row r="166" spans="1:8">
      <c r="A166" s="2"/>
      <c r="C166" s="10"/>
      <c r="D166" s="4"/>
      <c r="E166" s="4"/>
      <c r="F166" s="4"/>
      <c r="G166" s="4"/>
      <c r="H166" s="4"/>
    </row>
    <row r="167" spans="1:8">
      <c r="A167" s="2"/>
      <c r="C167" s="10"/>
      <c r="D167" s="4"/>
      <c r="E167" s="4"/>
      <c r="F167" s="4"/>
      <c r="G167" s="4"/>
      <c r="H167" s="4"/>
    </row>
    <row r="168" spans="1:8">
      <c r="A168" s="2"/>
      <c r="C168" s="10"/>
      <c r="D168" s="4"/>
      <c r="E168" s="4"/>
      <c r="F168" s="4"/>
      <c r="G168" s="4"/>
      <c r="H168" s="4"/>
    </row>
    <row r="169" spans="1:8">
      <c r="A169" s="2"/>
      <c r="C169" s="10"/>
      <c r="D169" s="4"/>
      <c r="E169" s="4"/>
      <c r="F169" s="4"/>
      <c r="G169" s="4"/>
      <c r="H169" s="4"/>
    </row>
    <row r="170" spans="1:8">
      <c r="A170" s="2"/>
      <c r="C170" s="10"/>
      <c r="D170" s="4"/>
      <c r="E170" s="4"/>
      <c r="F170" s="4"/>
      <c r="G170" s="4"/>
      <c r="H170" s="4"/>
    </row>
    <row r="171" spans="1:8">
      <c r="A171" s="2"/>
      <c r="C171" s="10"/>
      <c r="D171" s="4"/>
      <c r="E171" s="4"/>
      <c r="F171" s="4"/>
      <c r="G171" s="4"/>
      <c r="H171" s="4"/>
    </row>
    <row r="172" spans="1:8">
      <c r="A172" s="2"/>
      <c r="C172" s="10"/>
      <c r="D172" s="4"/>
      <c r="E172" s="4"/>
      <c r="F172" s="4"/>
      <c r="G172" s="4"/>
      <c r="H172" s="4"/>
    </row>
    <row r="173" spans="1:8">
      <c r="A173" s="2"/>
      <c r="C173" s="10"/>
      <c r="D173" s="4"/>
      <c r="E173" s="4"/>
      <c r="F173" s="4"/>
      <c r="G173" s="4"/>
      <c r="H173" s="4"/>
    </row>
    <row r="174" spans="1:8">
      <c r="A174" s="2"/>
      <c r="C174" s="10"/>
      <c r="D174" s="4"/>
      <c r="E174" s="4"/>
      <c r="F174" s="4"/>
      <c r="G174" s="4"/>
      <c r="H174" s="4"/>
    </row>
    <row r="175" spans="1:8">
      <c r="A175" s="2"/>
      <c r="C175" s="10"/>
      <c r="D175" s="4"/>
      <c r="E175" s="4"/>
      <c r="F175" s="4"/>
      <c r="G175" s="4"/>
      <c r="H175" s="4"/>
    </row>
    <row r="176" spans="1:8">
      <c r="A176" s="2"/>
      <c r="C176" s="10"/>
      <c r="D176" s="4"/>
      <c r="E176" s="4"/>
      <c r="F176" s="4"/>
      <c r="G176" s="4"/>
      <c r="H176" s="4"/>
    </row>
    <row r="177" spans="1:8">
      <c r="A177" s="2"/>
      <c r="C177" s="10"/>
      <c r="D177" s="4"/>
      <c r="E177" s="4"/>
      <c r="F177" s="4"/>
      <c r="G177" s="4"/>
      <c r="H177" s="4"/>
    </row>
    <row r="178" spans="1:8">
      <c r="A178" s="2"/>
      <c r="C178" s="10"/>
      <c r="D178" s="4"/>
      <c r="E178" s="4"/>
      <c r="F178" s="4"/>
      <c r="G178" s="4"/>
      <c r="H178" s="4"/>
    </row>
    <row r="179" spans="1:8">
      <c r="A179" s="2"/>
      <c r="C179" s="10"/>
      <c r="D179" s="4"/>
      <c r="E179" s="4"/>
      <c r="F179" s="4"/>
      <c r="G179" s="4"/>
      <c r="H179" s="4"/>
    </row>
    <row r="180" spans="1:8">
      <c r="A180" s="2"/>
      <c r="C180" s="10"/>
      <c r="D180" s="4"/>
      <c r="E180" s="4"/>
      <c r="F180" s="4"/>
      <c r="G180" s="4"/>
      <c r="H180" s="4"/>
    </row>
    <row r="181" spans="1:8">
      <c r="A181" s="2"/>
      <c r="C181" s="10"/>
      <c r="D181" s="4"/>
      <c r="E181" s="4"/>
      <c r="F181" s="4"/>
      <c r="G181" s="4"/>
      <c r="H181" s="4"/>
    </row>
    <row r="182" spans="1:8">
      <c r="A182" s="2"/>
      <c r="C182" s="10"/>
      <c r="D182" s="4"/>
      <c r="E182" s="4"/>
      <c r="F182" s="4"/>
      <c r="G182" s="4"/>
      <c r="H182" s="4"/>
    </row>
    <row r="183" spans="1:8">
      <c r="A183" s="2"/>
      <c r="C183" s="10"/>
      <c r="D183" s="4"/>
      <c r="E183" s="4"/>
      <c r="F183" s="4"/>
      <c r="G183" s="4"/>
      <c r="H183" s="4"/>
    </row>
    <row r="184" spans="1:8">
      <c r="A184" s="2"/>
      <c r="C184" s="10"/>
      <c r="D184" s="4"/>
      <c r="E184" s="4"/>
      <c r="F184" s="4"/>
      <c r="G184" s="4"/>
      <c r="H184" s="4"/>
    </row>
    <row r="185" spans="1:8">
      <c r="A185" s="2"/>
      <c r="C185" s="10"/>
      <c r="D185" s="4"/>
      <c r="E185" s="4"/>
      <c r="F185" s="4"/>
      <c r="G185" s="4"/>
      <c r="H185" s="4"/>
    </row>
    <row r="186" spans="1:8">
      <c r="A186" s="2"/>
      <c r="C186" s="10"/>
      <c r="D186" s="4"/>
      <c r="E186" s="4"/>
      <c r="F186" s="4"/>
      <c r="G186" s="4"/>
      <c r="H186" s="4"/>
    </row>
    <row r="187" spans="1:8">
      <c r="A187" s="2"/>
      <c r="C187" s="10"/>
      <c r="D187" s="4"/>
      <c r="E187" s="4"/>
      <c r="F187" s="4"/>
      <c r="G187" s="4"/>
      <c r="H187" s="4"/>
    </row>
    <row r="188" spans="1:8">
      <c r="A188" s="2"/>
      <c r="C188" s="10"/>
      <c r="D188" s="4"/>
      <c r="E188" s="4"/>
      <c r="F188" s="4"/>
      <c r="G188" s="4"/>
      <c r="H188" s="4"/>
    </row>
    <row r="189" spans="1:8">
      <c r="A189" s="2"/>
      <c r="C189" s="10"/>
      <c r="D189" s="4"/>
      <c r="E189" s="4"/>
      <c r="F189" s="4"/>
      <c r="G189" s="4"/>
      <c r="H189" s="4"/>
    </row>
    <row r="190" spans="1:8">
      <c r="A190" s="2"/>
      <c r="C190" s="10"/>
      <c r="D190" s="4"/>
      <c r="E190" s="4"/>
      <c r="F190" s="4"/>
      <c r="G190" s="4"/>
      <c r="H190" s="4"/>
    </row>
    <row r="191" spans="1:8">
      <c r="A191" s="2"/>
      <c r="C191" s="10"/>
      <c r="D191" s="4"/>
      <c r="E191" s="4"/>
      <c r="F191" s="4"/>
      <c r="G191" s="4"/>
      <c r="H191" s="4"/>
    </row>
    <row r="192" spans="1:8">
      <c r="A192" s="2"/>
      <c r="C192" s="10"/>
      <c r="D192" s="4"/>
      <c r="E192" s="4"/>
      <c r="F192" s="4"/>
      <c r="G192" s="4"/>
      <c r="H192" s="4"/>
    </row>
    <row r="193" spans="1:8">
      <c r="A193" s="2"/>
      <c r="C193" s="10"/>
      <c r="D193" s="4"/>
      <c r="E193" s="4"/>
      <c r="F193" s="4"/>
      <c r="G193" s="4"/>
      <c r="H193" s="4"/>
    </row>
    <row r="194" spans="1:8">
      <c r="A194" s="2"/>
      <c r="C194" s="10"/>
      <c r="D194" s="4"/>
      <c r="E194" s="4"/>
      <c r="F194" s="4"/>
      <c r="G194" s="4"/>
      <c r="H194" s="4"/>
    </row>
    <row r="195" spans="1:8">
      <c r="A195" s="2"/>
      <c r="C195" s="10"/>
      <c r="D195" s="4"/>
      <c r="E195" s="4"/>
      <c r="F195" s="4"/>
      <c r="G195" s="4"/>
      <c r="H195" s="4"/>
    </row>
    <row r="196" spans="1:8">
      <c r="A196" s="2"/>
      <c r="C196" s="10"/>
      <c r="D196" s="4"/>
      <c r="E196" s="4"/>
      <c r="F196" s="4"/>
      <c r="G196" s="4"/>
      <c r="H196" s="4"/>
    </row>
    <row r="197" spans="1:8">
      <c r="A197" s="2"/>
      <c r="C197" s="10"/>
      <c r="D197" s="4"/>
      <c r="E197" s="4"/>
      <c r="F197" s="4"/>
      <c r="G197" s="4"/>
      <c r="H197" s="4"/>
    </row>
    <row r="198" spans="1:8">
      <c r="A198" s="2"/>
      <c r="C198" s="10"/>
      <c r="D198" s="4"/>
      <c r="E198" s="4"/>
      <c r="F198" s="4"/>
      <c r="G198" s="4"/>
      <c r="H198" s="4"/>
    </row>
    <row r="199" spans="1:8">
      <c r="A199" s="2"/>
      <c r="C199" s="10"/>
      <c r="D199" s="4"/>
      <c r="E199" s="4"/>
      <c r="F199" s="4"/>
      <c r="G199" s="4"/>
      <c r="H199" s="4"/>
    </row>
    <row r="200" spans="1:8">
      <c r="A200" s="2"/>
      <c r="C200" s="10"/>
      <c r="D200" s="4"/>
      <c r="E200" s="4"/>
      <c r="F200" s="4"/>
      <c r="G200" s="4"/>
      <c r="H200" s="4"/>
    </row>
    <row r="201" spans="1:8">
      <c r="A201" s="2"/>
      <c r="C201" s="10"/>
      <c r="D201" s="4"/>
      <c r="E201" s="4"/>
      <c r="F201" s="4"/>
      <c r="G201" s="4"/>
      <c r="H201" s="4"/>
    </row>
    <row r="202" spans="1:8">
      <c r="A202" s="2"/>
      <c r="C202" s="10"/>
      <c r="D202" s="4"/>
      <c r="E202" s="4"/>
      <c r="F202" s="4"/>
      <c r="G202" s="4"/>
      <c r="H202" s="4"/>
    </row>
    <row r="203" spans="1:8">
      <c r="A203" s="2"/>
      <c r="C203" s="10"/>
      <c r="D203" s="4"/>
      <c r="E203" s="4"/>
      <c r="F203" s="4"/>
      <c r="G203" s="4"/>
      <c r="H203" s="4"/>
    </row>
    <row r="204" spans="1:8">
      <c r="A204" s="2"/>
      <c r="C204" s="10"/>
      <c r="D204" s="4"/>
      <c r="E204" s="4"/>
      <c r="F204" s="4"/>
      <c r="G204" s="4"/>
      <c r="H204" s="4"/>
    </row>
    <row r="205" spans="1:8">
      <c r="A205" s="2"/>
      <c r="C205" s="10"/>
      <c r="D205" s="4"/>
      <c r="E205" s="4"/>
      <c r="F205" s="4"/>
      <c r="G205" s="4"/>
      <c r="H205" s="4"/>
    </row>
    <row r="206" spans="1:8">
      <c r="A206" s="2"/>
      <c r="C206" s="10"/>
      <c r="D206" s="4"/>
      <c r="E206" s="4"/>
      <c r="F206" s="4"/>
      <c r="G206" s="4"/>
      <c r="H206" s="4"/>
    </row>
    <row r="207" spans="1:8">
      <c r="A207" s="2"/>
      <c r="C207" s="10"/>
      <c r="D207" s="4"/>
      <c r="E207" s="4"/>
      <c r="F207" s="4"/>
      <c r="G207" s="4"/>
      <c r="H207" s="4"/>
    </row>
    <row r="208" spans="1:8">
      <c r="A208" s="2"/>
      <c r="C208" s="10"/>
      <c r="D208" s="4"/>
      <c r="E208" s="4"/>
      <c r="F208" s="4"/>
      <c r="G208" s="4"/>
      <c r="H208" s="4"/>
    </row>
    <row r="209" spans="1:8">
      <c r="A209" s="2"/>
      <c r="C209" s="10"/>
      <c r="D209" s="4"/>
      <c r="E209" s="4"/>
      <c r="F209" s="4"/>
      <c r="G209" s="4"/>
      <c r="H209" s="4"/>
    </row>
    <row r="210" spans="1:8">
      <c r="A210" s="2"/>
      <c r="C210" s="10"/>
      <c r="D210" s="4"/>
      <c r="E210" s="4"/>
      <c r="F210" s="4"/>
      <c r="G210" s="4"/>
      <c r="H210" s="4"/>
    </row>
    <row r="211" spans="1:8">
      <c r="A211" s="2"/>
      <c r="C211" s="10"/>
      <c r="D211" s="4"/>
      <c r="E211" s="4"/>
      <c r="F211" s="4"/>
      <c r="G211" s="4"/>
      <c r="H211" s="4"/>
    </row>
    <row r="212" spans="1:8">
      <c r="A212" s="2"/>
      <c r="C212" s="10"/>
      <c r="D212" s="4"/>
      <c r="E212" s="4"/>
      <c r="F212" s="4"/>
      <c r="G212" s="4"/>
      <c r="H212" s="4"/>
    </row>
    <row r="213" spans="1:8">
      <c r="A213" s="2"/>
      <c r="C213" s="10"/>
      <c r="D213" s="4"/>
      <c r="E213" s="4"/>
      <c r="F213" s="4"/>
      <c r="G213" s="4"/>
      <c r="H213" s="4"/>
    </row>
    <row r="214" spans="1:8">
      <c r="A214" s="2"/>
      <c r="C214" s="10"/>
      <c r="D214" s="4"/>
      <c r="E214" s="4"/>
      <c r="F214" s="4"/>
      <c r="G214" s="4"/>
      <c r="H214" s="4"/>
    </row>
    <row r="215" spans="1:8">
      <c r="A215" s="2"/>
      <c r="C215" s="10"/>
      <c r="D215" s="4"/>
      <c r="E215" s="4"/>
      <c r="F215" s="4"/>
      <c r="G215" s="4"/>
      <c r="H215" s="4"/>
    </row>
    <row r="216" spans="1:8">
      <c r="A216" s="2"/>
      <c r="C216" s="10"/>
      <c r="D216" s="4"/>
      <c r="E216" s="4"/>
      <c r="F216" s="4"/>
      <c r="G216" s="4"/>
      <c r="H216" s="4"/>
    </row>
    <row r="217" spans="1:8">
      <c r="A217" s="2"/>
      <c r="C217" s="10"/>
      <c r="D217" s="4"/>
      <c r="E217" s="4"/>
      <c r="F217" s="4"/>
      <c r="G217" s="4"/>
      <c r="H217" s="4"/>
    </row>
    <row r="218" spans="1:8">
      <c r="A218" s="2"/>
      <c r="C218" s="10"/>
      <c r="D218" s="4"/>
      <c r="E218" s="4"/>
      <c r="F218" s="4"/>
      <c r="G218" s="4"/>
      <c r="H218" s="4"/>
    </row>
    <row r="219" spans="1:8">
      <c r="A219" s="2"/>
      <c r="C219" s="10"/>
      <c r="D219" s="4"/>
      <c r="E219" s="4"/>
      <c r="F219" s="4"/>
      <c r="G219" s="4"/>
      <c r="H219" s="4"/>
    </row>
    <row r="220" spans="1:8">
      <c r="A220" s="2"/>
      <c r="C220" s="10"/>
      <c r="D220" s="4"/>
      <c r="E220" s="4"/>
      <c r="F220" s="4"/>
      <c r="G220" s="4"/>
      <c r="H220" s="4"/>
    </row>
    <row r="221" spans="1:8">
      <c r="A221" s="2"/>
      <c r="C221" s="10"/>
      <c r="D221" s="4"/>
      <c r="E221" s="4"/>
      <c r="F221" s="4"/>
      <c r="G221" s="4"/>
      <c r="H221" s="4"/>
    </row>
    <row r="222" spans="1:8">
      <c r="A222" s="2"/>
      <c r="C222" s="10"/>
      <c r="D222" s="4"/>
      <c r="E222" s="4"/>
      <c r="F222" s="4"/>
      <c r="G222" s="4"/>
      <c r="H222" s="4"/>
    </row>
    <row r="223" spans="1:8">
      <c r="A223" s="2"/>
      <c r="C223" s="10"/>
      <c r="D223" s="4"/>
      <c r="E223" s="4"/>
      <c r="F223" s="4"/>
      <c r="G223" s="4"/>
      <c r="H223" s="4"/>
    </row>
    <row r="224" spans="1:8">
      <c r="A224" s="2"/>
      <c r="C224" s="10"/>
      <c r="D224" s="4"/>
      <c r="E224" s="4"/>
      <c r="F224" s="4"/>
      <c r="G224" s="4"/>
      <c r="H224" s="4"/>
    </row>
    <row r="225" spans="1:8">
      <c r="A225" s="2"/>
      <c r="C225" s="10"/>
      <c r="D225" s="4"/>
      <c r="E225" s="4"/>
      <c r="F225" s="4"/>
      <c r="G225" s="4"/>
      <c r="H225" s="4"/>
    </row>
    <row r="226" spans="1:8">
      <c r="A226" s="2"/>
      <c r="C226" s="10"/>
      <c r="D226" s="4"/>
      <c r="E226" s="4"/>
      <c r="F226" s="4"/>
      <c r="G226" s="4"/>
      <c r="H226" s="4"/>
    </row>
    <row r="227" spans="1:8">
      <c r="A227" s="2"/>
      <c r="C227" s="10"/>
      <c r="D227" s="4"/>
      <c r="E227" s="4"/>
      <c r="F227" s="4"/>
      <c r="G227" s="4"/>
      <c r="H227" s="4"/>
    </row>
    <row r="228" spans="1:8">
      <c r="A228" s="2"/>
      <c r="C228" s="10"/>
      <c r="D228" s="4"/>
      <c r="E228" s="4"/>
      <c r="F228" s="4"/>
      <c r="G228" s="4"/>
      <c r="H228" s="4"/>
    </row>
    <row r="229" spans="1:8">
      <c r="A229" s="2"/>
      <c r="C229" s="10"/>
      <c r="D229" s="4"/>
      <c r="E229" s="4"/>
      <c r="F229" s="4"/>
      <c r="G229" s="4"/>
      <c r="H229" s="4"/>
    </row>
    <row r="230" spans="1:8">
      <c r="A230" s="2"/>
      <c r="C230" s="10"/>
      <c r="D230" s="4"/>
      <c r="E230" s="4"/>
      <c r="F230" s="4"/>
      <c r="G230" s="4"/>
      <c r="H230" s="4"/>
    </row>
    <row r="231" spans="1:8">
      <c r="A231" s="2"/>
      <c r="C231" s="10"/>
      <c r="D231" s="4"/>
      <c r="E231" s="4"/>
      <c r="F231" s="4"/>
      <c r="G231" s="4"/>
      <c r="H231" s="4"/>
    </row>
    <row r="232" spans="1:8">
      <c r="A232" s="2"/>
      <c r="C232" s="10"/>
      <c r="D232" s="4"/>
      <c r="E232" s="4"/>
      <c r="F232" s="4"/>
      <c r="G232" s="4"/>
      <c r="H232" s="4"/>
    </row>
    <row r="233" spans="1:8">
      <c r="A233" s="2"/>
      <c r="C233" s="10"/>
      <c r="D233" s="4"/>
      <c r="E233" s="4"/>
      <c r="F233" s="4"/>
      <c r="G233" s="4"/>
      <c r="H233" s="4"/>
    </row>
    <row r="234" spans="1:8">
      <c r="A234" s="2"/>
      <c r="C234" s="10"/>
      <c r="D234" s="4"/>
      <c r="E234" s="4"/>
      <c r="F234" s="4"/>
      <c r="G234" s="4"/>
      <c r="H234" s="4"/>
    </row>
    <row r="235" spans="1:8">
      <c r="A235" s="2"/>
      <c r="C235" s="10"/>
      <c r="D235" s="4"/>
      <c r="E235" s="4"/>
      <c r="F235" s="4"/>
      <c r="G235" s="4"/>
      <c r="H235" s="4"/>
    </row>
    <row r="236" spans="1:8">
      <c r="A236" s="2"/>
      <c r="C236" s="10"/>
      <c r="D236" s="4"/>
      <c r="E236" s="4"/>
      <c r="F236" s="4"/>
      <c r="G236" s="4"/>
      <c r="H236" s="4"/>
    </row>
    <row r="237" spans="1:8">
      <c r="A237" s="2"/>
      <c r="C237" s="10"/>
      <c r="D237" s="4"/>
      <c r="E237" s="4"/>
      <c r="F237" s="4"/>
      <c r="G237" s="4"/>
      <c r="H237" s="4"/>
    </row>
    <row r="238" spans="1:8">
      <c r="A238" s="2"/>
      <c r="C238" s="10"/>
      <c r="D238" s="4"/>
      <c r="E238" s="4"/>
      <c r="F238" s="4"/>
      <c r="G238" s="4"/>
      <c r="H238" s="4"/>
    </row>
    <row r="239" spans="1:8">
      <c r="A239" s="2"/>
      <c r="C239" s="10"/>
      <c r="D239" s="4"/>
      <c r="E239" s="4"/>
      <c r="F239" s="4"/>
      <c r="G239" s="4"/>
      <c r="H239" s="4"/>
    </row>
    <row r="240" spans="1:8">
      <c r="A240" s="2"/>
      <c r="C240" s="10"/>
      <c r="D240" s="4"/>
      <c r="E240" s="4"/>
      <c r="F240" s="4"/>
      <c r="G240" s="4"/>
      <c r="H240" s="4"/>
    </row>
    <row r="241" spans="1:8">
      <c r="A241" s="2"/>
      <c r="C241" s="10"/>
      <c r="D241" s="4"/>
      <c r="E241" s="4"/>
      <c r="F241" s="4"/>
      <c r="G241" s="4"/>
      <c r="H241" s="4"/>
    </row>
    <row r="242" spans="1:8">
      <c r="A242" s="2"/>
      <c r="C242" s="10"/>
      <c r="D242" s="4"/>
      <c r="E242" s="4"/>
      <c r="F242" s="4"/>
      <c r="G242" s="4"/>
      <c r="H242" s="4"/>
    </row>
    <row r="243" spans="1:8">
      <c r="A243" s="2"/>
      <c r="C243" s="10"/>
      <c r="D243" s="4"/>
      <c r="E243" s="4"/>
      <c r="F243" s="4"/>
      <c r="G243" s="4"/>
      <c r="H243" s="4"/>
    </row>
    <row r="244" spans="1:8">
      <c r="A244" s="2"/>
      <c r="C244" s="10"/>
      <c r="D244" s="4"/>
      <c r="E244" s="4"/>
      <c r="F244" s="4"/>
      <c r="G244" s="4"/>
      <c r="H244" s="4"/>
    </row>
    <row r="245" spans="1:8">
      <c r="A245" s="2"/>
      <c r="C245" s="10"/>
      <c r="D245" s="4"/>
      <c r="E245" s="4"/>
      <c r="F245" s="4"/>
      <c r="G245" s="4"/>
      <c r="H245" s="4"/>
    </row>
    <row r="246" spans="1:8">
      <c r="A246" s="2"/>
      <c r="C246" s="10"/>
      <c r="D246" s="4"/>
      <c r="E246" s="4"/>
      <c r="F246" s="4"/>
      <c r="G246" s="4"/>
      <c r="H246" s="4"/>
    </row>
    <row r="247" spans="1:8">
      <c r="A247" s="2"/>
      <c r="C247" s="10"/>
      <c r="D247" s="4"/>
      <c r="E247" s="4"/>
      <c r="F247" s="4"/>
      <c r="G247" s="4"/>
      <c r="H247" s="4"/>
    </row>
    <row r="248" spans="1:8">
      <c r="A248" s="2"/>
      <c r="C248" s="10"/>
      <c r="D248" s="4"/>
      <c r="E248" s="4"/>
      <c r="F248" s="4"/>
      <c r="G248" s="4"/>
      <c r="H248" s="4"/>
    </row>
    <row r="249" spans="1:8">
      <c r="A249" s="2"/>
      <c r="C249" s="10"/>
      <c r="D249" s="4"/>
      <c r="E249" s="4"/>
      <c r="F249" s="4"/>
      <c r="G249" s="4"/>
      <c r="H249" s="4"/>
    </row>
    <row r="250" spans="1:8">
      <c r="A250" s="2"/>
      <c r="C250" s="10"/>
      <c r="D250" s="4"/>
      <c r="E250" s="4"/>
      <c r="F250" s="4"/>
      <c r="G250" s="4"/>
      <c r="H250" s="4"/>
    </row>
    <row r="251" spans="1:8">
      <c r="A251" s="2"/>
      <c r="C251" s="10"/>
      <c r="D251" s="4"/>
      <c r="E251" s="4"/>
      <c r="F251" s="4"/>
      <c r="G251" s="4"/>
      <c r="H251" s="4"/>
    </row>
    <row r="252" spans="1:8">
      <c r="A252" s="2"/>
      <c r="C252" s="10"/>
      <c r="D252" s="4"/>
      <c r="E252" s="4"/>
      <c r="F252" s="4"/>
      <c r="G252" s="4"/>
      <c r="H252" s="4"/>
    </row>
    <row r="253" spans="1:8">
      <c r="A253" s="2"/>
      <c r="C253" s="10"/>
      <c r="D253" s="4"/>
      <c r="E253" s="4"/>
      <c r="F253" s="4"/>
      <c r="G253" s="4"/>
      <c r="H253" s="4"/>
    </row>
    <row r="254" spans="1:8">
      <c r="A254" s="2"/>
      <c r="C254" s="10"/>
      <c r="D254" s="4"/>
      <c r="E254" s="4"/>
      <c r="F254" s="4"/>
      <c r="G254" s="4"/>
      <c r="H254" s="4"/>
    </row>
    <row r="255" spans="1:8">
      <c r="A255" s="2"/>
      <c r="C255" s="10"/>
      <c r="D255" s="4"/>
      <c r="E255" s="4"/>
      <c r="F255" s="4"/>
      <c r="G255" s="4"/>
      <c r="H255" s="4"/>
    </row>
    <row r="256" spans="1:8">
      <c r="A256" s="2"/>
      <c r="C256" s="10"/>
      <c r="D256" s="4"/>
      <c r="E256" s="4"/>
      <c r="F256" s="4"/>
      <c r="G256" s="4"/>
      <c r="H256" s="4"/>
    </row>
    <row r="257" spans="1:8">
      <c r="A257" s="2"/>
      <c r="C257" s="10"/>
      <c r="D257" s="4"/>
      <c r="E257" s="4"/>
      <c r="F257" s="4"/>
      <c r="G257" s="4"/>
      <c r="H257" s="4"/>
    </row>
    <row r="258" spans="1:8">
      <c r="A258" s="2"/>
      <c r="C258" s="10"/>
      <c r="D258" s="4"/>
      <c r="E258" s="4"/>
      <c r="F258" s="4"/>
      <c r="G258" s="4"/>
      <c r="H258" s="4"/>
    </row>
    <row r="259" spans="1:8">
      <c r="A259" s="2"/>
      <c r="C259" s="10"/>
      <c r="D259" s="4"/>
      <c r="E259" s="4"/>
      <c r="F259" s="4"/>
      <c r="G259" s="4"/>
      <c r="H259" s="4"/>
    </row>
    <row r="260" spans="1:8">
      <c r="A260" s="2"/>
      <c r="C260" s="10"/>
      <c r="D260" s="4"/>
      <c r="E260" s="4"/>
      <c r="F260" s="4"/>
      <c r="G260" s="4"/>
      <c r="H260" s="4"/>
    </row>
    <row r="261" spans="1:8">
      <c r="A261" s="2"/>
      <c r="C261" s="10"/>
      <c r="D261" s="4"/>
      <c r="E261" s="4"/>
      <c r="F261" s="4"/>
      <c r="G261" s="4"/>
      <c r="H261" s="4"/>
    </row>
    <row r="262" spans="1:8">
      <c r="A262" s="2"/>
      <c r="C262" s="10"/>
      <c r="D262" s="4"/>
      <c r="E262" s="4"/>
      <c r="F262" s="4"/>
      <c r="G262" s="4"/>
      <c r="H262" s="4"/>
    </row>
    <row r="263" spans="1:8">
      <c r="A263" s="2"/>
      <c r="C263" s="10"/>
      <c r="D263" s="4"/>
      <c r="E263" s="4"/>
      <c r="F263" s="4"/>
      <c r="G263" s="4"/>
      <c r="H263" s="4"/>
    </row>
    <row r="264" spans="1:8">
      <c r="A264" s="2"/>
      <c r="C264" s="10"/>
      <c r="D264" s="4"/>
      <c r="E264" s="4"/>
      <c r="F264" s="4"/>
      <c r="G264" s="4"/>
      <c r="H264" s="4"/>
    </row>
    <row r="265" spans="1:8">
      <c r="A265" s="2"/>
      <c r="C265" s="10"/>
      <c r="D265" s="4"/>
      <c r="E265" s="4"/>
      <c r="F265" s="4"/>
      <c r="G265" s="4"/>
      <c r="H265" s="4"/>
    </row>
    <row r="266" spans="1:8">
      <c r="A266" s="2"/>
      <c r="C266" s="10"/>
      <c r="D266" s="4"/>
      <c r="E266" s="4"/>
      <c r="F266" s="4"/>
      <c r="G266" s="4"/>
      <c r="H266" s="4"/>
    </row>
    <row r="267" spans="1:8">
      <c r="A267" s="2"/>
      <c r="C267" s="10"/>
      <c r="D267" s="4"/>
      <c r="E267" s="4"/>
      <c r="F267" s="4"/>
      <c r="G267" s="4"/>
      <c r="H267" s="4"/>
    </row>
    <row r="268" spans="1:8">
      <c r="A268" s="2"/>
      <c r="C268" s="10"/>
      <c r="D268" s="4"/>
      <c r="E268" s="4"/>
      <c r="F268" s="4"/>
      <c r="G268" s="4"/>
      <c r="H268" s="4"/>
    </row>
    <row r="269" spans="1:8">
      <c r="A269" s="2"/>
      <c r="C269" s="10"/>
      <c r="D269" s="4"/>
      <c r="E269" s="4"/>
      <c r="F269" s="4"/>
      <c r="G269" s="4"/>
      <c r="H269" s="4"/>
    </row>
    <row r="270" spans="1:8">
      <c r="A270" s="2"/>
      <c r="C270" s="10"/>
      <c r="D270" s="4"/>
      <c r="E270" s="4"/>
      <c r="F270" s="4"/>
      <c r="G270" s="4"/>
      <c r="H270" s="4"/>
    </row>
    <row r="271" spans="1:8">
      <c r="A271" s="2"/>
      <c r="C271" s="10"/>
      <c r="D271" s="4"/>
      <c r="E271" s="4"/>
      <c r="F271" s="4"/>
      <c r="G271" s="4"/>
      <c r="H271" s="4"/>
    </row>
    <row r="272" spans="1:8">
      <c r="A272" s="2"/>
      <c r="C272" s="10"/>
      <c r="D272" s="4"/>
      <c r="E272" s="4"/>
      <c r="F272" s="4"/>
      <c r="G272" s="4"/>
      <c r="H272" s="4"/>
    </row>
    <row r="273" spans="1:8">
      <c r="A273" s="2"/>
      <c r="C273" s="10"/>
      <c r="D273" s="4"/>
      <c r="E273" s="4"/>
      <c r="F273" s="4"/>
      <c r="G273" s="4"/>
      <c r="H273" s="4"/>
    </row>
    <row r="274" spans="1:8">
      <c r="A274" s="2"/>
      <c r="C274" s="10"/>
      <c r="D274" s="4"/>
      <c r="E274" s="4"/>
      <c r="F274" s="4"/>
      <c r="G274" s="4"/>
      <c r="H274" s="4"/>
    </row>
    <row r="275" spans="1:8">
      <c r="A275" s="2"/>
      <c r="C275" s="10"/>
      <c r="D275" s="4"/>
      <c r="E275" s="4"/>
      <c r="F275" s="4"/>
      <c r="G275" s="4"/>
      <c r="H275" s="4"/>
    </row>
    <row r="276" spans="1:8">
      <c r="A276" s="2"/>
      <c r="C276" s="10"/>
      <c r="D276" s="4"/>
      <c r="E276" s="4"/>
      <c r="F276" s="4"/>
      <c r="G276" s="4"/>
      <c r="H276" s="4"/>
    </row>
    <row r="277" spans="1:8">
      <c r="A277" s="2"/>
      <c r="C277" s="10"/>
      <c r="D277" s="4"/>
      <c r="E277" s="4"/>
      <c r="F277" s="4"/>
      <c r="G277" s="4"/>
      <c r="H277" s="4"/>
    </row>
  </sheetData>
  <mergeCells count="3">
    <mergeCell ref="B5:J5"/>
    <mergeCell ref="A54:J54"/>
    <mergeCell ref="A55:J55"/>
  </mergeCells>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161"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2162"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2163"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2164"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92165" r:id="rId7" name="Button 5">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2166" r:id="rId8"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2167" r:id="rId9"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2168" r:id="rId10"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1" enableFormatConditionsCalculation="0"/>
  <dimension ref="A1:N256"/>
  <sheetViews>
    <sheetView workbookViewId="0"/>
  </sheetViews>
  <sheetFormatPr baseColWidth="10" defaultColWidth="8.83203125" defaultRowHeight="12" x14ac:dyDescent="0"/>
  <cols>
    <col min="1" max="1" width="11.5" customWidth="1"/>
    <col min="4" max="4" width="11.5" customWidth="1"/>
    <col min="5" max="5" width="12.33203125" customWidth="1"/>
    <col min="6" max="6" width="13.33203125" customWidth="1"/>
    <col min="7" max="7" width="16.1640625" customWidth="1"/>
  </cols>
  <sheetData>
    <row r="1" spans="1:14">
      <c r="A1" s="21"/>
      <c r="B1" s="21"/>
      <c r="C1" s="21" t="s">
        <v>846</v>
      </c>
      <c r="D1" s="21"/>
      <c r="E1" s="21"/>
      <c r="F1" s="21"/>
      <c r="G1" s="21"/>
      <c r="H1" s="30"/>
    </row>
    <row r="2" spans="1:14" ht="21" customHeight="1">
      <c r="A2" s="21"/>
      <c r="B2" s="21"/>
      <c r="C2" s="21"/>
      <c r="D2" s="374"/>
      <c r="E2" s="374"/>
      <c r="F2" s="374"/>
      <c r="G2" s="374"/>
      <c r="H2" s="372"/>
      <c r="I2" s="372"/>
      <c r="J2" s="372"/>
      <c r="K2" s="372"/>
      <c r="L2" s="372"/>
      <c r="M2" s="372"/>
      <c r="N2" s="372"/>
    </row>
    <row r="3" spans="1:14">
      <c r="A3" s="19" t="s">
        <v>1045</v>
      </c>
      <c r="B3" s="20" t="s">
        <v>252</v>
      </c>
      <c r="C3" s="21"/>
      <c r="D3" s="21"/>
      <c r="E3" s="21"/>
      <c r="F3" s="21"/>
      <c r="G3" s="21"/>
    </row>
    <row r="4" spans="1:14">
      <c r="A4" s="19" t="s">
        <v>774</v>
      </c>
      <c r="B4" s="20" t="s">
        <v>253</v>
      </c>
      <c r="C4" s="21"/>
      <c r="D4" s="21"/>
      <c r="E4" s="21"/>
      <c r="F4" s="21"/>
      <c r="G4" s="21"/>
    </row>
    <row r="5" spans="1:14" ht="43.5" customHeight="1">
      <c r="A5" s="118" t="s">
        <v>779</v>
      </c>
      <c r="B5" s="446" t="s">
        <v>106</v>
      </c>
      <c r="C5" s="446"/>
      <c r="D5" s="446"/>
      <c r="E5" s="446"/>
      <c r="F5" s="446"/>
      <c r="G5" s="446"/>
    </row>
    <row r="6" spans="1:14" ht="33" customHeight="1">
      <c r="A6" s="19"/>
      <c r="B6" s="446" t="s">
        <v>107</v>
      </c>
      <c r="C6" s="446"/>
      <c r="D6" s="446"/>
      <c r="E6" s="446"/>
      <c r="F6" s="446"/>
      <c r="G6" s="446"/>
    </row>
    <row r="7" spans="1:14">
      <c r="A7" s="21"/>
      <c r="B7" s="21"/>
      <c r="C7" s="115" t="s">
        <v>254</v>
      </c>
      <c r="D7" s="21"/>
      <c r="E7" s="21"/>
      <c r="F7" s="21"/>
      <c r="G7" s="21"/>
    </row>
    <row r="8" spans="1:14" ht="53.25" customHeight="1">
      <c r="A8" s="22" t="s">
        <v>1090</v>
      </c>
      <c r="B8" s="22" t="s">
        <v>251</v>
      </c>
      <c r="C8" s="22" t="s">
        <v>1119</v>
      </c>
      <c r="D8" s="31" t="s">
        <v>407</v>
      </c>
      <c r="E8" s="31" t="s">
        <v>494</v>
      </c>
      <c r="F8" s="22"/>
      <c r="G8" s="22"/>
    </row>
    <row r="9" spans="1:14">
      <c r="A9" s="26">
        <v>35800</v>
      </c>
      <c r="B9" s="52">
        <v>11.0312</v>
      </c>
      <c r="C9" s="52">
        <v>30.625</v>
      </c>
      <c r="D9" s="52">
        <f>B9/C9</f>
        <v>0.36020244897959186</v>
      </c>
      <c r="E9" s="52">
        <f>(B9/C9)-$D$9</f>
        <v>0</v>
      </c>
      <c r="F9" s="52"/>
      <c r="G9" s="52"/>
    </row>
    <row r="10" spans="1:14">
      <c r="A10" s="26">
        <v>35801</v>
      </c>
      <c r="B10" s="52">
        <v>11.0547</v>
      </c>
      <c r="C10" s="52">
        <v>30.3125</v>
      </c>
      <c r="D10" s="52">
        <f t="shared" ref="D10:D52" si="0">B10/C10</f>
        <v>0.36469113402061859</v>
      </c>
      <c r="E10" s="52">
        <f t="shared" ref="E10:E52" si="1">(B10/C10)-$D$9</f>
        <v>4.4886850410267298E-3</v>
      </c>
      <c r="F10" s="52"/>
      <c r="G10" s="52"/>
    </row>
    <row r="11" spans="1:14">
      <c r="A11" s="27">
        <v>35802</v>
      </c>
      <c r="B11" s="55">
        <v>10.7812</v>
      </c>
      <c r="C11" s="55">
        <v>29.718800000000002</v>
      </c>
      <c r="D11" s="55">
        <f t="shared" si="0"/>
        <v>0.36277373245218514</v>
      </c>
      <c r="E11" s="55">
        <f t="shared" si="1"/>
        <v>2.5712834725932776E-3</v>
      </c>
      <c r="F11" s="55"/>
      <c r="G11" s="55"/>
    </row>
    <row r="12" spans="1:14">
      <c r="A12" s="27">
        <v>35803</v>
      </c>
      <c r="B12" s="55">
        <v>10.773400000000001</v>
      </c>
      <c r="C12" s="55">
        <v>29.656199999999998</v>
      </c>
      <c r="D12" s="55">
        <f t="shared" si="0"/>
        <v>0.36327648181493249</v>
      </c>
      <c r="E12" s="55">
        <f t="shared" si="1"/>
        <v>3.0740328353406343E-3</v>
      </c>
      <c r="F12" s="55"/>
      <c r="G12" s="55"/>
    </row>
    <row r="13" spans="1:14">
      <c r="A13" s="26">
        <v>35804</v>
      </c>
      <c r="B13" s="52">
        <v>10.398400000000001</v>
      </c>
      <c r="C13" s="100">
        <v>28.468800000000002</v>
      </c>
      <c r="D13" s="52">
        <f t="shared" si="0"/>
        <v>0.36525599955038496</v>
      </c>
      <c r="E13" s="52">
        <f t="shared" si="1"/>
        <v>5.0535505707930972E-3</v>
      </c>
      <c r="F13" s="52"/>
      <c r="G13" s="52"/>
    </row>
    <row r="14" spans="1:14">
      <c r="A14" s="26">
        <v>35807</v>
      </c>
      <c r="B14" s="52">
        <v>10.8828</v>
      </c>
      <c r="C14" s="100">
        <v>28</v>
      </c>
      <c r="D14" s="52">
        <f t="shared" si="0"/>
        <v>0.38867142857142856</v>
      </c>
      <c r="E14" s="52">
        <f t="shared" si="1"/>
        <v>2.8468979591836696E-2</v>
      </c>
      <c r="F14" s="52"/>
      <c r="G14" s="52"/>
    </row>
    <row r="15" spans="1:14">
      <c r="A15" s="27">
        <v>35808</v>
      </c>
      <c r="B15" s="55">
        <v>11.210900000000001</v>
      </c>
      <c r="C15" s="99">
        <v>29.5625</v>
      </c>
      <c r="D15" s="55">
        <f t="shared" si="0"/>
        <v>0.37922706131078227</v>
      </c>
      <c r="E15" s="55">
        <f t="shared" si="1"/>
        <v>1.9024612331190405E-2</v>
      </c>
      <c r="F15" s="55"/>
      <c r="G15" s="55"/>
    </row>
    <row r="16" spans="1:14">
      <c r="A16" s="27">
        <v>35809</v>
      </c>
      <c r="B16" s="55">
        <v>11.421900000000001</v>
      </c>
      <c r="C16" s="99">
        <v>29.125</v>
      </c>
      <c r="D16" s="55">
        <f t="shared" si="0"/>
        <v>0.39216824034334768</v>
      </c>
      <c r="E16" s="55">
        <f t="shared" si="1"/>
        <v>3.1965791363755824E-2</v>
      </c>
      <c r="F16" s="55"/>
      <c r="G16" s="55"/>
    </row>
    <row r="17" spans="1:7">
      <c r="A17" s="26">
        <v>35810</v>
      </c>
      <c r="B17" s="52">
        <v>11.453099999999999</v>
      </c>
      <c r="C17" s="100">
        <v>29.031199999999998</v>
      </c>
      <c r="D17" s="52">
        <f t="shared" si="0"/>
        <v>0.39451004436606135</v>
      </c>
      <c r="E17" s="52">
        <f t="shared" si="1"/>
        <v>3.4307595386469492E-2</v>
      </c>
      <c r="F17" s="52"/>
      <c r="G17" s="52"/>
    </row>
    <row r="18" spans="1:7">
      <c r="A18" s="26">
        <v>35811</v>
      </c>
      <c r="B18" s="52">
        <v>11.5938</v>
      </c>
      <c r="C18" s="100">
        <v>29.5625</v>
      </c>
      <c r="D18" s="52">
        <f t="shared" si="0"/>
        <v>0.39217928118393236</v>
      </c>
      <c r="E18" s="52">
        <f t="shared" si="1"/>
        <v>3.19768322043405E-2</v>
      </c>
      <c r="F18" s="52"/>
      <c r="G18" s="52"/>
    </row>
    <row r="19" spans="1:7">
      <c r="A19" s="27">
        <v>35815</v>
      </c>
      <c r="B19" s="55">
        <v>11.640599999999999</v>
      </c>
      <c r="C19" s="99">
        <v>29.75</v>
      </c>
      <c r="D19" s="55">
        <f t="shared" si="0"/>
        <v>0.39128067226890756</v>
      </c>
      <c r="E19" s="55">
        <f t="shared" si="1"/>
        <v>3.1078223289315698E-2</v>
      </c>
      <c r="F19" s="55"/>
      <c r="G19" s="55"/>
    </row>
    <row r="20" spans="1:7">
      <c r="A20" s="27">
        <v>35816</v>
      </c>
      <c r="B20" s="55">
        <v>11.7812</v>
      </c>
      <c r="C20" s="99">
        <v>32.1875</v>
      </c>
      <c r="D20" s="55">
        <f t="shared" si="0"/>
        <v>0.3660178640776699</v>
      </c>
      <c r="E20" s="55">
        <f t="shared" si="1"/>
        <v>5.8154150980780361E-3</v>
      </c>
      <c r="F20" s="55"/>
      <c r="G20" s="55"/>
    </row>
    <row r="21" spans="1:7">
      <c r="A21" s="26">
        <v>35817</v>
      </c>
      <c r="B21" s="52">
        <v>11.5625</v>
      </c>
      <c r="C21" s="100">
        <v>31.125</v>
      </c>
      <c r="D21" s="52">
        <f t="shared" si="0"/>
        <v>0.37148594377510041</v>
      </c>
      <c r="E21" s="52">
        <f t="shared" si="1"/>
        <v>1.1283494795508553E-2</v>
      </c>
      <c r="F21" s="52"/>
      <c r="G21" s="52"/>
    </row>
    <row r="22" spans="1:7">
      <c r="A22" s="26">
        <v>35818</v>
      </c>
      <c r="B22" s="52">
        <v>11.851599999999999</v>
      </c>
      <c r="C22" s="100">
        <v>31.75</v>
      </c>
      <c r="D22" s="52">
        <f t="shared" si="0"/>
        <v>0.3732787401574803</v>
      </c>
      <c r="E22" s="52">
        <f t="shared" si="1"/>
        <v>1.3076291177888444E-2</v>
      </c>
      <c r="F22" s="52"/>
      <c r="G22" s="52"/>
    </row>
    <row r="23" spans="1:7">
      <c r="A23" s="27">
        <v>35821</v>
      </c>
      <c r="B23" s="55">
        <v>11.828099999999999</v>
      </c>
      <c r="C23" s="99">
        <v>29</v>
      </c>
      <c r="D23" s="55">
        <f t="shared" si="0"/>
        <v>0.40786551724137926</v>
      </c>
      <c r="E23" s="55">
        <f t="shared" si="1"/>
        <v>4.76630682617874E-2</v>
      </c>
      <c r="F23" s="55"/>
      <c r="G23" s="55"/>
    </row>
    <row r="24" spans="1:7">
      <c r="A24" s="27">
        <v>35822</v>
      </c>
      <c r="B24" s="55">
        <v>12.1875</v>
      </c>
      <c r="C24" s="99">
        <v>30</v>
      </c>
      <c r="D24" s="55">
        <f t="shared" si="0"/>
        <v>0.40625</v>
      </c>
      <c r="E24" s="55">
        <f t="shared" si="1"/>
        <v>4.604755102040814E-2</v>
      </c>
      <c r="F24" s="55"/>
      <c r="G24" s="55"/>
    </row>
    <row r="25" spans="1:7">
      <c r="A25" s="26">
        <v>35823</v>
      </c>
      <c r="B25" s="52">
        <v>12.140599999999999</v>
      </c>
      <c r="C25" s="100">
        <v>29.75</v>
      </c>
      <c r="D25" s="52">
        <f t="shared" si="0"/>
        <v>0.40808739495798318</v>
      </c>
      <c r="E25" s="52">
        <f t="shared" si="1"/>
        <v>4.7884945978391324E-2</v>
      </c>
      <c r="F25" s="52"/>
      <c r="G25" s="52"/>
    </row>
    <row r="26" spans="1:7">
      <c r="A26" s="26">
        <v>35824</v>
      </c>
      <c r="B26" s="52">
        <v>12.328099999999999</v>
      </c>
      <c r="C26" s="100">
        <v>30.125</v>
      </c>
      <c r="D26" s="52">
        <f t="shared" si="0"/>
        <v>0.40923153526970951</v>
      </c>
      <c r="E26" s="52">
        <f t="shared" si="1"/>
        <v>4.9029086290117652E-2</v>
      </c>
      <c r="F26" s="52"/>
      <c r="G26" s="52"/>
    </row>
    <row r="27" spans="1:7">
      <c r="A27" s="27">
        <v>35825</v>
      </c>
      <c r="B27" s="55">
        <v>12.4297</v>
      </c>
      <c r="C27" s="99">
        <v>30.1875</v>
      </c>
      <c r="D27" s="55">
        <f t="shared" si="0"/>
        <v>0.41174989648033128</v>
      </c>
      <c r="E27" s="55">
        <f t="shared" si="1"/>
        <v>5.1547447500739418E-2</v>
      </c>
      <c r="F27" s="55"/>
      <c r="G27" s="55"/>
    </row>
    <row r="28" spans="1:7">
      <c r="A28" s="27">
        <v>35828</v>
      </c>
      <c r="B28" s="55">
        <v>13.0703</v>
      </c>
      <c r="C28" s="99">
        <v>30.4375</v>
      </c>
      <c r="D28" s="55">
        <f t="shared" si="0"/>
        <v>0.42941437371663244</v>
      </c>
      <c r="E28" s="55">
        <f t="shared" si="1"/>
        <v>6.9211924737040575E-2</v>
      </c>
      <c r="F28" s="55"/>
      <c r="G28" s="55"/>
    </row>
    <row r="29" spans="1:7">
      <c r="A29" s="26">
        <v>35829</v>
      </c>
      <c r="B29" s="52">
        <v>13.2578</v>
      </c>
      <c r="C29" s="100">
        <v>33</v>
      </c>
      <c r="D29" s="52">
        <f t="shared" si="0"/>
        <v>0.40175151515151514</v>
      </c>
      <c r="E29" s="52">
        <f t="shared" si="1"/>
        <v>4.1549066171923277E-2</v>
      </c>
      <c r="F29" s="52"/>
      <c r="G29" s="52"/>
    </row>
    <row r="30" spans="1:7">
      <c r="A30" s="26">
        <v>35830</v>
      </c>
      <c r="B30" s="52">
        <v>13.453099999999999</v>
      </c>
      <c r="C30" s="100">
        <v>34.75</v>
      </c>
      <c r="D30" s="52">
        <f t="shared" si="0"/>
        <v>0.3871395683453237</v>
      </c>
      <c r="E30" s="52">
        <f t="shared" si="1"/>
        <v>2.6937119365731843E-2</v>
      </c>
      <c r="F30" s="52"/>
      <c r="G30" s="52"/>
    </row>
    <row r="31" spans="1:7">
      <c r="A31" s="27">
        <v>35831</v>
      </c>
      <c r="B31" s="55">
        <v>13.375</v>
      </c>
      <c r="C31" s="99">
        <v>35.1875</v>
      </c>
      <c r="D31" s="55">
        <f t="shared" si="0"/>
        <v>0.38010657193605685</v>
      </c>
      <c r="E31" s="55">
        <f t="shared" si="1"/>
        <v>1.9904122956464987E-2</v>
      </c>
      <c r="F31" s="55"/>
      <c r="G31" s="55"/>
    </row>
    <row r="32" spans="1:7">
      <c r="A32" s="27">
        <v>35832</v>
      </c>
      <c r="B32" s="55">
        <v>13.609400000000001</v>
      </c>
      <c r="C32" s="99">
        <v>35</v>
      </c>
      <c r="D32" s="55">
        <f t="shared" si="0"/>
        <v>0.38884000000000002</v>
      </c>
      <c r="E32" s="55">
        <f t="shared" si="1"/>
        <v>2.8637551020408158E-2</v>
      </c>
      <c r="F32" s="55"/>
      <c r="G32" s="55"/>
    </row>
    <row r="33" spans="1:7">
      <c r="A33" s="26">
        <v>35835</v>
      </c>
      <c r="B33" s="52">
        <v>13.515599999999999</v>
      </c>
      <c r="C33" s="100">
        <v>35.25</v>
      </c>
      <c r="D33" s="52">
        <f t="shared" si="0"/>
        <v>0.38342127659574465</v>
      </c>
      <c r="E33" s="52">
        <f t="shared" si="1"/>
        <v>2.3218827616152793E-2</v>
      </c>
      <c r="F33" s="52"/>
      <c r="G33" s="52"/>
    </row>
    <row r="34" spans="1:7">
      <c r="A34" s="26">
        <v>35836</v>
      </c>
      <c r="B34" s="52">
        <v>13.859400000000001</v>
      </c>
      <c r="C34" s="100">
        <v>35.5</v>
      </c>
      <c r="D34" s="52">
        <f t="shared" si="0"/>
        <v>0.3904056338028169</v>
      </c>
      <c r="E34" s="52">
        <f t="shared" si="1"/>
        <v>3.0203184823225038E-2</v>
      </c>
      <c r="F34" s="52"/>
      <c r="G34" s="52"/>
    </row>
    <row r="35" spans="1:7">
      <c r="A35" s="27">
        <v>35837</v>
      </c>
      <c r="B35" s="55">
        <v>13.7812</v>
      </c>
      <c r="C35" s="99">
        <v>36.4375</v>
      </c>
      <c r="D35" s="55">
        <f t="shared" si="0"/>
        <v>0.37821475128644938</v>
      </c>
      <c r="E35" s="55">
        <f t="shared" si="1"/>
        <v>1.8012302306857519E-2</v>
      </c>
      <c r="F35" s="55"/>
      <c r="G35" s="55"/>
    </row>
    <row r="36" spans="1:7">
      <c r="A36" s="27">
        <v>35838</v>
      </c>
      <c r="B36" s="55">
        <v>13.8438</v>
      </c>
      <c r="C36" s="99">
        <v>35.5</v>
      </c>
      <c r="D36" s="55">
        <f t="shared" si="0"/>
        <v>0.38996619718309861</v>
      </c>
      <c r="E36" s="55">
        <f t="shared" si="1"/>
        <v>2.9763748203506746E-2</v>
      </c>
      <c r="F36" s="55"/>
      <c r="G36" s="55"/>
    </row>
    <row r="37" spans="1:7">
      <c r="A37" s="26">
        <v>35839</v>
      </c>
      <c r="B37" s="52">
        <v>13.859400000000001</v>
      </c>
      <c r="C37" s="100">
        <v>35.0625</v>
      </c>
      <c r="D37" s="52">
        <f t="shared" si="0"/>
        <v>0.39527700534759358</v>
      </c>
      <c r="E37" s="52">
        <f t="shared" si="1"/>
        <v>3.5074556368001719E-2</v>
      </c>
      <c r="F37" s="52"/>
      <c r="G37" s="52"/>
    </row>
    <row r="38" spans="1:7">
      <c r="A38" s="26">
        <v>35843</v>
      </c>
      <c r="B38" s="52">
        <v>13.914099999999999</v>
      </c>
      <c r="C38" s="100">
        <v>35.0625</v>
      </c>
      <c r="D38" s="52">
        <f t="shared" si="0"/>
        <v>0.39683707664884132</v>
      </c>
      <c r="E38" s="52">
        <f t="shared" si="1"/>
        <v>3.6634627669249464E-2</v>
      </c>
      <c r="F38" s="52"/>
      <c r="G38" s="52"/>
    </row>
    <row r="39" spans="1:7">
      <c r="A39" s="27">
        <v>35844</v>
      </c>
      <c r="B39" s="55">
        <v>14.148400000000001</v>
      </c>
      <c r="C39" s="99">
        <v>35</v>
      </c>
      <c r="D39" s="55">
        <f t="shared" si="0"/>
        <v>0.40423999999999999</v>
      </c>
      <c r="E39" s="55">
        <f t="shared" si="1"/>
        <v>4.4037551020408128E-2</v>
      </c>
      <c r="F39" s="55"/>
      <c r="G39" s="55"/>
    </row>
    <row r="40" spans="1:7">
      <c r="A40" s="27">
        <v>35845</v>
      </c>
      <c r="B40" s="55">
        <v>15.3438</v>
      </c>
      <c r="C40" s="99">
        <v>34.9375</v>
      </c>
      <c r="D40" s="55">
        <f t="shared" si="0"/>
        <v>0.43917853309481214</v>
      </c>
      <c r="E40" s="55">
        <f t="shared" si="1"/>
        <v>7.897608411522028E-2</v>
      </c>
      <c r="F40" s="55"/>
      <c r="G40" s="55"/>
    </row>
    <row r="41" spans="1:7">
      <c r="A41" s="26">
        <v>35846</v>
      </c>
      <c r="B41" s="52">
        <v>15.789099999999999</v>
      </c>
      <c r="C41" s="100">
        <v>34.0625</v>
      </c>
      <c r="D41" s="52">
        <f t="shared" si="0"/>
        <v>0.46353321100917427</v>
      </c>
      <c r="E41" s="52">
        <f t="shared" si="1"/>
        <v>0.10333076202958241</v>
      </c>
      <c r="F41" s="52"/>
      <c r="G41" s="52"/>
    </row>
    <row r="42" spans="1:7">
      <c r="A42" s="26">
        <v>35849</v>
      </c>
      <c r="B42" s="52">
        <v>16.3672</v>
      </c>
      <c r="C42" s="100">
        <v>34.75</v>
      </c>
      <c r="D42" s="52">
        <f t="shared" si="0"/>
        <v>0.47099856115107913</v>
      </c>
      <c r="E42" s="52">
        <f t="shared" si="1"/>
        <v>0.11079611217148727</v>
      </c>
      <c r="F42" s="52"/>
      <c r="G42" s="52"/>
    </row>
    <row r="43" spans="1:7">
      <c r="A43" s="27">
        <v>35850</v>
      </c>
      <c r="B43" s="55">
        <v>16.0547</v>
      </c>
      <c r="C43" s="99">
        <v>34.3125</v>
      </c>
      <c r="D43" s="55">
        <f t="shared" si="0"/>
        <v>0.46789653916211293</v>
      </c>
      <c r="E43" s="55">
        <f t="shared" si="1"/>
        <v>0.10769409018252107</v>
      </c>
      <c r="F43" s="55"/>
      <c r="G43" s="55"/>
    </row>
    <row r="44" spans="1:7">
      <c r="A44" s="27">
        <v>35851</v>
      </c>
      <c r="B44" s="55">
        <v>16.2422</v>
      </c>
      <c r="C44" s="99">
        <v>34</v>
      </c>
      <c r="D44" s="55">
        <f t="shared" si="0"/>
        <v>0.47771176470588239</v>
      </c>
      <c r="E44" s="55">
        <f t="shared" si="1"/>
        <v>0.11750931572629053</v>
      </c>
      <c r="F44" s="55"/>
      <c r="G44" s="55"/>
    </row>
    <row r="45" spans="1:7">
      <c r="A45" s="26">
        <v>35852</v>
      </c>
      <c r="B45" s="52">
        <v>16.656199999999998</v>
      </c>
      <c r="C45" s="100">
        <v>32.875</v>
      </c>
      <c r="D45" s="52">
        <f t="shared" si="0"/>
        <v>0.50665247148288972</v>
      </c>
      <c r="E45" s="52">
        <f t="shared" si="1"/>
        <v>0.14645002250329786</v>
      </c>
      <c r="F45" s="52"/>
      <c r="G45" s="52"/>
    </row>
    <row r="46" spans="1:7">
      <c r="A46" s="26">
        <v>35853</v>
      </c>
      <c r="B46" s="52">
        <v>17.484400000000001</v>
      </c>
      <c r="C46" s="100">
        <v>32.0625</v>
      </c>
      <c r="D46" s="52">
        <f t="shared" si="0"/>
        <v>0.5453224171539961</v>
      </c>
      <c r="E46" s="52">
        <f t="shared" si="1"/>
        <v>0.18511996817440424</v>
      </c>
      <c r="F46" s="52"/>
      <c r="G46" s="52"/>
    </row>
    <row r="47" spans="1:7">
      <c r="A47" s="27">
        <v>35856</v>
      </c>
      <c r="B47" s="55">
        <v>16.953099999999999</v>
      </c>
      <c r="C47" s="99">
        <v>31.125</v>
      </c>
      <c r="D47" s="55">
        <f t="shared" si="0"/>
        <v>0.5446779116465863</v>
      </c>
      <c r="E47" s="55">
        <f t="shared" si="1"/>
        <v>0.18447546266699444</v>
      </c>
      <c r="F47" s="55"/>
      <c r="G47" s="55"/>
    </row>
    <row r="48" spans="1:7">
      <c r="A48" s="27">
        <v>35857</v>
      </c>
      <c r="B48" s="55">
        <v>16.390599999999999</v>
      </c>
      <c r="C48" s="99">
        <v>29.8125</v>
      </c>
      <c r="D48" s="55">
        <f t="shared" si="0"/>
        <v>0.54978951781970642</v>
      </c>
      <c r="E48" s="55">
        <f t="shared" si="1"/>
        <v>0.18958706884011456</v>
      </c>
      <c r="F48" s="55"/>
      <c r="G48" s="55"/>
    </row>
    <row r="49" spans="1:7">
      <c r="A49" s="26">
        <v>35858</v>
      </c>
      <c r="B49" s="52">
        <v>17.359400000000001</v>
      </c>
      <c r="C49" s="100">
        <v>28</v>
      </c>
      <c r="D49" s="52">
        <f t="shared" si="0"/>
        <v>0.61997857142857149</v>
      </c>
      <c r="E49" s="52">
        <f t="shared" si="1"/>
        <v>0.25977612244897963</v>
      </c>
      <c r="F49" s="52"/>
      <c r="G49" s="52"/>
    </row>
    <row r="50" spans="1:7">
      <c r="A50" s="26">
        <v>35859</v>
      </c>
      <c r="B50" s="52">
        <v>16.484400000000001</v>
      </c>
      <c r="C50" s="100">
        <v>27.125</v>
      </c>
      <c r="D50" s="52">
        <f t="shared" si="0"/>
        <v>0.60771981566820277</v>
      </c>
      <c r="E50" s="52">
        <f t="shared" si="1"/>
        <v>0.24751736668861091</v>
      </c>
      <c r="F50" s="52"/>
      <c r="G50" s="52"/>
    </row>
    <row r="51" spans="1:7">
      <c r="A51" s="27">
        <v>35860</v>
      </c>
      <c r="B51" s="55">
        <v>17.3125</v>
      </c>
      <c r="C51" s="99">
        <v>27.625</v>
      </c>
      <c r="D51" s="55">
        <f t="shared" si="0"/>
        <v>0.62669683257918551</v>
      </c>
      <c r="E51" s="55">
        <f t="shared" si="1"/>
        <v>0.26649438359959365</v>
      </c>
      <c r="F51" s="55"/>
      <c r="G51" s="55"/>
    </row>
    <row r="52" spans="1:7">
      <c r="A52" s="27">
        <v>35863</v>
      </c>
      <c r="B52" s="55">
        <v>15.7812</v>
      </c>
      <c r="C52" s="99">
        <v>25.4375</v>
      </c>
      <c r="D52" s="55">
        <f t="shared" si="0"/>
        <v>0.62039115479115481</v>
      </c>
      <c r="E52" s="55">
        <f t="shared" si="1"/>
        <v>0.26018870581156295</v>
      </c>
      <c r="F52" s="55"/>
      <c r="G52" s="55"/>
    </row>
    <row r="53" spans="1:7">
      <c r="A53" s="2"/>
    </row>
    <row r="54" spans="1:7">
      <c r="A54" s="2"/>
    </row>
    <row r="55" spans="1:7" ht="33" customHeight="1">
      <c r="A55" s="447" t="s">
        <v>151</v>
      </c>
      <c r="B55" s="447"/>
      <c r="C55" s="447"/>
      <c r="D55" s="447"/>
      <c r="E55" s="447"/>
      <c r="F55" s="447"/>
      <c r="G55" s="447"/>
    </row>
    <row r="56" spans="1:7" ht="33.75" customHeight="1">
      <c r="A56" s="447" t="s">
        <v>493</v>
      </c>
      <c r="B56" s="447"/>
      <c r="C56" s="447"/>
      <c r="D56" s="447"/>
      <c r="E56" s="447"/>
      <c r="F56" s="447"/>
      <c r="G56" s="447"/>
    </row>
    <row r="57" spans="1:7">
      <c r="A57" s="2"/>
    </row>
    <row r="58" spans="1:7">
      <c r="A58" s="2"/>
    </row>
    <row r="59" spans="1:7">
      <c r="A59" s="2"/>
    </row>
    <row r="60" spans="1:7">
      <c r="A60" s="2"/>
    </row>
    <row r="61" spans="1:7">
      <c r="A61" s="2"/>
    </row>
    <row r="62" spans="1:7">
      <c r="A62" s="2"/>
    </row>
    <row r="63" spans="1:7">
      <c r="A63" s="2"/>
    </row>
    <row r="64" spans="1:7">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row r="135" spans="1:1">
      <c r="A135" s="2"/>
    </row>
    <row r="136" spans="1:1">
      <c r="A136" s="2"/>
    </row>
    <row r="137" spans="1:1">
      <c r="A137" s="2"/>
    </row>
    <row r="138" spans="1:1">
      <c r="A138" s="2"/>
    </row>
    <row r="139" spans="1:1">
      <c r="A139" s="2"/>
    </row>
    <row r="140" spans="1:1">
      <c r="A140" s="2"/>
    </row>
    <row r="141" spans="1:1">
      <c r="A141" s="2"/>
    </row>
    <row r="142" spans="1:1">
      <c r="A142" s="2"/>
    </row>
    <row r="143" spans="1:1">
      <c r="A143" s="2"/>
    </row>
    <row r="144" spans="1:1">
      <c r="A144" s="2"/>
    </row>
    <row r="145" spans="1:1">
      <c r="A145" s="2"/>
    </row>
    <row r="146" spans="1:1">
      <c r="A146" s="2"/>
    </row>
    <row r="147" spans="1:1">
      <c r="A147" s="2"/>
    </row>
    <row r="148" spans="1:1">
      <c r="A148" s="2"/>
    </row>
    <row r="149" spans="1:1">
      <c r="A149" s="2"/>
    </row>
    <row r="150" spans="1:1">
      <c r="A150" s="2"/>
    </row>
    <row r="151" spans="1:1">
      <c r="A151" s="2"/>
    </row>
    <row r="152" spans="1:1">
      <c r="A152" s="2"/>
    </row>
    <row r="153" spans="1:1">
      <c r="A153" s="2"/>
    </row>
    <row r="154" spans="1:1">
      <c r="A154" s="2"/>
    </row>
    <row r="155" spans="1:1">
      <c r="A155" s="2"/>
    </row>
    <row r="156" spans="1:1">
      <c r="A156" s="2"/>
    </row>
    <row r="157" spans="1:1">
      <c r="A157" s="2"/>
    </row>
    <row r="158" spans="1:1">
      <c r="A158" s="2"/>
    </row>
    <row r="159" spans="1:1">
      <c r="A159" s="2"/>
    </row>
    <row r="160" spans="1:1">
      <c r="A160" s="2"/>
    </row>
    <row r="161" spans="1:1">
      <c r="A161" s="2"/>
    </row>
    <row r="162" spans="1:1">
      <c r="A162" s="2"/>
    </row>
    <row r="163" spans="1:1">
      <c r="A163" s="2"/>
    </row>
    <row r="164" spans="1:1">
      <c r="A164" s="2"/>
    </row>
    <row r="165" spans="1:1">
      <c r="A165" s="2"/>
    </row>
    <row r="166" spans="1:1">
      <c r="A166" s="2"/>
    </row>
    <row r="167" spans="1:1">
      <c r="A167" s="2"/>
    </row>
    <row r="168" spans="1:1">
      <c r="A168" s="2"/>
    </row>
    <row r="169" spans="1:1">
      <c r="A169" s="2"/>
    </row>
    <row r="170" spans="1:1">
      <c r="A170" s="2"/>
    </row>
    <row r="171" spans="1:1">
      <c r="A171" s="2"/>
    </row>
    <row r="172" spans="1:1">
      <c r="A172" s="2"/>
    </row>
    <row r="173" spans="1:1">
      <c r="A173" s="2"/>
    </row>
    <row r="174" spans="1:1">
      <c r="A174" s="2"/>
    </row>
    <row r="175" spans="1:1">
      <c r="A175" s="2"/>
    </row>
    <row r="176" spans="1:1">
      <c r="A176" s="2"/>
    </row>
    <row r="177" spans="1:1">
      <c r="A177" s="2"/>
    </row>
    <row r="178" spans="1:1">
      <c r="A178" s="2"/>
    </row>
    <row r="179" spans="1:1">
      <c r="A179" s="2"/>
    </row>
    <row r="180" spans="1:1">
      <c r="A180" s="2"/>
    </row>
    <row r="181" spans="1:1">
      <c r="A181" s="2"/>
    </row>
    <row r="182" spans="1:1">
      <c r="A182" s="2"/>
    </row>
    <row r="183" spans="1:1">
      <c r="A183" s="2"/>
    </row>
    <row r="184" spans="1:1">
      <c r="A184" s="2"/>
    </row>
    <row r="185" spans="1:1">
      <c r="A185" s="2"/>
    </row>
    <row r="186" spans="1:1">
      <c r="A186" s="2"/>
    </row>
    <row r="187" spans="1:1">
      <c r="A187" s="2"/>
    </row>
    <row r="188" spans="1:1">
      <c r="A188" s="2"/>
    </row>
    <row r="189" spans="1:1">
      <c r="A189" s="2"/>
    </row>
    <row r="190" spans="1:1">
      <c r="A190" s="2"/>
    </row>
    <row r="191" spans="1:1">
      <c r="A191" s="2"/>
    </row>
    <row r="192" spans="1:1">
      <c r="A192" s="2"/>
    </row>
    <row r="193" spans="1:1">
      <c r="A193" s="2"/>
    </row>
    <row r="194" spans="1:1">
      <c r="A194" s="2"/>
    </row>
    <row r="195" spans="1:1">
      <c r="A195" s="2"/>
    </row>
    <row r="196" spans="1:1">
      <c r="A196" s="2"/>
    </row>
    <row r="197" spans="1:1">
      <c r="A197" s="2"/>
    </row>
    <row r="198" spans="1:1">
      <c r="A198" s="2"/>
    </row>
    <row r="199" spans="1:1">
      <c r="A199" s="2"/>
    </row>
    <row r="200" spans="1:1">
      <c r="A200" s="2"/>
    </row>
    <row r="201" spans="1:1">
      <c r="A201" s="2"/>
    </row>
    <row r="202" spans="1:1">
      <c r="A202" s="2"/>
    </row>
    <row r="203" spans="1:1">
      <c r="A203" s="2"/>
    </row>
    <row r="204" spans="1:1">
      <c r="A204" s="2"/>
    </row>
    <row r="205" spans="1:1">
      <c r="A205" s="2"/>
    </row>
    <row r="206" spans="1:1">
      <c r="A206" s="2"/>
    </row>
    <row r="207" spans="1:1">
      <c r="A207" s="2"/>
    </row>
    <row r="208" spans="1:1">
      <c r="A208" s="2"/>
    </row>
    <row r="209" spans="1:1">
      <c r="A209" s="2"/>
    </row>
    <row r="210" spans="1:1">
      <c r="A210" s="2"/>
    </row>
    <row r="211" spans="1:1">
      <c r="A211" s="2"/>
    </row>
    <row r="212" spans="1:1">
      <c r="A212" s="2"/>
    </row>
    <row r="213" spans="1:1">
      <c r="A213" s="2"/>
    </row>
    <row r="214" spans="1:1">
      <c r="A214" s="2"/>
    </row>
    <row r="215" spans="1:1">
      <c r="A215" s="2"/>
    </row>
    <row r="216" spans="1:1">
      <c r="A216" s="2"/>
    </row>
    <row r="217" spans="1:1">
      <c r="A217" s="2"/>
    </row>
    <row r="218" spans="1:1">
      <c r="A218" s="2"/>
    </row>
    <row r="219" spans="1:1">
      <c r="A219" s="2"/>
    </row>
    <row r="220" spans="1:1">
      <c r="A220" s="2"/>
    </row>
    <row r="221" spans="1:1">
      <c r="A221" s="2"/>
    </row>
    <row r="222" spans="1:1">
      <c r="A222" s="2"/>
    </row>
    <row r="223" spans="1:1">
      <c r="A223" s="2"/>
    </row>
    <row r="224" spans="1:1">
      <c r="A224" s="2"/>
    </row>
    <row r="225" spans="1:1">
      <c r="A225" s="2"/>
    </row>
    <row r="226" spans="1:1">
      <c r="A226" s="2"/>
    </row>
    <row r="227" spans="1:1">
      <c r="A227" s="2"/>
    </row>
    <row r="228" spans="1:1">
      <c r="A228" s="2"/>
    </row>
    <row r="229" spans="1:1">
      <c r="A229" s="2"/>
    </row>
    <row r="230" spans="1:1">
      <c r="A230" s="2"/>
    </row>
    <row r="231" spans="1:1">
      <c r="A231" s="2"/>
    </row>
    <row r="232" spans="1:1">
      <c r="A232" s="2"/>
    </row>
    <row r="233" spans="1:1">
      <c r="A233" s="2"/>
    </row>
    <row r="234" spans="1:1">
      <c r="A234" s="2"/>
    </row>
    <row r="235" spans="1:1">
      <c r="A235" s="2"/>
    </row>
    <row r="236" spans="1:1">
      <c r="A236" s="2"/>
    </row>
    <row r="237" spans="1:1">
      <c r="A237" s="2"/>
    </row>
    <row r="238" spans="1:1">
      <c r="A238" s="2"/>
    </row>
    <row r="239" spans="1:1">
      <c r="A239" s="2"/>
    </row>
    <row r="240" spans="1:1">
      <c r="A240" s="2"/>
    </row>
    <row r="241" spans="1:1">
      <c r="A241" s="2"/>
    </row>
    <row r="242" spans="1:1">
      <c r="A242" s="2"/>
    </row>
    <row r="243" spans="1:1">
      <c r="A243" s="2"/>
    </row>
    <row r="244" spans="1:1">
      <c r="A244" s="2"/>
    </row>
    <row r="245" spans="1:1">
      <c r="A245" s="2"/>
    </row>
    <row r="246" spans="1:1">
      <c r="A246" s="2"/>
    </row>
    <row r="247" spans="1:1">
      <c r="A247" s="2"/>
    </row>
    <row r="248" spans="1:1">
      <c r="A248" s="2"/>
    </row>
    <row r="249" spans="1:1">
      <c r="A249" s="2"/>
    </row>
    <row r="250" spans="1:1">
      <c r="A250" s="2"/>
    </row>
    <row r="251" spans="1:1">
      <c r="A251" s="2"/>
    </row>
    <row r="252" spans="1:1">
      <c r="A252" s="2"/>
    </row>
    <row r="253" spans="1:1">
      <c r="A253" s="2"/>
    </row>
    <row r="254" spans="1:1">
      <c r="A254" s="2"/>
    </row>
    <row r="255" spans="1:1">
      <c r="A255" s="2"/>
    </row>
    <row r="256" spans="1:1">
      <c r="A256" s="2"/>
    </row>
  </sheetData>
  <mergeCells count="4">
    <mergeCell ref="B5:G5"/>
    <mergeCell ref="B6:G6"/>
    <mergeCell ref="A55:G55"/>
    <mergeCell ref="A56:G56"/>
  </mergeCells>
  <phoneticPr fontId="0" type="noConversion"/>
  <pageMargins left="0.75" right="0.75" top="1" bottom="1" header="0.5" footer="0.5"/>
  <pageSetup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93185"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3186"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3187"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3188"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93189" r:id="rId7" name="Button 5">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3190" r:id="rId8"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3191" r:id="rId9"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3192" r:id="rId10"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enableFormatConditionsCalculation="0"/>
  <dimension ref="A1:N79"/>
  <sheetViews>
    <sheetView workbookViewId="0"/>
  </sheetViews>
  <sheetFormatPr baseColWidth="10" defaultColWidth="8.83203125" defaultRowHeight="12" x14ac:dyDescent="0"/>
  <cols>
    <col min="1" max="1" width="11.83203125" customWidth="1"/>
    <col min="4" max="4" width="11" customWidth="1"/>
    <col min="5" max="5" width="11.5" customWidth="1"/>
    <col min="6" max="7" width="11.33203125" customWidth="1"/>
    <col min="8" max="9" width="10.832031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136</v>
      </c>
      <c r="C3" s="21"/>
      <c r="D3" s="21"/>
      <c r="E3" s="21"/>
      <c r="F3" s="21"/>
      <c r="G3" s="21"/>
      <c r="H3" s="21"/>
      <c r="I3" s="21"/>
      <c r="J3" s="21"/>
    </row>
    <row r="4" spans="1:14">
      <c r="A4" s="19" t="s">
        <v>774</v>
      </c>
      <c r="B4" s="20" t="s">
        <v>137</v>
      </c>
      <c r="C4" s="21"/>
      <c r="D4" s="21"/>
      <c r="E4" s="21"/>
      <c r="F4" s="21"/>
      <c r="G4" s="21"/>
      <c r="H4" s="21"/>
      <c r="I4" s="21"/>
      <c r="J4" s="21"/>
    </row>
    <row r="5" spans="1:14" ht="15">
      <c r="A5" s="118" t="s">
        <v>779</v>
      </c>
      <c r="B5" s="127" t="s">
        <v>495</v>
      </c>
      <c r="C5" s="21"/>
      <c r="D5" s="21"/>
      <c r="E5" s="21"/>
      <c r="F5" s="21"/>
      <c r="G5" s="21"/>
      <c r="H5" s="21"/>
      <c r="I5" s="21"/>
      <c r="J5" s="21"/>
      <c r="K5" s="241"/>
    </row>
    <row r="6" spans="1:14" ht="69" customHeight="1">
      <c r="A6" s="21"/>
      <c r="B6" s="21"/>
      <c r="C6" s="21"/>
      <c r="D6" s="21"/>
      <c r="E6" s="21"/>
      <c r="F6" s="21"/>
      <c r="G6" s="21"/>
      <c r="H6" s="21"/>
      <c r="I6" s="21"/>
      <c r="J6" s="21"/>
      <c r="K6" s="241"/>
    </row>
    <row r="7" spans="1:14" ht="15" customHeight="1">
      <c r="A7" s="118"/>
      <c r="B7" s="21" t="s">
        <v>1205</v>
      </c>
      <c r="C7" s="21"/>
      <c r="D7" s="21"/>
      <c r="E7" s="21"/>
      <c r="F7" s="21"/>
      <c r="G7" s="21"/>
      <c r="H7" s="21"/>
      <c r="I7" s="21"/>
      <c r="J7" s="21"/>
      <c r="K7" s="241"/>
    </row>
    <row r="8" spans="1:14" ht="15">
      <c r="A8" s="118"/>
      <c r="B8" s="21"/>
      <c r="C8" s="189" t="s">
        <v>75</v>
      </c>
      <c r="D8" s="21"/>
      <c r="E8" s="21"/>
      <c r="F8" s="21"/>
      <c r="G8" s="21"/>
      <c r="H8" s="21"/>
      <c r="I8" s="21"/>
      <c r="J8" s="21"/>
      <c r="K8" s="241"/>
    </row>
    <row r="9" spans="1:14" ht="15">
      <c r="A9" s="19"/>
      <c r="B9" s="21"/>
      <c r="C9" s="189" t="s">
        <v>496</v>
      </c>
      <c r="D9" s="21"/>
      <c r="E9" s="21"/>
      <c r="F9" s="21"/>
      <c r="G9" s="21"/>
      <c r="H9" s="21"/>
      <c r="I9" s="21"/>
      <c r="J9" s="21"/>
    </row>
    <row r="10" spans="1:14">
      <c r="A10" s="19" t="s">
        <v>635</v>
      </c>
      <c r="B10" s="20">
        <v>5</v>
      </c>
      <c r="C10" s="21"/>
      <c r="D10" s="21"/>
      <c r="E10" s="21"/>
      <c r="F10" s="21"/>
      <c r="G10" s="21"/>
      <c r="H10" s="21"/>
      <c r="I10" s="21"/>
      <c r="J10" s="21"/>
    </row>
    <row r="11" spans="1:14" ht="46.5" customHeight="1">
      <c r="A11" s="22" t="s">
        <v>1090</v>
      </c>
      <c r="B11" s="22" t="s">
        <v>1098</v>
      </c>
      <c r="C11" s="31" t="s">
        <v>505</v>
      </c>
      <c r="D11" s="31" t="s">
        <v>100</v>
      </c>
      <c r="E11" s="31" t="s">
        <v>506</v>
      </c>
      <c r="F11" s="31" t="s">
        <v>507</v>
      </c>
      <c r="G11" s="31" t="s">
        <v>508</v>
      </c>
      <c r="H11" s="31" t="s">
        <v>509</v>
      </c>
      <c r="I11" s="31" t="s">
        <v>510</v>
      </c>
      <c r="J11" s="31" t="s">
        <v>511</v>
      </c>
    </row>
    <row r="12" spans="1:14">
      <c r="A12" s="26">
        <v>35612</v>
      </c>
      <c r="B12" s="52">
        <v>37.875</v>
      </c>
      <c r="C12" s="52"/>
      <c r="D12" s="28"/>
      <c r="E12" s="28"/>
      <c r="F12" s="28"/>
      <c r="G12" s="28"/>
      <c r="H12" s="28"/>
      <c r="I12" s="28"/>
      <c r="J12" s="28"/>
      <c r="K12" s="2"/>
    </row>
    <row r="13" spans="1:14">
      <c r="A13" s="26">
        <v>35613</v>
      </c>
      <c r="B13" s="52">
        <v>39.5</v>
      </c>
      <c r="C13" s="52">
        <f>IF(B13&gt;B12,B13-B12,0)</f>
        <v>1.625</v>
      </c>
      <c r="D13" s="28"/>
      <c r="E13" s="52">
        <f>IF(B13&lt;B12,B12-B13,0)</f>
        <v>0</v>
      </c>
      <c r="F13" s="52"/>
      <c r="G13" s="52"/>
      <c r="H13" s="52"/>
      <c r="I13" s="52"/>
      <c r="J13" s="52"/>
      <c r="K13" s="2"/>
    </row>
    <row r="14" spans="1:14">
      <c r="A14" s="27">
        <v>35614</v>
      </c>
      <c r="B14" s="55">
        <v>38.75</v>
      </c>
      <c r="C14" s="55">
        <f t="shared" ref="C14:C29" si="0">IF(B14&gt;B13,B14-B13,0)</f>
        <v>0</v>
      </c>
      <c r="D14" s="29"/>
      <c r="E14" s="55">
        <f t="shared" ref="E14:E29" si="1">IF(B14&lt;B13,B13-B14,0)</f>
        <v>0.75</v>
      </c>
      <c r="F14" s="55"/>
      <c r="G14" s="55"/>
      <c r="H14" s="55"/>
      <c r="I14" s="55"/>
      <c r="J14" s="55"/>
      <c r="K14" s="2"/>
    </row>
    <row r="15" spans="1:14">
      <c r="A15" s="27">
        <v>35618</v>
      </c>
      <c r="B15" s="55">
        <v>39.8125</v>
      </c>
      <c r="C15" s="55">
        <f t="shared" si="0"/>
        <v>1.0625</v>
      </c>
      <c r="D15" s="29"/>
      <c r="E15" s="55">
        <f t="shared" si="1"/>
        <v>0</v>
      </c>
      <c r="F15" s="55"/>
      <c r="G15" s="55"/>
      <c r="H15" s="55"/>
      <c r="I15" s="55"/>
      <c r="J15" s="55"/>
      <c r="K15" s="2"/>
    </row>
    <row r="16" spans="1:14">
      <c r="A16" s="26">
        <v>35619</v>
      </c>
      <c r="B16" s="52">
        <v>40</v>
      </c>
      <c r="C16" s="52">
        <f t="shared" si="0"/>
        <v>0.1875</v>
      </c>
      <c r="D16" s="28"/>
      <c r="E16" s="52">
        <f t="shared" si="1"/>
        <v>0</v>
      </c>
      <c r="F16" s="52"/>
      <c r="G16" s="52"/>
      <c r="H16" s="52"/>
      <c r="I16" s="52"/>
      <c r="J16" s="52"/>
      <c r="K16" s="2"/>
    </row>
    <row r="17" spans="1:11">
      <c r="A17" s="26">
        <v>35620</v>
      </c>
      <c r="B17" s="52">
        <v>39.875</v>
      </c>
      <c r="C17" s="52">
        <f t="shared" si="0"/>
        <v>0</v>
      </c>
      <c r="D17" s="52">
        <f>AVERAGE(C13:C17)</f>
        <v>0.57499999999999996</v>
      </c>
      <c r="E17" s="52">
        <f t="shared" si="1"/>
        <v>0.125</v>
      </c>
      <c r="F17" s="52">
        <f>AVERAGE(E13:E17)</f>
        <v>0.17499999999999999</v>
      </c>
      <c r="G17" s="52">
        <f>D17/F17</f>
        <v>3.2857142857142856</v>
      </c>
      <c r="H17" s="52">
        <f>1+G17</f>
        <v>4.2857142857142856</v>
      </c>
      <c r="I17" s="52">
        <f>100/H17</f>
        <v>23.333333333333336</v>
      </c>
      <c r="J17" s="52">
        <f>100-I17</f>
        <v>76.666666666666657</v>
      </c>
      <c r="K17" s="9"/>
    </row>
    <row r="18" spans="1:11">
      <c r="A18" s="27">
        <v>35621</v>
      </c>
      <c r="B18" s="55">
        <v>40.1875</v>
      </c>
      <c r="C18" s="55">
        <f t="shared" si="0"/>
        <v>0.3125</v>
      </c>
      <c r="D18" s="55">
        <f>D17+((C18-D17)/($B$10))</f>
        <v>0.52249999999999996</v>
      </c>
      <c r="E18" s="55">
        <f t="shared" si="1"/>
        <v>0</v>
      </c>
      <c r="F18" s="55">
        <f>F17+((E18-F17)/$B$10)</f>
        <v>0.13999999999999999</v>
      </c>
      <c r="G18" s="55">
        <f t="shared" ref="G18:G65" si="2">D18/F18</f>
        <v>3.7321428571428572</v>
      </c>
      <c r="H18" s="55">
        <f t="shared" ref="H18:H65" si="3">1+G18</f>
        <v>4.7321428571428577</v>
      </c>
      <c r="I18" s="55">
        <f t="shared" ref="I18:I65" si="4">100/H18</f>
        <v>21.132075471698112</v>
      </c>
      <c r="J18" s="55">
        <f t="shared" ref="J18:J65" si="5">100-I18</f>
        <v>78.867924528301884</v>
      </c>
      <c r="K18" s="9"/>
    </row>
    <row r="19" spans="1:11">
      <c r="A19" s="27">
        <v>35622</v>
      </c>
      <c r="B19" s="55">
        <v>41.25</v>
      </c>
      <c r="C19" s="55">
        <f t="shared" si="0"/>
        <v>1.0625</v>
      </c>
      <c r="D19" s="55">
        <f t="shared" ref="D19:D65" si="6">D18+((C19-D18)/($B$10))</f>
        <v>0.63049999999999995</v>
      </c>
      <c r="E19" s="55">
        <f t="shared" si="1"/>
        <v>0</v>
      </c>
      <c r="F19" s="55">
        <f t="shared" ref="F19:F65" si="7">F18+((E19-F18)/$B$10)</f>
        <v>0.11199999999999999</v>
      </c>
      <c r="G19" s="55">
        <f t="shared" si="2"/>
        <v>5.6294642857142856</v>
      </c>
      <c r="H19" s="55">
        <f t="shared" si="3"/>
        <v>6.6294642857142856</v>
      </c>
      <c r="I19" s="55">
        <f t="shared" si="4"/>
        <v>15.084175084175085</v>
      </c>
      <c r="J19" s="55">
        <f t="shared" si="5"/>
        <v>84.915824915824913</v>
      </c>
      <c r="K19" s="9"/>
    </row>
    <row r="20" spans="1:11">
      <c r="A20" s="26">
        <v>35625</v>
      </c>
      <c r="B20" s="52">
        <v>41.125</v>
      </c>
      <c r="C20" s="52">
        <f t="shared" si="0"/>
        <v>0</v>
      </c>
      <c r="D20" s="52">
        <f t="shared" si="6"/>
        <v>0.50439999999999996</v>
      </c>
      <c r="E20" s="52">
        <f t="shared" si="1"/>
        <v>0.125</v>
      </c>
      <c r="F20" s="52">
        <f t="shared" si="7"/>
        <v>0.11459999999999999</v>
      </c>
      <c r="G20" s="52">
        <f t="shared" si="2"/>
        <v>4.4013961605584644</v>
      </c>
      <c r="H20" s="52">
        <f t="shared" si="3"/>
        <v>5.4013961605584644</v>
      </c>
      <c r="I20" s="52">
        <f t="shared" si="4"/>
        <v>18.513731825525038</v>
      </c>
      <c r="J20" s="52">
        <f t="shared" si="5"/>
        <v>81.486268174474958</v>
      </c>
      <c r="K20" s="9"/>
    </row>
    <row r="21" spans="1:11">
      <c r="A21" s="26">
        <v>35626</v>
      </c>
      <c r="B21" s="52">
        <v>41.625</v>
      </c>
      <c r="C21" s="52">
        <f t="shared" si="0"/>
        <v>0.5</v>
      </c>
      <c r="D21" s="52">
        <f t="shared" si="6"/>
        <v>0.50351999999999997</v>
      </c>
      <c r="E21" s="52">
        <f t="shared" si="1"/>
        <v>0</v>
      </c>
      <c r="F21" s="52">
        <f t="shared" si="7"/>
        <v>9.1679999999999998E-2</v>
      </c>
      <c r="G21" s="52">
        <f t="shared" si="2"/>
        <v>5.4921465968586389</v>
      </c>
      <c r="H21" s="52">
        <f t="shared" si="3"/>
        <v>6.4921465968586389</v>
      </c>
      <c r="I21" s="52">
        <f t="shared" si="4"/>
        <v>15.403225806451612</v>
      </c>
      <c r="J21" s="52">
        <f t="shared" si="5"/>
        <v>84.596774193548384</v>
      </c>
      <c r="K21" s="9"/>
    </row>
    <row r="22" spans="1:11">
      <c r="A22" s="27">
        <v>35627</v>
      </c>
      <c r="B22" s="55">
        <v>41.25</v>
      </c>
      <c r="C22" s="55">
        <f t="shared" si="0"/>
        <v>0</v>
      </c>
      <c r="D22" s="55">
        <f t="shared" si="6"/>
        <v>0.40281599999999995</v>
      </c>
      <c r="E22" s="55">
        <f t="shared" si="1"/>
        <v>0.375</v>
      </c>
      <c r="F22" s="55">
        <f t="shared" si="7"/>
        <v>0.148344</v>
      </c>
      <c r="G22" s="55">
        <f t="shared" si="2"/>
        <v>2.7154182171169712</v>
      </c>
      <c r="H22" s="55">
        <f t="shared" si="3"/>
        <v>3.7154182171169712</v>
      </c>
      <c r="I22" s="55">
        <f t="shared" si="4"/>
        <v>26.91487045504028</v>
      </c>
      <c r="J22" s="55">
        <f t="shared" si="5"/>
        <v>73.085129544959727</v>
      </c>
      <c r="K22" s="9"/>
    </row>
    <row r="23" spans="1:11">
      <c r="A23" s="27">
        <v>35628</v>
      </c>
      <c r="B23" s="55">
        <v>40.1875</v>
      </c>
      <c r="C23" s="55">
        <f t="shared" si="0"/>
        <v>0</v>
      </c>
      <c r="D23" s="55">
        <f t="shared" si="6"/>
        <v>0.32225279999999995</v>
      </c>
      <c r="E23" s="55">
        <f t="shared" si="1"/>
        <v>1.0625</v>
      </c>
      <c r="F23" s="55">
        <f t="shared" si="7"/>
        <v>0.3311752</v>
      </c>
      <c r="G23" s="55">
        <f t="shared" si="2"/>
        <v>0.97305836910493282</v>
      </c>
      <c r="H23" s="55">
        <f t="shared" si="3"/>
        <v>1.9730583691049328</v>
      </c>
      <c r="I23" s="55">
        <f t="shared" si="4"/>
        <v>50.682737807378935</v>
      </c>
      <c r="J23" s="55">
        <f t="shared" si="5"/>
        <v>49.317262192621065</v>
      </c>
      <c r="K23" s="9"/>
    </row>
    <row r="24" spans="1:11">
      <c r="A24" s="26">
        <v>35629</v>
      </c>
      <c r="B24" s="52">
        <v>39.9375</v>
      </c>
      <c r="C24" s="52">
        <f t="shared" si="0"/>
        <v>0</v>
      </c>
      <c r="D24" s="52">
        <f t="shared" si="6"/>
        <v>0.25780223999999996</v>
      </c>
      <c r="E24" s="52">
        <f t="shared" si="1"/>
        <v>0.25</v>
      </c>
      <c r="F24" s="52">
        <f t="shared" si="7"/>
        <v>0.31494016000000002</v>
      </c>
      <c r="G24" s="52">
        <f t="shared" si="2"/>
        <v>0.81857531284673235</v>
      </c>
      <c r="H24" s="52">
        <f t="shared" si="3"/>
        <v>1.8185753128467324</v>
      </c>
      <c r="I24" s="52">
        <f t="shared" si="4"/>
        <v>54.988099361947015</v>
      </c>
      <c r="J24" s="52">
        <f t="shared" si="5"/>
        <v>45.011900638052985</v>
      </c>
      <c r="K24" s="9"/>
    </row>
    <row r="25" spans="1:11">
      <c r="A25" s="26">
        <v>35632</v>
      </c>
      <c r="B25" s="52">
        <v>39.9375</v>
      </c>
      <c r="C25" s="52">
        <f t="shared" si="0"/>
        <v>0</v>
      </c>
      <c r="D25" s="52">
        <f t="shared" si="6"/>
        <v>0.20624179199999998</v>
      </c>
      <c r="E25" s="52">
        <f t="shared" si="1"/>
        <v>0</v>
      </c>
      <c r="F25" s="52">
        <f t="shared" si="7"/>
        <v>0.251952128</v>
      </c>
      <c r="G25" s="52">
        <f t="shared" si="2"/>
        <v>0.81857531284673246</v>
      </c>
      <c r="H25" s="52">
        <f t="shared" si="3"/>
        <v>1.8185753128467326</v>
      </c>
      <c r="I25" s="52">
        <f t="shared" si="4"/>
        <v>54.988099361947008</v>
      </c>
      <c r="J25" s="52">
        <f t="shared" si="5"/>
        <v>45.011900638052992</v>
      </c>
      <c r="K25" s="9"/>
    </row>
    <row r="26" spans="1:11">
      <c r="A26" s="27">
        <v>35633</v>
      </c>
      <c r="B26" s="55">
        <v>40.5</v>
      </c>
      <c r="C26" s="55">
        <f t="shared" si="0"/>
        <v>0.5625</v>
      </c>
      <c r="D26" s="55">
        <f t="shared" si="6"/>
        <v>0.27749343360000001</v>
      </c>
      <c r="E26" s="55">
        <f t="shared" si="1"/>
        <v>0</v>
      </c>
      <c r="F26" s="55">
        <f t="shared" si="7"/>
        <v>0.20156170239999999</v>
      </c>
      <c r="G26" s="55">
        <f t="shared" si="2"/>
        <v>1.376717056344926</v>
      </c>
      <c r="H26" s="55">
        <f t="shared" si="3"/>
        <v>2.3767170563449262</v>
      </c>
      <c r="I26" s="55">
        <f t="shared" si="4"/>
        <v>42.074844261767808</v>
      </c>
      <c r="J26" s="55">
        <f t="shared" si="5"/>
        <v>57.925155738232192</v>
      </c>
      <c r="K26" s="9"/>
    </row>
    <row r="27" spans="1:11">
      <c r="A27" s="27">
        <v>35634</v>
      </c>
      <c r="B27" s="55">
        <v>41.9375</v>
      </c>
      <c r="C27" s="55">
        <f t="shared" si="0"/>
        <v>1.4375</v>
      </c>
      <c r="D27" s="55">
        <f t="shared" si="6"/>
        <v>0.50949474687999996</v>
      </c>
      <c r="E27" s="55">
        <f t="shared" si="1"/>
        <v>0</v>
      </c>
      <c r="F27" s="55">
        <f t="shared" si="7"/>
        <v>0.16124936192</v>
      </c>
      <c r="G27" s="55">
        <f t="shared" si="2"/>
        <v>3.1596698480752656</v>
      </c>
      <c r="H27" s="55">
        <f t="shared" si="3"/>
        <v>4.1596698480752661</v>
      </c>
      <c r="I27" s="55">
        <f t="shared" si="4"/>
        <v>24.040369464963984</v>
      </c>
      <c r="J27" s="55">
        <f t="shared" si="5"/>
        <v>75.959630535036013</v>
      </c>
      <c r="K27" s="9"/>
    </row>
    <row r="28" spans="1:11">
      <c r="A28" s="26">
        <v>35635</v>
      </c>
      <c r="B28" s="52">
        <v>42.25</v>
      </c>
      <c r="C28" s="52">
        <f t="shared" si="0"/>
        <v>0.3125</v>
      </c>
      <c r="D28" s="52">
        <f t="shared" si="6"/>
        <v>0.47009579750399999</v>
      </c>
      <c r="E28" s="52">
        <f t="shared" si="1"/>
        <v>0</v>
      </c>
      <c r="F28" s="52">
        <f t="shared" si="7"/>
        <v>0.12899948953599999</v>
      </c>
      <c r="G28" s="52">
        <f t="shared" si="2"/>
        <v>3.6441678893063369</v>
      </c>
      <c r="H28" s="52">
        <f t="shared" si="3"/>
        <v>4.6441678893063365</v>
      </c>
      <c r="I28" s="52">
        <f t="shared" si="4"/>
        <v>21.532382632044818</v>
      </c>
      <c r="J28" s="52">
        <f t="shared" si="5"/>
        <v>78.467617367955185</v>
      </c>
      <c r="K28" s="9"/>
    </row>
    <row r="29" spans="1:11">
      <c r="A29" s="26">
        <v>35636</v>
      </c>
      <c r="B29" s="52">
        <v>42.25</v>
      </c>
      <c r="C29" s="52">
        <f t="shared" si="0"/>
        <v>0</v>
      </c>
      <c r="D29" s="52">
        <f t="shared" si="6"/>
        <v>0.37607663800320001</v>
      </c>
      <c r="E29" s="52">
        <f t="shared" si="1"/>
        <v>0</v>
      </c>
      <c r="F29" s="52">
        <f t="shared" si="7"/>
        <v>0.10319959162879999</v>
      </c>
      <c r="G29" s="52">
        <f t="shared" si="2"/>
        <v>3.6441678893063374</v>
      </c>
      <c r="H29" s="52">
        <f t="shared" si="3"/>
        <v>4.6441678893063374</v>
      </c>
      <c r="I29" s="52">
        <f t="shared" si="4"/>
        <v>21.532382632044815</v>
      </c>
      <c r="J29" s="52">
        <f t="shared" si="5"/>
        <v>78.467617367955185</v>
      </c>
      <c r="K29" s="9"/>
    </row>
    <row r="30" spans="1:11">
      <c r="A30" s="27">
        <v>35639</v>
      </c>
      <c r="B30" s="55">
        <v>41.875</v>
      </c>
      <c r="C30" s="55">
        <f t="shared" ref="C30:C36" si="8">IF(B30&gt;B29,B30-B29,0)</f>
        <v>0</v>
      </c>
      <c r="D30" s="55">
        <f t="shared" si="6"/>
        <v>0.30086131040256003</v>
      </c>
      <c r="E30" s="55">
        <f t="shared" ref="E30:E36" si="9">IF(B30&lt;B29,B29-B30,0)</f>
        <v>0.375</v>
      </c>
      <c r="F30" s="55">
        <f t="shared" si="7"/>
        <v>0.15755967330303999</v>
      </c>
      <c r="G30" s="55">
        <f t="shared" si="2"/>
        <v>1.9095070717994129</v>
      </c>
      <c r="H30" s="55">
        <f t="shared" si="3"/>
        <v>2.9095070717994131</v>
      </c>
      <c r="I30" s="55">
        <f t="shared" si="4"/>
        <v>34.370083155753946</v>
      </c>
      <c r="J30" s="55">
        <f t="shared" si="5"/>
        <v>65.629916844246054</v>
      </c>
      <c r="K30" s="9"/>
    </row>
    <row r="31" spans="1:11">
      <c r="A31" s="27">
        <v>35640</v>
      </c>
      <c r="B31" s="55">
        <v>41.875</v>
      </c>
      <c r="C31" s="55">
        <f t="shared" si="8"/>
        <v>0</v>
      </c>
      <c r="D31" s="55">
        <f t="shared" si="6"/>
        <v>0.24068904832204802</v>
      </c>
      <c r="E31" s="55">
        <f t="shared" si="9"/>
        <v>0</v>
      </c>
      <c r="F31" s="55">
        <f t="shared" si="7"/>
        <v>0.12604773864243199</v>
      </c>
      <c r="G31" s="55">
        <f t="shared" si="2"/>
        <v>1.9095070717994129</v>
      </c>
      <c r="H31" s="55">
        <f t="shared" si="3"/>
        <v>2.9095070717994131</v>
      </c>
      <c r="I31" s="55">
        <f t="shared" si="4"/>
        <v>34.370083155753946</v>
      </c>
      <c r="J31" s="55">
        <f t="shared" si="5"/>
        <v>65.629916844246054</v>
      </c>
      <c r="K31" s="9"/>
    </row>
    <row r="32" spans="1:11">
      <c r="A32" s="26">
        <v>35641</v>
      </c>
      <c r="B32" s="52">
        <v>42.1875</v>
      </c>
      <c r="C32" s="52">
        <f t="shared" si="8"/>
        <v>0.3125</v>
      </c>
      <c r="D32" s="52">
        <f t="shared" si="6"/>
        <v>0.2550512386576384</v>
      </c>
      <c r="E32" s="52">
        <f t="shared" si="9"/>
        <v>0</v>
      </c>
      <c r="F32" s="52">
        <f t="shared" si="7"/>
        <v>0.10083819091394559</v>
      </c>
      <c r="G32" s="52">
        <f t="shared" si="2"/>
        <v>2.5293119238453698</v>
      </c>
      <c r="H32" s="52">
        <f t="shared" si="3"/>
        <v>3.5293119238453698</v>
      </c>
      <c r="I32" s="52">
        <f t="shared" si="4"/>
        <v>28.334134856248344</v>
      </c>
      <c r="J32" s="52">
        <f t="shared" si="5"/>
        <v>71.66586514375166</v>
      </c>
      <c r="K32" s="9"/>
    </row>
    <row r="33" spans="1:11">
      <c r="A33" s="26">
        <v>35642</v>
      </c>
      <c r="B33" s="52">
        <v>42.125</v>
      </c>
      <c r="C33" s="52">
        <f t="shared" si="8"/>
        <v>0</v>
      </c>
      <c r="D33" s="52">
        <f t="shared" si="6"/>
        <v>0.20404099092611072</v>
      </c>
      <c r="E33" s="52">
        <f t="shared" si="9"/>
        <v>6.25E-2</v>
      </c>
      <c r="F33" s="52">
        <f t="shared" si="7"/>
        <v>9.3170552731156472E-2</v>
      </c>
      <c r="G33" s="52">
        <f t="shared" si="2"/>
        <v>2.1899729576025031</v>
      </c>
      <c r="H33" s="52">
        <f t="shared" si="3"/>
        <v>3.1899729576025031</v>
      </c>
      <c r="I33" s="52">
        <f t="shared" si="4"/>
        <v>31.348228128917206</v>
      </c>
      <c r="J33" s="52">
        <f t="shared" si="5"/>
        <v>68.651771871082786</v>
      </c>
      <c r="K33" s="9"/>
    </row>
    <row r="34" spans="1:11">
      <c r="A34" s="27">
        <v>35643</v>
      </c>
      <c r="B34" s="55">
        <v>41.1875</v>
      </c>
      <c r="C34" s="55">
        <f t="shared" si="8"/>
        <v>0</v>
      </c>
      <c r="D34" s="55">
        <f t="shared" si="6"/>
        <v>0.16323279274088859</v>
      </c>
      <c r="E34" s="55">
        <f t="shared" si="9"/>
        <v>0.9375</v>
      </c>
      <c r="F34" s="55">
        <f t="shared" si="7"/>
        <v>0.26203644218492517</v>
      </c>
      <c r="G34" s="55">
        <f t="shared" si="2"/>
        <v>0.6229392804291376</v>
      </c>
      <c r="H34" s="55">
        <f t="shared" si="3"/>
        <v>1.6229392804291376</v>
      </c>
      <c r="I34" s="55">
        <f t="shared" si="4"/>
        <v>61.616599712564721</v>
      </c>
      <c r="J34" s="55">
        <f t="shared" si="5"/>
        <v>38.383400287435279</v>
      </c>
      <c r="K34" s="9"/>
    </row>
    <row r="35" spans="1:11">
      <c r="A35" s="27">
        <v>35646</v>
      </c>
      <c r="B35" s="55">
        <v>41.1875</v>
      </c>
      <c r="C35" s="55">
        <f t="shared" si="8"/>
        <v>0</v>
      </c>
      <c r="D35" s="55">
        <f t="shared" si="6"/>
        <v>0.13058623419271087</v>
      </c>
      <c r="E35" s="55">
        <f t="shared" si="9"/>
        <v>0</v>
      </c>
      <c r="F35" s="55">
        <f t="shared" si="7"/>
        <v>0.20962915374794014</v>
      </c>
      <c r="G35" s="55">
        <f t="shared" si="2"/>
        <v>0.62293928042913749</v>
      </c>
      <c r="H35" s="55">
        <f t="shared" si="3"/>
        <v>1.6229392804291374</v>
      </c>
      <c r="I35" s="55">
        <f t="shared" si="4"/>
        <v>61.616599712564735</v>
      </c>
      <c r="J35" s="55">
        <f t="shared" si="5"/>
        <v>38.383400287435265</v>
      </c>
      <c r="K35" s="9"/>
    </row>
    <row r="36" spans="1:11">
      <c r="A36" s="26">
        <v>35647</v>
      </c>
      <c r="B36" s="52">
        <v>42</v>
      </c>
      <c r="C36" s="52">
        <f t="shared" si="8"/>
        <v>0.8125</v>
      </c>
      <c r="D36" s="52">
        <f t="shared" si="6"/>
        <v>0.26696898735416869</v>
      </c>
      <c r="E36" s="52">
        <f t="shared" si="9"/>
        <v>0</v>
      </c>
      <c r="F36" s="52">
        <f t="shared" si="7"/>
        <v>0.16770332299835211</v>
      </c>
      <c r="G36" s="52">
        <f t="shared" si="2"/>
        <v>1.5919123281581724</v>
      </c>
      <c r="H36" s="52">
        <f t="shared" si="3"/>
        <v>2.5919123281581724</v>
      </c>
      <c r="I36" s="52">
        <f t="shared" si="4"/>
        <v>38.581551896495114</v>
      </c>
      <c r="J36" s="52">
        <f t="shared" si="5"/>
        <v>61.418448103504886</v>
      </c>
      <c r="K36" s="9"/>
    </row>
    <row r="37" spans="1:11">
      <c r="A37" s="26">
        <v>35648</v>
      </c>
      <c r="B37" s="28">
        <v>42.1875</v>
      </c>
      <c r="C37" s="52">
        <f t="shared" ref="C37:C65" si="10">IF(B37&gt;B36,B37-B36,0)</f>
        <v>0.1875</v>
      </c>
      <c r="D37" s="52">
        <f t="shared" si="6"/>
        <v>0.25107518988333494</v>
      </c>
      <c r="E37" s="52">
        <f t="shared" ref="E37:E65" si="11">IF(B37&lt;B36,B36-B37,0)</f>
        <v>0</v>
      </c>
      <c r="F37" s="52">
        <f t="shared" si="7"/>
        <v>0.13416265839868169</v>
      </c>
      <c r="G37" s="52">
        <f t="shared" si="2"/>
        <v>1.8714237842338555</v>
      </c>
      <c r="H37" s="52">
        <f t="shared" si="3"/>
        <v>2.8714237842338557</v>
      </c>
      <c r="I37" s="52">
        <f t="shared" si="4"/>
        <v>34.825928707935979</v>
      </c>
      <c r="J37" s="52">
        <f t="shared" si="5"/>
        <v>65.174071292064014</v>
      </c>
      <c r="K37" s="9"/>
    </row>
    <row r="38" spans="1:11">
      <c r="A38" s="27">
        <v>35649</v>
      </c>
      <c r="B38" s="29">
        <v>42.5625</v>
      </c>
      <c r="C38" s="55">
        <f t="shared" si="10"/>
        <v>0.375</v>
      </c>
      <c r="D38" s="55">
        <f t="shared" si="6"/>
        <v>0.27586015190666796</v>
      </c>
      <c r="E38" s="55">
        <f t="shared" si="11"/>
        <v>0</v>
      </c>
      <c r="F38" s="55">
        <f t="shared" si="7"/>
        <v>0.10733012671894535</v>
      </c>
      <c r="G38" s="55">
        <f t="shared" si="2"/>
        <v>2.5702024244230635</v>
      </c>
      <c r="H38" s="55">
        <f t="shared" si="3"/>
        <v>3.5702024244230635</v>
      </c>
      <c r="I38" s="55">
        <f t="shared" si="4"/>
        <v>28.009616294000409</v>
      </c>
      <c r="J38" s="55">
        <f t="shared" si="5"/>
        <v>71.990383705999591</v>
      </c>
      <c r="K38" s="9"/>
    </row>
    <row r="39" spans="1:11">
      <c r="A39" s="27">
        <v>35650</v>
      </c>
      <c r="B39" s="55">
        <v>41.75</v>
      </c>
      <c r="C39" s="55">
        <f t="shared" si="10"/>
        <v>0</v>
      </c>
      <c r="D39" s="55">
        <f t="shared" si="6"/>
        <v>0.22068812152533437</v>
      </c>
      <c r="E39" s="55">
        <f t="shared" si="11"/>
        <v>0.8125</v>
      </c>
      <c r="F39" s="55">
        <f t="shared" si="7"/>
        <v>0.24836410137515627</v>
      </c>
      <c r="G39" s="55">
        <f t="shared" si="2"/>
        <v>0.88856690763043455</v>
      </c>
      <c r="H39" s="55">
        <f t="shared" si="3"/>
        <v>1.8885669076304346</v>
      </c>
      <c r="I39" s="55">
        <f t="shared" si="4"/>
        <v>52.950202397366461</v>
      </c>
      <c r="J39" s="55">
        <f t="shared" si="5"/>
        <v>47.049797602633539</v>
      </c>
      <c r="K39" s="9"/>
    </row>
    <row r="40" spans="1:11">
      <c r="A40" s="26">
        <v>35653</v>
      </c>
      <c r="B40" s="52">
        <v>41.625</v>
      </c>
      <c r="C40" s="52">
        <f t="shared" si="10"/>
        <v>0</v>
      </c>
      <c r="D40" s="52">
        <f t="shared" si="6"/>
        <v>0.1765504972202675</v>
      </c>
      <c r="E40" s="52">
        <f t="shared" si="11"/>
        <v>0.125</v>
      </c>
      <c r="F40" s="52">
        <f t="shared" si="7"/>
        <v>0.22369128110012501</v>
      </c>
      <c r="G40" s="52">
        <f t="shared" si="2"/>
        <v>0.78925962760811796</v>
      </c>
      <c r="H40" s="52">
        <f t="shared" si="3"/>
        <v>1.7892596276081179</v>
      </c>
      <c r="I40" s="52">
        <f t="shared" si="4"/>
        <v>55.889038380461308</v>
      </c>
      <c r="J40" s="52">
        <f t="shared" si="5"/>
        <v>44.110961619538692</v>
      </c>
      <c r="K40" s="9"/>
    </row>
    <row r="41" spans="1:11">
      <c r="A41" s="26">
        <v>35654</v>
      </c>
      <c r="B41" s="52">
        <v>41.6875</v>
      </c>
      <c r="C41" s="52">
        <f t="shared" si="10"/>
        <v>6.25E-2</v>
      </c>
      <c r="D41" s="52">
        <f t="shared" si="6"/>
        <v>0.15374039777621401</v>
      </c>
      <c r="E41" s="52">
        <f t="shared" si="11"/>
        <v>0</v>
      </c>
      <c r="F41" s="52">
        <f t="shared" si="7"/>
        <v>0.17895302488010001</v>
      </c>
      <c r="G41" s="52">
        <f t="shared" si="2"/>
        <v>0.85911036082916914</v>
      </c>
      <c r="H41" s="52">
        <f t="shared" si="3"/>
        <v>1.859110360829169</v>
      </c>
      <c r="I41" s="52">
        <f t="shared" si="4"/>
        <v>53.789168253249734</v>
      </c>
      <c r="J41" s="52">
        <f t="shared" si="5"/>
        <v>46.210831746750266</v>
      </c>
      <c r="K41" s="9"/>
    </row>
    <row r="42" spans="1:11">
      <c r="A42" s="27">
        <v>35655</v>
      </c>
      <c r="B42" s="55">
        <v>42.125</v>
      </c>
      <c r="C42" s="55">
        <f t="shared" si="10"/>
        <v>0.4375</v>
      </c>
      <c r="D42" s="55">
        <f t="shared" si="6"/>
        <v>0.2104923182209712</v>
      </c>
      <c r="E42" s="55">
        <f t="shared" si="11"/>
        <v>0</v>
      </c>
      <c r="F42" s="55">
        <f t="shared" si="7"/>
        <v>0.14316241990408002</v>
      </c>
      <c r="G42" s="55">
        <f t="shared" si="2"/>
        <v>1.4703042765133669</v>
      </c>
      <c r="H42" s="55">
        <f t="shared" si="3"/>
        <v>2.4703042765133669</v>
      </c>
      <c r="I42" s="55">
        <f t="shared" si="4"/>
        <v>40.480843170114191</v>
      </c>
      <c r="J42" s="55">
        <f t="shared" si="5"/>
        <v>59.519156829885809</v>
      </c>
      <c r="K42" s="9"/>
    </row>
    <row r="43" spans="1:11">
      <c r="A43" s="27">
        <v>35656</v>
      </c>
      <c r="B43" s="55">
        <v>42.75</v>
      </c>
      <c r="C43" s="55">
        <f t="shared" si="10"/>
        <v>0.625</v>
      </c>
      <c r="D43" s="55">
        <f t="shared" si="6"/>
        <v>0.29339385457677697</v>
      </c>
      <c r="E43" s="55">
        <f t="shared" si="11"/>
        <v>0</v>
      </c>
      <c r="F43" s="55">
        <f t="shared" si="7"/>
        <v>0.11452993592326402</v>
      </c>
      <c r="G43" s="55">
        <f t="shared" si="2"/>
        <v>2.5617219830922915</v>
      </c>
      <c r="H43" s="55">
        <f t="shared" si="3"/>
        <v>3.5617219830922915</v>
      </c>
      <c r="I43" s="55">
        <f t="shared" si="4"/>
        <v>28.076307043252118</v>
      </c>
      <c r="J43" s="55">
        <f t="shared" si="5"/>
        <v>71.923692956747885</v>
      </c>
      <c r="K43" s="9"/>
    </row>
    <row r="44" spans="1:11">
      <c r="A44" s="26">
        <v>35657</v>
      </c>
      <c r="B44" s="52">
        <v>42.625</v>
      </c>
      <c r="C44" s="52">
        <f t="shared" si="10"/>
        <v>0</v>
      </c>
      <c r="D44" s="52">
        <f t="shared" si="6"/>
        <v>0.23471508366142158</v>
      </c>
      <c r="E44" s="52">
        <f t="shared" si="11"/>
        <v>0.125</v>
      </c>
      <c r="F44" s="52">
        <f t="shared" si="7"/>
        <v>0.11662394873861122</v>
      </c>
      <c r="G44" s="52">
        <f t="shared" si="2"/>
        <v>2.0125804879706788</v>
      </c>
      <c r="H44" s="52">
        <f t="shared" si="3"/>
        <v>3.0125804879706788</v>
      </c>
      <c r="I44" s="52">
        <f t="shared" si="4"/>
        <v>33.194133866066949</v>
      </c>
      <c r="J44" s="52">
        <f t="shared" si="5"/>
        <v>66.805866133933051</v>
      </c>
      <c r="K44" s="9"/>
    </row>
    <row r="45" spans="1:11">
      <c r="A45" s="26">
        <v>35660</v>
      </c>
      <c r="B45" s="52">
        <v>42.6875</v>
      </c>
      <c r="C45" s="52">
        <f t="shared" si="10"/>
        <v>6.25E-2</v>
      </c>
      <c r="D45" s="52">
        <f t="shared" si="6"/>
        <v>0.20027206692913727</v>
      </c>
      <c r="E45" s="52">
        <f t="shared" si="11"/>
        <v>0</v>
      </c>
      <c r="F45" s="52">
        <f t="shared" si="7"/>
        <v>9.3299158990888975E-2</v>
      </c>
      <c r="G45" s="52">
        <f t="shared" si="2"/>
        <v>2.1465581157992495</v>
      </c>
      <c r="H45" s="52">
        <f t="shared" si="3"/>
        <v>3.1465581157992495</v>
      </c>
      <c r="I45" s="52">
        <f t="shared" si="4"/>
        <v>31.780757360840688</v>
      </c>
      <c r="J45" s="52">
        <f t="shared" si="5"/>
        <v>68.219242639159319</v>
      </c>
      <c r="K45" s="9"/>
    </row>
    <row r="46" spans="1:11">
      <c r="A46" s="27">
        <v>35661</v>
      </c>
      <c r="B46" s="55">
        <v>43.0625</v>
      </c>
      <c r="C46" s="55">
        <f t="shared" si="10"/>
        <v>0.375</v>
      </c>
      <c r="D46" s="55">
        <f t="shared" si="6"/>
        <v>0.23521765354330981</v>
      </c>
      <c r="E46" s="55">
        <f t="shared" si="11"/>
        <v>0</v>
      </c>
      <c r="F46" s="55">
        <f t="shared" si="7"/>
        <v>7.4639327192711186E-2</v>
      </c>
      <c r="G46" s="55">
        <f t="shared" si="2"/>
        <v>3.1513903245135322</v>
      </c>
      <c r="H46" s="55">
        <f t="shared" si="3"/>
        <v>4.1513903245135317</v>
      </c>
      <c r="I46" s="55">
        <f t="shared" si="4"/>
        <v>24.088315523960809</v>
      </c>
      <c r="J46" s="55">
        <f t="shared" si="5"/>
        <v>75.911684476039198</v>
      </c>
      <c r="K46" s="9"/>
    </row>
    <row r="47" spans="1:11">
      <c r="A47" s="27">
        <v>35662</v>
      </c>
      <c r="B47" s="55">
        <v>43</v>
      </c>
      <c r="C47" s="55">
        <f t="shared" si="10"/>
        <v>0</v>
      </c>
      <c r="D47" s="55">
        <f t="shared" si="6"/>
        <v>0.18817412283464785</v>
      </c>
      <c r="E47" s="55">
        <f t="shared" si="11"/>
        <v>6.25E-2</v>
      </c>
      <c r="F47" s="55">
        <f t="shared" si="7"/>
        <v>7.2211461754168954E-2</v>
      </c>
      <c r="G47" s="55">
        <f t="shared" si="2"/>
        <v>2.605876106971122</v>
      </c>
      <c r="H47" s="55">
        <f t="shared" si="3"/>
        <v>3.605876106971122</v>
      </c>
      <c r="I47" s="55">
        <f t="shared" si="4"/>
        <v>27.732511332453512</v>
      </c>
      <c r="J47" s="55">
        <f t="shared" si="5"/>
        <v>72.267488667546488</v>
      </c>
      <c r="K47" s="9"/>
    </row>
    <row r="48" spans="1:11">
      <c r="A48" s="26">
        <v>35663</v>
      </c>
      <c r="B48" s="52">
        <v>42.5</v>
      </c>
      <c r="C48" s="52">
        <f t="shared" si="10"/>
        <v>0</v>
      </c>
      <c r="D48" s="52">
        <f t="shared" si="6"/>
        <v>0.15053929826771828</v>
      </c>
      <c r="E48" s="52">
        <f t="shared" si="11"/>
        <v>0.5</v>
      </c>
      <c r="F48" s="52">
        <f t="shared" si="7"/>
        <v>0.15776916940333519</v>
      </c>
      <c r="G48" s="52">
        <f t="shared" si="2"/>
        <v>0.95417437283241435</v>
      </c>
      <c r="H48" s="52">
        <f t="shared" si="3"/>
        <v>1.9541743728324144</v>
      </c>
      <c r="I48" s="52">
        <f t="shared" si="4"/>
        <v>51.172506092717946</v>
      </c>
      <c r="J48" s="52">
        <f t="shared" si="5"/>
        <v>48.827493907282054</v>
      </c>
      <c r="K48" s="9"/>
    </row>
    <row r="49" spans="1:11">
      <c r="A49" s="26">
        <v>35664</v>
      </c>
      <c r="B49" s="52">
        <v>42.125</v>
      </c>
      <c r="C49" s="52">
        <f t="shared" si="10"/>
        <v>0</v>
      </c>
      <c r="D49" s="52">
        <f t="shared" si="6"/>
        <v>0.12043143861417463</v>
      </c>
      <c r="E49" s="52">
        <f t="shared" si="11"/>
        <v>0.375</v>
      </c>
      <c r="F49" s="52">
        <f t="shared" si="7"/>
        <v>0.20121533552266815</v>
      </c>
      <c r="G49" s="52">
        <f t="shared" si="2"/>
        <v>0.59852017889862719</v>
      </c>
      <c r="H49" s="52">
        <f t="shared" si="3"/>
        <v>1.5985201788986272</v>
      </c>
      <c r="I49" s="52">
        <f t="shared" si="4"/>
        <v>62.557859024901099</v>
      </c>
      <c r="J49" s="52">
        <f t="shared" si="5"/>
        <v>37.442140975098901</v>
      </c>
      <c r="K49" s="9"/>
    </row>
    <row r="50" spans="1:11">
      <c r="A50" s="27">
        <v>35667</v>
      </c>
      <c r="B50" s="55">
        <v>42</v>
      </c>
      <c r="C50" s="55">
        <f t="shared" si="10"/>
        <v>0</v>
      </c>
      <c r="D50" s="55">
        <f t="shared" si="6"/>
        <v>9.6345150891339701E-2</v>
      </c>
      <c r="E50" s="55">
        <f t="shared" si="11"/>
        <v>0.125</v>
      </c>
      <c r="F50" s="55">
        <f t="shared" si="7"/>
        <v>0.18597226841813452</v>
      </c>
      <c r="G50" s="55">
        <f t="shared" si="2"/>
        <v>0.51806192240834603</v>
      </c>
      <c r="H50" s="55">
        <f t="shared" si="3"/>
        <v>1.518061922408346</v>
      </c>
      <c r="I50" s="55">
        <f t="shared" si="4"/>
        <v>65.873465715650056</v>
      </c>
      <c r="J50" s="55">
        <f t="shared" si="5"/>
        <v>34.126534284349944</v>
      </c>
      <c r="K50" s="9"/>
    </row>
    <row r="51" spans="1:11">
      <c r="A51" s="27">
        <v>35668</v>
      </c>
      <c r="B51" s="55">
        <v>42</v>
      </c>
      <c r="C51" s="55">
        <f t="shared" si="10"/>
        <v>0</v>
      </c>
      <c r="D51" s="55">
        <f t="shared" si="6"/>
        <v>7.7076120713071766E-2</v>
      </c>
      <c r="E51" s="55">
        <f t="shared" si="11"/>
        <v>0</v>
      </c>
      <c r="F51" s="55">
        <f t="shared" si="7"/>
        <v>0.14877781473450763</v>
      </c>
      <c r="G51" s="55">
        <f t="shared" si="2"/>
        <v>0.51806192240834603</v>
      </c>
      <c r="H51" s="55">
        <f t="shared" si="3"/>
        <v>1.518061922408346</v>
      </c>
      <c r="I51" s="55">
        <f t="shared" si="4"/>
        <v>65.873465715650056</v>
      </c>
      <c r="J51" s="55">
        <f t="shared" si="5"/>
        <v>34.126534284349944</v>
      </c>
      <c r="K51" s="9"/>
    </row>
    <row r="52" spans="1:11">
      <c r="A52" s="26">
        <v>35669</v>
      </c>
      <c r="B52" s="52">
        <v>41.875</v>
      </c>
      <c r="C52" s="52">
        <f t="shared" si="10"/>
        <v>0</v>
      </c>
      <c r="D52" s="52">
        <f t="shared" si="6"/>
        <v>6.166089657045741E-2</v>
      </c>
      <c r="E52" s="52">
        <f t="shared" si="11"/>
        <v>0.125</v>
      </c>
      <c r="F52" s="52">
        <f t="shared" si="7"/>
        <v>0.14402225178760611</v>
      </c>
      <c r="G52" s="52">
        <f t="shared" si="2"/>
        <v>0.42813451258483698</v>
      </c>
      <c r="H52" s="52">
        <f t="shared" si="3"/>
        <v>1.428134512584837</v>
      </c>
      <c r="I52" s="52">
        <f t="shared" si="4"/>
        <v>70.021415433064533</v>
      </c>
      <c r="J52" s="52">
        <f t="shared" si="5"/>
        <v>29.978584566935467</v>
      </c>
      <c r="K52" s="9"/>
    </row>
    <row r="53" spans="1:11">
      <c r="A53" s="26">
        <v>35670</v>
      </c>
      <c r="B53" s="52">
        <v>41.125</v>
      </c>
      <c r="C53" s="52">
        <f t="shared" si="10"/>
        <v>0</v>
      </c>
      <c r="D53" s="52">
        <f t="shared" si="6"/>
        <v>4.932871725636593E-2</v>
      </c>
      <c r="E53" s="52">
        <f t="shared" si="11"/>
        <v>0.75</v>
      </c>
      <c r="F53" s="52">
        <f t="shared" si="7"/>
        <v>0.26521780143008489</v>
      </c>
      <c r="G53" s="52">
        <f t="shared" si="2"/>
        <v>0.18599323646595295</v>
      </c>
      <c r="H53" s="52">
        <f t="shared" si="3"/>
        <v>1.1859932364659529</v>
      </c>
      <c r="I53" s="52">
        <f t="shared" si="4"/>
        <v>84.317512887326458</v>
      </c>
      <c r="J53" s="52">
        <f t="shared" si="5"/>
        <v>15.682487112673542</v>
      </c>
      <c r="K53" s="9"/>
    </row>
    <row r="54" spans="1:11">
      <c r="A54" s="27">
        <v>35671</v>
      </c>
      <c r="B54" s="55">
        <v>38.3125</v>
      </c>
      <c r="C54" s="55">
        <f t="shared" si="10"/>
        <v>0</v>
      </c>
      <c r="D54" s="55">
        <f t="shared" si="6"/>
        <v>3.9462973805092741E-2</v>
      </c>
      <c r="E54" s="55">
        <f t="shared" si="11"/>
        <v>2.8125</v>
      </c>
      <c r="F54" s="55">
        <f t="shared" si="7"/>
        <v>0.77467424114406791</v>
      </c>
      <c r="G54" s="55">
        <f t="shared" si="2"/>
        <v>5.094137859393949E-2</v>
      </c>
      <c r="H54" s="55">
        <f t="shared" si="3"/>
        <v>1.0509413785939394</v>
      </c>
      <c r="I54" s="55">
        <f t="shared" si="4"/>
        <v>95.152785908754097</v>
      </c>
      <c r="J54" s="55">
        <f t="shared" si="5"/>
        <v>4.8472140912459025</v>
      </c>
      <c r="K54" s="9"/>
    </row>
    <row r="55" spans="1:11">
      <c r="A55" s="27">
        <v>35675</v>
      </c>
      <c r="B55" s="55">
        <v>39</v>
      </c>
      <c r="C55" s="55">
        <f t="shared" si="10"/>
        <v>0.6875</v>
      </c>
      <c r="D55" s="55">
        <f t="shared" si="6"/>
        <v>0.16907037904407418</v>
      </c>
      <c r="E55" s="55">
        <f t="shared" si="11"/>
        <v>0</v>
      </c>
      <c r="F55" s="55">
        <f t="shared" si="7"/>
        <v>0.61973939291525437</v>
      </c>
      <c r="G55" s="55">
        <f t="shared" si="2"/>
        <v>0.27280883057758687</v>
      </c>
      <c r="H55" s="55">
        <f t="shared" si="3"/>
        <v>1.2728088305775869</v>
      </c>
      <c r="I55" s="55">
        <f t="shared" si="4"/>
        <v>78.566393945130855</v>
      </c>
      <c r="J55" s="55">
        <f t="shared" si="5"/>
        <v>21.433606054869145</v>
      </c>
      <c r="K55" s="9"/>
    </row>
    <row r="56" spans="1:11">
      <c r="A56" s="26">
        <v>35676</v>
      </c>
      <c r="B56" s="52">
        <v>39</v>
      </c>
      <c r="C56" s="52">
        <f t="shared" si="10"/>
        <v>0</v>
      </c>
      <c r="D56" s="52">
        <f t="shared" si="6"/>
        <v>0.13525630323525933</v>
      </c>
      <c r="E56" s="52">
        <f t="shared" si="11"/>
        <v>0</v>
      </c>
      <c r="F56" s="52">
        <f t="shared" si="7"/>
        <v>0.49579151433220348</v>
      </c>
      <c r="G56" s="52">
        <f t="shared" si="2"/>
        <v>0.27280883057758687</v>
      </c>
      <c r="H56" s="52">
        <f t="shared" si="3"/>
        <v>1.2728088305775869</v>
      </c>
      <c r="I56" s="52">
        <f t="shared" si="4"/>
        <v>78.566393945130855</v>
      </c>
      <c r="J56" s="52">
        <f t="shared" si="5"/>
        <v>21.433606054869145</v>
      </c>
      <c r="K56" s="9"/>
    </row>
    <row r="57" spans="1:11">
      <c r="A57" s="26">
        <v>35677</v>
      </c>
      <c r="B57" s="52">
        <v>38.875</v>
      </c>
      <c r="C57" s="52">
        <f t="shared" si="10"/>
        <v>0</v>
      </c>
      <c r="D57" s="52">
        <f t="shared" si="6"/>
        <v>0.10820504258820747</v>
      </c>
      <c r="E57" s="52">
        <f t="shared" si="11"/>
        <v>0.125</v>
      </c>
      <c r="F57" s="52">
        <f t="shared" si="7"/>
        <v>0.42163321146576277</v>
      </c>
      <c r="G57" s="52">
        <f t="shared" si="2"/>
        <v>0.25663311059402605</v>
      </c>
      <c r="H57" s="52">
        <f t="shared" si="3"/>
        <v>1.256633110594026</v>
      </c>
      <c r="I57" s="52">
        <f t="shared" si="4"/>
        <v>79.577721736719766</v>
      </c>
      <c r="J57" s="52">
        <f t="shared" si="5"/>
        <v>20.422278263280234</v>
      </c>
      <c r="K57" s="9"/>
    </row>
    <row r="58" spans="1:11">
      <c r="A58" s="27">
        <v>35678</v>
      </c>
      <c r="B58" s="55">
        <v>38.4375</v>
      </c>
      <c r="C58" s="55">
        <f t="shared" si="10"/>
        <v>0</v>
      </c>
      <c r="D58" s="55">
        <f t="shared" si="6"/>
        <v>8.6564034070565982E-2</v>
      </c>
      <c r="E58" s="55">
        <f t="shared" si="11"/>
        <v>0.4375</v>
      </c>
      <c r="F58" s="55">
        <f t="shared" si="7"/>
        <v>0.42480656917261023</v>
      </c>
      <c r="G58" s="55">
        <f t="shared" si="2"/>
        <v>0.20377282356806659</v>
      </c>
      <c r="H58" s="55">
        <f t="shared" si="3"/>
        <v>1.2037728235680665</v>
      </c>
      <c r="I58" s="55">
        <f t="shared" si="4"/>
        <v>83.072152853221127</v>
      </c>
      <c r="J58" s="55">
        <f t="shared" si="5"/>
        <v>16.927847146778873</v>
      </c>
      <c r="K58" s="9"/>
    </row>
    <row r="59" spans="1:11">
      <c r="A59" s="27">
        <v>35681</v>
      </c>
      <c r="B59" s="55">
        <v>38.625</v>
      </c>
      <c r="C59" s="55">
        <f t="shared" si="10"/>
        <v>0.1875</v>
      </c>
      <c r="D59" s="55">
        <f t="shared" si="6"/>
        <v>0.10675122725645278</v>
      </c>
      <c r="E59" s="55">
        <f t="shared" si="11"/>
        <v>0</v>
      </c>
      <c r="F59" s="55">
        <f t="shared" si="7"/>
        <v>0.33984525533808818</v>
      </c>
      <c r="G59" s="55">
        <f t="shared" si="2"/>
        <v>0.31411716238396054</v>
      </c>
      <c r="H59" s="55">
        <f t="shared" si="3"/>
        <v>1.3141171623839605</v>
      </c>
      <c r="I59" s="55">
        <f t="shared" si="4"/>
        <v>76.096715622059477</v>
      </c>
      <c r="J59" s="55">
        <f t="shared" si="5"/>
        <v>23.903284377940523</v>
      </c>
      <c r="K59" s="9"/>
    </row>
    <row r="60" spans="1:11">
      <c r="A60" s="26">
        <v>35682</v>
      </c>
      <c r="B60" s="52">
        <v>38.875</v>
      </c>
      <c r="C60" s="52">
        <f t="shared" si="10"/>
        <v>0.25</v>
      </c>
      <c r="D60" s="52">
        <f t="shared" si="6"/>
        <v>0.13540098180516222</v>
      </c>
      <c r="E60" s="52">
        <f t="shared" si="11"/>
        <v>0</v>
      </c>
      <c r="F60" s="52">
        <f t="shared" si="7"/>
        <v>0.27187620427047055</v>
      </c>
      <c r="G60" s="52">
        <f t="shared" si="2"/>
        <v>0.49802439374378382</v>
      </c>
      <c r="H60" s="52">
        <f t="shared" si="3"/>
        <v>1.4980243937437838</v>
      </c>
      <c r="I60" s="52">
        <f t="shared" si="4"/>
        <v>66.75458718671814</v>
      </c>
      <c r="J60" s="52">
        <f t="shared" si="5"/>
        <v>33.24541281328186</v>
      </c>
      <c r="K60" s="9"/>
    </row>
    <row r="61" spans="1:11">
      <c r="A61" s="26">
        <v>35683</v>
      </c>
      <c r="B61" s="52">
        <v>38.1875</v>
      </c>
      <c r="C61" s="52">
        <f t="shared" si="10"/>
        <v>0</v>
      </c>
      <c r="D61" s="52">
        <f t="shared" si="6"/>
        <v>0.10832078544412978</v>
      </c>
      <c r="E61" s="52">
        <f t="shared" si="11"/>
        <v>0.6875</v>
      </c>
      <c r="F61" s="52">
        <f t="shared" si="7"/>
        <v>0.35500096341637644</v>
      </c>
      <c r="G61" s="52">
        <f t="shared" si="2"/>
        <v>0.30512814501036045</v>
      </c>
      <c r="H61" s="52">
        <f t="shared" si="3"/>
        <v>1.3051281450103605</v>
      </c>
      <c r="I61" s="52">
        <f t="shared" si="4"/>
        <v>76.620828676716783</v>
      </c>
      <c r="J61" s="52">
        <f t="shared" si="5"/>
        <v>23.379171323283217</v>
      </c>
      <c r="K61" s="9"/>
    </row>
    <row r="62" spans="1:11">
      <c r="A62" s="27">
        <v>35684</v>
      </c>
      <c r="B62" s="55">
        <v>37.5625</v>
      </c>
      <c r="C62" s="55">
        <f t="shared" si="10"/>
        <v>0</v>
      </c>
      <c r="D62" s="55">
        <f t="shared" si="6"/>
        <v>8.6656628355303827E-2</v>
      </c>
      <c r="E62" s="55">
        <f t="shared" si="11"/>
        <v>0.625</v>
      </c>
      <c r="F62" s="55">
        <f t="shared" si="7"/>
        <v>0.40900077073310115</v>
      </c>
      <c r="G62" s="55">
        <f t="shared" si="2"/>
        <v>0.21187399769437784</v>
      </c>
      <c r="H62" s="55">
        <f t="shared" si="3"/>
        <v>1.2118739976943778</v>
      </c>
      <c r="I62" s="55">
        <f t="shared" si="4"/>
        <v>82.516829464327671</v>
      </c>
      <c r="J62" s="55">
        <f t="shared" si="5"/>
        <v>17.483170535672329</v>
      </c>
      <c r="K62" s="9"/>
    </row>
    <row r="63" spans="1:11">
      <c r="A63" s="27">
        <v>35685</v>
      </c>
      <c r="B63" s="55">
        <v>37.125</v>
      </c>
      <c r="C63" s="55">
        <f t="shared" si="10"/>
        <v>0</v>
      </c>
      <c r="D63" s="55">
        <f t="shared" si="6"/>
        <v>6.9325302684243056E-2</v>
      </c>
      <c r="E63" s="55">
        <f t="shared" si="11"/>
        <v>0.4375</v>
      </c>
      <c r="F63" s="55">
        <f t="shared" si="7"/>
        <v>0.41470061658648094</v>
      </c>
      <c r="G63" s="55">
        <f t="shared" si="2"/>
        <v>0.16716951919406195</v>
      </c>
      <c r="H63" s="55">
        <f t="shared" si="3"/>
        <v>1.1671695191940619</v>
      </c>
      <c r="I63" s="55">
        <f t="shared" si="4"/>
        <v>85.677357363693531</v>
      </c>
      <c r="J63" s="55">
        <f t="shared" si="5"/>
        <v>14.322642636306469</v>
      </c>
      <c r="K63" s="9"/>
    </row>
    <row r="64" spans="1:11">
      <c r="A64" s="26">
        <v>35688</v>
      </c>
      <c r="B64" s="52">
        <v>37.1875</v>
      </c>
      <c r="C64" s="52">
        <f t="shared" si="10"/>
        <v>6.25E-2</v>
      </c>
      <c r="D64" s="52">
        <f t="shared" si="6"/>
        <v>6.7960242147394448E-2</v>
      </c>
      <c r="E64" s="52">
        <f t="shared" si="11"/>
        <v>0</v>
      </c>
      <c r="F64" s="52">
        <f t="shared" si="7"/>
        <v>0.33176049326918478</v>
      </c>
      <c r="G64" s="52">
        <f t="shared" si="2"/>
        <v>0.20484730257575506</v>
      </c>
      <c r="H64" s="52">
        <f t="shared" si="3"/>
        <v>1.2048473025757551</v>
      </c>
      <c r="I64" s="52">
        <f t="shared" si="4"/>
        <v>82.998069370464876</v>
      </c>
      <c r="J64" s="52">
        <f t="shared" si="5"/>
        <v>17.001930629535124</v>
      </c>
      <c r="K64" s="9"/>
    </row>
    <row r="65" spans="1:11">
      <c r="A65" s="26">
        <v>35689</v>
      </c>
      <c r="B65" s="52">
        <v>37.5625</v>
      </c>
      <c r="C65" s="52">
        <f t="shared" si="10"/>
        <v>0.375</v>
      </c>
      <c r="D65" s="52">
        <f t="shared" si="6"/>
        <v>0.12936819371791555</v>
      </c>
      <c r="E65" s="52">
        <f t="shared" si="11"/>
        <v>0</v>
      </c>
      <c r="F65" s="52">
        <f t="shared" si="7"/>
        <v>0.26540839461534782</v>
      </c>
      <c r="G65" s="52">
        <f t="shared" si="2"/>
        <v>0.4874306779384534</v>
      </c>
      <c r="H65" s="52">
        <f t="shared" si="3"/>
        <v>1.4874306779384534</v>
      </c>
      <c r="I65" s="52">
        <f t="shared" si="4"/>
        <v>67.230023881582042</v>
      </c>
      <c r="J65" s="52">
        <f t="shared" si="5"/>
        <v>32.769976118417958</v>
      </c>
      <c r="K65" s="9"/>
    </row>
    <row r="66" spans="1:11">
      <c r="K66" s="2"/>
    </row>
    <row r="67" spans="1:11">
      <c r="K67" s="2"/>
    </row>
    <row r="68" spans="1:11" ht="36.75" customHeight="1">
      <c r="A68" s="447" t="s">
        <v>497</v>
      </c>
      <c r="B68" s="447"/>
      <c r="C68" s="447"/>
      <c r="D68" s="447"/>
      <c r="E68" s="447"/>
      <c r="F68" s="447"/>
      <c r="G68" s="447"/>
      <c r="H68" s="447"/>
      <c r="I68" s="447"/>
      <c r="J68" s="447"/>
      <c r="K68" s="2"/>
    </row>
    <row r="69" spans="1:11" ht="49.5" customHeight="1">
      <c r="A69" s="447" t="s">
        <v>504</v>
      </c>
      <c r="B69" s="447"/>
      <c r="C69" s="447"/>
      <c r="D69" s="447"/>
      <c r="E69" s="447"/>
      <c r="F69" s="447"/>
      <c r="G69" s="447"/>
      <c r="H69" s="447"/>
      <c r="I69" s="447"/>
      <c r="J69" s="447"/>
      <c r="K69" s="2"/>
    </row>
    <row r="70" spans="1:11" ht="30.75" customHeight="1">
      <c r="A70" s="447" t="s">
        <v>498</v>
      </c>
      <c r="B70" s="447"/>
      <c r="C70" s="447"/>
      <c r="D70" s="447"/>
      <c r="E70" s="447"/>
      <c r="F70" s="447"/>
      <c r="G70" s="447"/>
      <c r="H70" s="447"/>
      <c r="I70" s="447"/>
      <c r="J70" s="447"/>
      <c r="K70" s="2"/>
    </row>
    <row r="71" spans="1:11" ht="15">
      <c r="A71" s="241" t="s">
        <v>499</v>
      </c>
      <c r="K71" s="2"/>
    </row>
    <row r="72" spans="1:11" ht="15">
      <c r="A72" s="241" t="s">
        <v>500</v>
      </c>
      <c r="K72" s="2"/>
    </row>
    <row r="73" spans="1:11" ht="15">
      <c r="A73" s="241" t="s">
        <v>501</v>
      </c>
      <c r="K73" s="2"/>
    </row>
    <row r="74" spans="1:11" ht="15">
      <c r="A74" s="241" t="s">
        <v>502</v>
      </c>
      <c r="K74" s="2"/>
    </row>
    <row r="75" spans="1:11" ht="15">
      <c r="A75" s="241" t="s">
        <v>503</v>
      </c>
      <c r="K75" s="2"/>
    </row>
    <row r="76" spans="1:11">
      <c r="K76" s="2"/>
    </row>
    <row r="77" spans="1:11">
      <c r="K77" s="2"/>
    </row>
    <row r="78" spans="1:11">
      <c r="K78" s="2"/>
    </row>
    <row r="79" spans="1:11">
      <c r="K79" s="2"/>
    </row>
  </sheetData>
  <mergeCells count="3">
    <mergeCell ref="A68:J68"/>
    <mergeCell ref="A69:J69"/>
    <mergeCell ref="A70:J70"/>
  </mergeCells>
  <phoneticPr fontId="0" type="noConversion"/>
  <pageMargins left="0.75" right="0.75" top="1" bottom="1" header="0.5" footer="0.5"/>
  <pageSetup orientation="portrait" horizontalDpi="0" verticalDpi="0" copies="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9460"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9461"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9462"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19463" r:id="rId7" name="Button 7">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9464" r:id="rId8" name="Button 8">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9465" r:id="rId9" name="Button 9">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9466" r:id="rId10" name="Button 10">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enableFormatConditionsCalculation="0"/>
  <dimension ref="A1:P118"/>
  <sheetViews>
    <sheetView workbookViewId="0"/>
  </sheetViews>
  <sheetFormatPr baseColWidth="10" defaultColWidth="8.83203125" defaultRowHeight="12" x14ac:dyDescent="0"/>
  <cols>
    <col min="1" max="1" width="12.6640625" customWidth="1"/>
    <col min="2" max="2" width="10.6640625" customWidth="1"/>
    <col min="4" max="4" width="11.33203125" customWidth="1"/>
    <col min="10" max="10" width="9.83203125" customWidth="1"/>
  </cols>
  <sheetData>
    <row r="1" spans="1:16">
      <c r="A1" s="21"/>
      <c r="B1" s="21"/>
      <c r="C1" s="21" t="s">
        <v>846</v>
      </c>
      <c r="D1" s="21"/>
      <c r="E1" s="21"/>
      <c r="F1" s="21"/>
      <c r="G1" s="21"/>
      <c r="H1" s="21"/>
      <c r="I1" s="21"/>
      <c r="J1" s="21"/>
      <c r="K1" s="21"/>
      <c r="L1" s="21"/>
      <c r="M1" s="21"/>
      <c r="N1" s="21"/>
      <c r="O1" s="21"/>
      <c r="P1" s="21"/>
    </row>
    <row r="2" spans="1:16" ht="21" customHeight="1">
      <c r="A2" s="21"/>
      <c r="B2" s="21"/>
      <c r="C2" s="21"/>
      <c r="D2" s="374"/>
      <c r="E2" s="374"/>
      <c r="F2" s="374"/>
      <c r="G2" s="374"/>
      <c r="H2" s="374"/>
      <c r="I2" s="374"/>
      <c r="J2" s="374"/>
      <c r="K2" s="374"/>
      <c r="L2" s="374"/>
      <c r="M2" s="374"/>
      <c r="N2" s="374"/>
      <c r="O2" s="21"/>
      <c r="P2" s="21"/>
    </row>
    <row r="3" spans="1:16">
      <c r="A3" s="147" t="s">
        <v>1045</v>
      </c>
      <c r="B3" s="20" t="s">
        <v>344</v>
      </c>
      <c r="C3" s="21"/>
      <c r="D3" s="21"/>
      <c r="E3" s="21"/>
      <c r="F3" s="21"/>
      <c r="G3" s="21"/>
      <c r="H3" s="21"/>
      <c r="I3" s="21"/>
      <c r="J3" s="21"/>
      <c r="K3" s="21"/>
      <c r="L3" s="21"/>
      <c r="M3" s="21"/>
      <c r="N3" s="21"/>
      <c r="O3" s="21"/>
      <c r="P3" s="21"/>
    </row>
    <row r="4" spans="1:16">
      <c r="A4" s="147" t="s">
        <v>774</v>
      </c>
      <c r="B4" s="20" t="s">
        <v>751</v>
      </c>
      <c r="C4" s="21"/>
      <c r="D4" s="21"/>
      <c r="E4" s="21"/>
      <c r="F4" s="21"/>
      <c r="G4" s="21"/>
      <c r="H4" s="21"/>
      <c r="I4" s="21"/>
      <c r="J4" s="21"/>
      <c r="K4" s="21"/>
      <c r="L4" s="21"/>
      <c r="M4" s="21"/>
      <c r="N4" s="21"/>
      <c r="O4" s="21"/>
      <c r="P4" s="21"/>
    </row>
    <row r="5" spans="1:16" ht="30" customHeight="1">
      <c r="A5" s="362" t="s">
        <v>779</v>
      </c>
      <c r="B5" s="446" t="s">
        <v>512</v>
      </c>
      <c r="C5" s="446"/>
      <c r="D5" s="446"/>
      <c r="E5" s="446"/>
      <c r="F5" s="446"/>
      <c r="G5" s="446"/>
      <c r="H5" s="446"/>
      <c r="I5" s="446"/>
      <c r="J5" s="446"/>
      <c r="K5" s="446"/>
      <c r="L5" s="446"/>
      <c r="M5" s="446"/>
      <c r="N5" s="446"/>
      <c r="O5" s="446"/>
      <c r="P5" s="446"/>
    </row>
    <row r="6" spans="1:16">
      <c r="A6" s="21"/>
      <c r="B6" s="21"/>
      <c r="C6" s="115" t="s">
        <v>834</v>
      </c>
      <c r="D6" s="21"/>
      <c r="E6" s="21"/>
      <c r="F6" s="21"/>
      <c r="G6" s="21"/>
      <c r="H6" s="21"/>
      <c r="I6" s="21"/>
      <c r="J6" s="21"/>
      <c r="K6" s="21"/>
      <c r="L6" s="21"/>
      <c r="M6" s="21"/>
      <c r="N6" s="21"/>
      <c r="O6" s="21"/>
      <c r="P6" s="21"/>
    </row>
    <row r="7" spans="1:16">
      <c r="A7" s="147"/>
      <c r="B7" s="21" t="s">
        <v>835</v>
      </c>
      <c r="C7" s="21"/>
      <c r="D7" s="21"/>
      <c r="E7" s="21"/>
      <c r="F7" s="21"/>
      <c r="G7" s="21"/>
      <c r="H7" s="21"/>
      <c r="I7" s="21"/>
      <c r="J7" s="21"/>
      <c r="K7" s="21"/>
      <c r="L7" s="21"/>
      <c r="M7" s="21"/>
      <c r="N7" s="21"/>
      <c r="O7" s="21"/>
      <c r="P7" s="21"/>
    </row>
    <row r="8" spans="1:16">
      <c r="A8" s="147"/>
      <c r="B8" s="21"/>
      <c r="C8" s="115" t="s">
        <v>748</v>
      </c>
      <c r="D8" s="21"/>
      <c r="E8" s="21"/>
      <c r="F8" s="21"/>
      <c r="G8" s="21"/>
      <c r="H8" s="21"/>
      <c r="I8" s="21"/>
      <c r="J8" s="21"/>
      <c r="K8" s="21"/>
      <c r="L8" s="21"/>
      <c r="M8" s="21"/>
      <c r="N8" s="21"/>
      <c r="O8" s="21"/>
      <c r="P8" s="21"/>
    </row>
    <row r="9" spans="1:16">
      <c r="A9" s="147"/>
      <c r="B9" s="21"/>
      <c r="C9" s="115" t="s">
        <v>836</v>
      </c>
      <c r="D9" s="21"/>
      <c r="E9" s="21"/>
      <c r="F9" s="21"/>
      <c r="G9" s="21"/>
      <c r="H9" s="21"/>
      <c r="I9" s="21"/>
      <c r="J9" s="21"/>
      <c r="K9" s="21"/>
      <c r="L9" s="21"/>
      <c r="M9" s="21"/>
      <c r="N9" s="21"/>
      <c r="O9" s="21"/>
      <c r="P9" s="21"/>
    </row>
    <row r="10" spans="1:16">
      <c r="A10" s="147"/>
      <c r="B10" s="21"/>
      <c r="C10" s="115" t="s">
        <v>837</v>
      </c>
      <c r="D10" s="21"/>
      <c r="E10" s="21"/>
      <c r="F10" s="21"/>
      <c r="G10" s="21"/>
      <c r="H10" s="21"/>
      <c r="I10" s="21"/>
      <c r="J10" s="21"/>
      <c r="K10" s="21"/>
      <c r="L10" s="21"/>
      <c r="M10" s="21"/>
      <c r="N10" s="21"/>
      <c r="O10" s="21"/>
      <c r="P10" s="21"/>
    </row>
    <row r="11" spans="1:16">
      <c r="A11" s="147"/>
      <c r="B11" s="21"/>
      <c r="C11" s="115" t="s">
        <v>715</v>
      </c>
      <c r="D11" s="21"/>
      <c r="E11" s="21"/>
      <c r="F11" s="21"/>
      <c r="G11" s="21"/>
      <c r="H11" s="21"/>
      <c r="I11" s="21"/>
      <c r="J11" s="21"/>
      <c r="K11" s="21"/>
      <c r="L11" s="21"/>
      <c r="M11" s="21"/>
      <c r="N11" s="21"/>
      <c r="O11" s="21"/>
      <c r="P11" s="21"/>
    </row>
    <row r="12" spans="1:16">
      <c r="A12" s="147"/>
      <c r="B12" s="21"/>
      <c r="C12" s="115" t="s">
        <v>747</v>
      </c>
      <c r="D12" s="21"/>
      <c r="E12" s="21"/>
      <c r="F12" s="21"/>
      <c r="G12" s="21"/>
      <c r="H12" s="21"/>
      <c r="I12" s="21"/>
      <c r="J12" s="21"/>
      <c r="K12" s="21"/>
      <c r="L12" s="21"/>
      <c r="M12" s="21"/>
      <c r="N12" s="21"/>
      <c r="O12" s="21"/>
      <c r="P12" s="21"/>
    </row>
    <row r="13" spans="1:16">
      <c r="A13" s="147"/>
      <c r="B13" s="21"/>
      <c r="C13" s="115" t="s">
        <v>749</v>
      </c>
      <c r="D13" s="21"/>
      <c r="E13" s="21"/>
      <c r="F13" s="21"/>
      <c r="G13" s="21"/>
      <c r="H13" s="21"/>
      <c r="I13" s="21"/>
      <c r="J13" s="21"/>
      <c r="K13" s="21"/>
      <c r="L13" s="21"/>
      <c r="M13" s="21"/>
      <c r="N13" s="21"/>
      <c r="O13" s="21"/>
      <c r="P13" s="21"/>
    </row>
    <row r="14" spans="1:16">
      <c r="A14" s="147" t="s">
        <v>635</v>
      </c>
      <c r="B14" s="187" t="s">
        <v>750</v>
      </c>
      <c r="C14" s="21"/>
      <c r="D14" s="21"/>
      <c r="E14" s="21"/>
      <c r="F14" s="21"/>
      <c r="G14" s="21"/>
      <c r="H14" s="21"/>
      <c r="I14" s="21"/>
      <c r="J14" s="21"/>
      <c r="K14" s="21"/>
      <c r="L14" s="21"/>
      <c r="M14" s="21"/>
      <c r="N14" s="21"/>
      <c r="O14" s="21"/>
      <c r="P14" s="21"/>
    </row>
    <row r="15" spans="1:16" ht="24">
      <c r="A15" s="22" t="s">
        <v>1090</v>
      </c>
      <c r="B15" s="22" t="s">
        <v>1096</v>
      </c>
      <c r="C15" s="22" t="s">
        <v>1097</v>
      </c>
      <c r="D15" s="22" t="s">
        <v>1207</v>
      </c>
      <c r="E15" s="22" t="s">
        <v>1208</v>
      </c>
      <c r="F15" s="22" t="s">
        <v>1209</v>
      </c>
      <c r="G15" s="22" t="s">
        <v>1210</v>
      </c>
      <c r="H15" s="22" t="s">
        <v>1211</v>
      </c>
      <c r="I15" s="22" t="s">
        <v>1212</v>
      </c>
      <c r="J15" s="170" t="s">
        <v>1213</v>
      </c>
      <c r="K15" s="170" t="s">
        <v>1214</v>
      </c>
      <c r="L15" s="170" t="s">
        <v>1215</v>
      </c>
      <c r="M15" s="170" t="s">
        <v>1216</v>
      </c>
      <c r="N15" s="170" t="s">
        <v>343</v>
      </c>
      <c r="O15" s="151" t="s">
        <v>342</v>
      </c>
      <c r="P15" s="170"/>
    </row>
    <row r="16" spans="1:16">
      <c r="A16" s="26">
        <v>33819</v>
      </c>
      <c r="B16" s="52">
        <v>14.2188</v>
      </c>
      <c r="C16" s="52">
        <v>14.125</v>
      </c>
      <c r="D16" s="28"/>
      <c r="E16" s="28"/>
      <c r="F16" s="28"/>
      <c r="G16" s="28"/>
      <c r="H16" s="28"/>
      <c r="I16" s="54"/>
      <c r="J16" s="52"/>
      <c r="K16" s="52"/>
      <c r="L16" s="52"/>
      <c r="M16" s="28"/>
      <c r="N16" s="28"/>
      <c r="O16" s="28"/>
      <c r="P16" s="28"/>
    </row>
    <row r="17" spans="1:16">
      <c r="A17" s="26">
        <v>33820</v>
      </c>
      <c r="B17" s="52">
        <v>14.3125</v>
      </c>
      <c r="C17" s="52">
        <v>14.1562</v>
      </c>
      <c r="D17" s="28"/>
      <c r="E17" s="28"/>
      <c r="F17" s="28"/>
      <c r="G17" s="28"/>
      <c r="H17" s="28"/>
      <c r="I17" s="54"/>
      <c r="J17" s="52"/>
      <c r="K17" s="52"/>
      <c r="L17" s="52"/>
      <c r="M17" s="28"/>
      <c r="N17" s="28"/>
      <c r="O17" s="28"/>
      <c r="P17" s="28"/>
    </row>
    <row r="18" spans="1:16">
      <c r="A18" s="27">
        <v>33821</v>
      </c>
      <c r="B18" s="55">
        <v>14.4688</v>
      </c>
      <c r="C18" s="55">
        <v>14.1875</v>
      </c>
      <c r="D18" s="29"/>
      <c r="E18" s="29"/>
      <c r="F18" s="29"/>
      <c r="G18" s="29"/>
      <c r="H18" s="29"/>
      <c r="I18" s="57"/>
      <c r="J18" s="55"/>
      <c r="K18" s="55"/>
      <c r="L18" s="55"/>
      <c r="M18" s="29"/>
      <c r="N18" s="29"/>
      <c r="O18" s="29"/>
      <c r="P18" s="29"/>
    </row>
    <row r="19" spans="1:16">
      <c r="A19" s="27">
        <v>33822</v>
      </c>
      <c r="B19" s="55">
        <v>14.25</v>
      </c>
      <c r="C19" s="55">
        <v>14.125</v>
      </c>
      <c r="D19" s="84"/>
      <c r="E19" s="29"/>
      <c r="F19" s="29"/>
      <c r="G19" s="29"/>
      <c r="H19" s="29"/>
      <c r="I19" s="57"/>
      <c r="J19" s="55"/>
      <c r="K19" s="55"/>
      <c r="L19" s="55"/>
      <c r="M19" s="84"/>
      <c r="N19" s="29"/>
      <c r="O19" s="29"/>
      <c r="P19" s="29"/>
    </row>
    <row r="20" spans="1:16">
      <c r="A20" s="26">
        <v>33823</v>
      </c>
      <c r="B20" s="52">
        <v>14.2812</v>
      </c>
      <c r="C20" s="52">
        <v>14.0625</v>
      </c>
      <c r="D20" s="28"/>
      <c r="E20" s="28"/>
      <c r="F20" s="28"/>
      <c r="G20" s="28"/>
      <c r="H20" s="28"/>
      <c r="I20" s="54"/>
      <c r="J20" s="52"/>
      <c r="K20" s="52"/>
      <c r="L20" s="52"/>
      <c r="M20" s="28"/>
      <c r="N20" s="28"/>
      <c r="O20" s="28"/>
      <c r="P20" s="28"/>
    </row>
    <row r="21" spans="1:16">
      <c r="A21" s="26">
        <v>33826</v>
      </c>
      <c r="B21" s="52">
        <v>13.9688</v>
      </c>
      <c r="C21" s="52">
        <v>13.7812</v>
      </c>
      <c r="D21" s="28"/>
      <c r="E21" s="28"/>
      <c r="F21" s="28"/>
      <c r="G21" s="28"/>
      <c r="H21" s="28"/>
      <c r="I21" s="54"/>
      <c r="J21" s="52"/>
      <c r="K21" s="52"/>
      <c r="L21" s="52"/>
      <c r="M21" s="28"/>
      <c r="N21" s="28"/>
      <c r="O21" s="28"/>
      <c r="P21" s="28"/>
    </row>
    <row r="22" spans="1:16">
      <c r="A22" s="27">
        <v>33827</v>
      </c>
      <c r="B22" s="55">
        <v>13.9375</v>
      </c>
      <c r="C22" s="55">
        <v>13.7812</v>
      </c>
      <c r="D22" s="55"/>
      <c r="E22" s="55"/>
      <c r="F22" s="55"/>
      <c r="G22" s="29"/>
      <c r="H22" s="29"/>
      <c r="I22" s="57"/>
      <c r="J22" s="55"/>
      <c r="K22" s="55"/>
      <c r="L22" s="55"/>
      <c r="M22" s="55"/>
      <c r="N22" s="55"/>
      <c r="O22" s="55"/>
      <c r="P22" s="55"/>
    </row>
    <row r="23" spans="1:16">
      <c r="A23" s="27">
        <v>33828</v>
      </c>
      <c r="B23" s="55">
        <v>13.9062</v>
      </c>
      <c r="C23" s="55">
        <v>13.7812</v>
      </c>
      <c r="D23" s="55"/>
      <c r="E23" s="55"/>
      <c r="F23" s="55"/>
      <c r="G23" s="29"/>
      <c r="H23" s="29"/>
      <c r="I23" s="57"/>
      <c r="J23" s="55"/>
      <c r="K23" s="55"/>
      <c r="L23" s="55"/>
      <c r="M23" s="55"/>
      <c r="N23" s="55"/>
      <c r="O23" s="55"/>
      <c r="P23" s="55"/>
    </row>
    <row r="24" spans="1:16">
      <c r="A24" s="26">
        <v>33829</v>
      </c>
      <c r="B24" s="52">
        <v>13.875</v>
      </c>
      <c r="C24" s="52">
        <v>13.7188</v>
      </c>
      <c r="D24" s="52"/>
      <c r="E24" s="52"/>
      <c r="F24" s="52"/>
      <c r="G24" s="28"/>
      <c r="H24" s="28"/>
      <c r="I24" s="54"/>
      <c r="J24" s="52"/>
      <c r="K24" s="52"/>
      <c r="L24" s="52"/>
      <c r="M24" s="52"/>
      <c r="N24" s="52"/>
      <c r="O24" s="52"/>
      <c r="P24" s="52"/>
    </row>
    <row r="25" spans="1:16">
      <c r="A25" s="106">
        <v>33830</v>
      </c>
      <c r="B25" s="85">
        <v>14.2188</v>
      </c>
      <c r="C25" s="52">
        <v>13.8125</v>
      </c>
      <c r="D25" s="52">
        <f>IF(B25-B24&gt;0,STDEVP(B16:B25),0)</f>
        <v>0.19426367751074824</v>
      </c>
      <c r="E25" s="52">
        <f>IF(B25-B24&lt;0,STDEVP(B16:B25),0)</f>
        <v>0</v>
      </c>
      <c r="F25" s="52"/>
      <c r="G25" s="52"/>
      <c r="H25" s="28"/>
      <c r="I25" s="64">
        <f>IF(C25-C24&gt;0,STDEVP(C16:C25),0)</f>
        <v>0.18181700388027519</v>
      </c>
      <c r="J25" s="85">
        <f>IF(C25-C24&lt;0,STDEVP(C16:C25),0)</f>
        <v>0</v>
      </c>
      <c r="K25" s="52"/>
      <c r="L25" s="52"/>
      <c r="M25" s="52"/>
      <c r="N25" s="52"/>
      <c r="O25" s="52"/>
      <c r="P25" s="52"/>
    </row>
    <row r="26" spans="1:16">
      <c r="A26" s="27">
        <v>33833</v>
      </c>
      <c r="B26" s="55">
        <v>14.125</v>
      </c>
      <c r="C26" s="55">
        <v>13.9062</v>
      </c>
      <c r="D26" s="55">
        <f t="shared" ref="D26:D40" si="0">IF(B26-B25&gt;0,STDEVP(B17:B26),0)</f>
        <v>0</v>
      </c>
      <c r="E26" s="55">
        <f t="shared" ref="E26:E40" si="1">IF(B26-B25&lt;0,STDEVP(B17:B26),0)</f>
        <v>0.19267196371034367</v>
      </c>
      <c r="F26" s="55"/>
      <c r="G26" s="55"/>
      <c r="H26" s="29"/>
      <c r="I26" s="65">
        <f t="shared" ref="I26:I40" si="2">IF(C26-C25&gt;0,STDEVP(C17:C26),0)</f>
        <v>0.17275452555577234</v>
      </c>
      <c r="J26" s="55">
        <f t="shared" ref="J26:J40" si="3">IF(C26-C25&lt;0,STDEVP(C17:C26),0)</f>
        <v>0</v>
      </c>
      <c r="K26" s="55"/>
      <c r="L26" s="55"/>
      <c r="M26" s="55"/>
      <c r="N26" s="55"/>
      <c r="O26" s="55"/>
      <c r="P26" s="55"/>
    </row>
    <row r="27" spans="1:16">
      <c r="A27" s="27">
        <v>33834</v>
      </c>
      <c r="B27" s="55">
        <v>14.0625</v>
      </c>
      <c r="C27" s="55">
        <v>13.9688</v>
      </c>
      <c r="D27" s="55">
        <f t="shared" si="0"/>
        <v>0</v>
      </c>
      <c r="E27" s="55">
        <f t="shared" si="1"/>
        <v>0.18396055446752707</v>
      </c>
      <c r="F27" s="55"/>
      <c r="G27" s="55"/>
      <c r="H27" s="29"/>
      <c r="I27" s="65">
        <f t="shared" si="2"/>
        <v>0.15675758004000953</v>
      </c>
      <c r="J27" s="55">
        <f t="shared" si="3"/>
        <v>0</v>
      </c>
      <c r="K27" s="55"/>
      <c r="L27" s="55"/>
      <c r="M27" s="55"/>
      <c r="N27" s="55"/>
      <c r="O27" s="55"/>
      <c r="P27" s="55"/>
    </row>
    <row r="28" spans="1:16">
      <c r="A28" s="26">
        <v>33835</v>
      </c>
      <c r="B28" s="52">
        <v>13.9688</v>
      </c>
      <c r="C28" s="52">
        <v>13.6562</v>
      </c>
      <c r="D28" s="52">
        <f t="shared" si="0"/>
        <v>0</v>
      </c>
      <c r="E28" s="52">
        <f t="shared" si="1"/>
        <v>0.14282676779931697</v>
      </c>
      <c r="F28" s="52"/>
      <c r="G28" s="52"/>
      <c r="H28" s="28"/>
      <c r="I28" s="64">
        <f t="shared" si="2"/>
        <v>0</v>
      </c>
      <c r="J28" s="52">
        <f t="shared" si="3"/>
        <v>0.14406786039918823</v>
      </c>
      <c r="K28" s="52"/>
      <c r="L28" s="52"/>
      <c r="M28" s="52"/>
      <c r="N28" s="52"/>
      <c r="O28" s="52"/>
      <c r="P28" s="52"/>
    </row>
    <row r="29" spans="1:16">
      <c r="A29" s="26">
        <v>33836</v>
      </c>
      <c r="B29" s="52">
        <v>13.75</v>
      </c>
      <c r="C29" s="52">
        <v>13.625</v>
      </c>
      <c r="D29" s="52">
        <f t="shared" si="0"/>
        <v>0</v>
      </c>
      <c r="E29" s="52">
        <f t="shared" si="1"/>
        <v>0.15439392993249443</v>
      </c>
      <c r="F29" s="52">
        <f>AVERAGE(D25:D29)</f>
        <v>3.8852735502149648E-2</v>
      </c>
      <c r="G29" s="52">
        <f>AVERAGE(E25:E29)</f>
        <v>0.13477064318193643</v>
      </c>
      <c r="H29" s="41">
        <f>100*F29/(F29+G29)</f>
        <v>22.377594421108221</v>
      </c>
      <c r="I29" s="64">
        <f t="shared" si="2"/>
        <v>0</v>
      </c>
      <c r="J29" s="52">
        <f t="shared" si="3"/>
        <v>0.1291957754727297</v>
      </c>
      <c r="K29" s="52">
        <f>AVERAGE(I25:I29)</f>
        <v>0.10226582189521141</v>
      </c>
      <c r="L29" s="52">
        <f>AVERAGE(J25:J29)</f>
        <v>5.4652727174383589E-2</v>
      </c>
      <c r="M29" s="52">
        <f>100*K29/(K29+L29)</f>
        <v>65.171276755723412</v>
      </c>
      <c r="N29" s="52">
        <f>(H29+M29)/2</f>
        <v>43.774435588415813</v>
      </c>
      <c r="O29" s="52"/>
      <c r="P29" s="53">
        <v>1</v>
      </c>
    </row>
    <row r="30" spans="1:16">
      <c r="A30" s="27">
        <v>33837</v>
      </c>
      <c r="B30" s="55">
        <v>13.8125</v>
      </c>
      <c r="C30" s="55">
        <v>13.375</v>
      </c>
      <c r="D30" s="55">
        <f t="shared" si="0"/>
        <v>0.1346411931765312</v>
      </c>
      <c r="E30" s="55">
        <f t="shared" si="1"/>
        <v>0</v>
      </c>
      <c r="F30" s="55">
        <f>F29+(1/5)*(D30-F29)</f>
        <v>5.8010427037025955E-2</v>
      </c>
      <c r="G30" s="55">
        <f>G29+(1/5)*(E30-G29)</f>
        <v>0.10781651454554915</v>
      </c>
      <c r="H30" s="45">
        <f t="shared" ref="H30:H40" si="4">100*F30/(F30+G30)</f>
        <v>34.982510370993673</v>
      </c>
      <c r="I30" s="65">
        <f t="shared" si="2"/>
        <v>0</v>
      </c>
      <c r="J30" s="55">
        <f t="shared" si="3"/>
        <v>0.15628135173461996</v>
      </c>
      <c r="K30" s="55">
        <f t="shared" ref="K30:L40" si="5">K29+(1/5)*(I30-K29)</f>
        <v>8.1812657516169132E-2</v>
      </c>
      <c r="L30" s="55">
        <f t="shared" si="5"/>
        <v>7.4978452086430863E-2</v>
      </c>
      <c r="M30" s="55">
        <f t="shared" ref="M30:M40" si="6">100*K30/(K30+L30)</f>
        <v>52.179398260226648</v>
      </c>
      <c r="N30" s="55">
        <f t="shared" ref="N30:N40" si="7">(H30+M30)/2</f>
        <v>43.580954315610157</v>
      </c>
      <c r="O30" s="55"/>
      <c r="P30" s="56">
        <v>2</v>
      </c>
    </row>
    <row r="31" spans="1:16">
      <c r="A31" s="27">
        <v>33840</v>
      </c>
      <c r="B31" s="55">
        <v>13.5</v>
      </c>
      <c r="C31" s="55">
        <v>13.2812</v>
      </c>
      <c r="D31" s="55">
        <f t="shared" si="0"/>
        <v>0</v>
      </c>
      <c r="E31" s="55">
        <f t="shared" si="1"/>
        <v>0.19317895874033483</v>
      </c>
      <c r="F31" s="55">
        <f t="shared" ref="F31:G40" si="8">F30+(1/5)*(D31-F30)</f>
        <v>4.6408341629620764E-2</v>
      </c>
      <c r="G31" s="55">
        <f t="shared" si="8"/>
        <v>0.12488900338450629</v>
      </c>
      <c r="H31" s="45">
        <f t="shared" si="4"/>
        <v>27.092271410157249</v>
      </c>
      <c r="I31" s="65">
        <f t="shared" si="2"/>
        <v>0</v>
      </c>
      <c r="J31" s="55">
        <f t="shared" si="3"/>
        <v>0.20703830780799959</v>
      </c>
      <c r="K31" s="55">
        <f t="shared" si="5"/>
        <v>6.5450126012935303E-2</v>
      </c>
      <c r="L31" s="55">
        <f t="shared" si="5"/>
        <v>0.10139042323074461</v>
      </c>
      <c r="M31" s="55">
        <f t="shared" si="6"/>
        <v>39.229148015655205</v>
      </c>
      <c r="N31" s="55">
        <f t="shared" si="7"/>
        <v>33.160709712906225</v>
      </c>
      <c r="O31" s="55"/>
      <c r="P31" s="56">
        <v>3</v>
      </c>
    </row>
    <row r="32" spans="1:16">
      <c r="A32" s="26">
        <v>33841</v>
      </c>
      <c r="B32" s="52">
        <v>13.4375</v>
      </c>
      <c r="C32" s="52">
        <v>13.1875</v>
      </c>
      <c r="D32" s="52">
        <f t="shared" si="0"/>
        <v>0</v>
      </c>
      <c r="E32" s="52">
        <f t="shared" si="1"/>
        <v>0.24006480395926427</v>
      </c>
      <c r="F32" s="52">
        <f t="shared" si="8"/>
        <v>3.7126673303696608E-2</v>
      </c>
      <c r="G32" s="52">
        <f t="shared" si="8"/>
        <v>0.14792416349945789</v>
      </c>
      <c r="H32" s="41">
        <f t="shared" si="4"/>
        <v>20.062958884746703</v>
      </c>
      <c r="I32" s="64">
        <f t="shared" si="2"/>
        <v>0</v>
      </c>
      <c r="J32" s="52">
        <f t="shared" si="3"/>
        <v>0.25264872135041572</v>
      </c>
      <c r="K32" s="52">
        <f t="shared" si="5"/>
        <v>5.236010081034824E-2</v>
      </c>
      <c r="L32" s="52">
        <f t="shared" si="5"/>
        <v>0.13164208285467882</v>
      </c>
      <c r="M32" s="52">
        <f t="shared" si="6"/>
        <v>28.456238815985429</v>
      </c>
      <c r="N32" s="52">
        <f t="shared" si="7"/>
        <v>24.259598850366068</v>
      </c>
      <c r="O32" s="52"/>
      <c r="P32" s="53">
        <v>4</v>
      </c>
    </row>
    <row r="33" spans="1:16">
      <c r="A33" s="26">
        <v>33842</v>
      </c>
      <c r="B33" s="52">
        <v>13.625</v>
      </c>
      <c r="C33" s="52">
        <v>13.4062</v>
      </c>
      <c r="D33" s="52">
        <f t="shared" si="0"/>
        <v>0.24993211658368356</v>
      </c>
      <c r="E33" s="52">
        <f t="shared" si="1"/>
        <v>0</v>
      </c>
      <c r="F33" s="52">
        <f t="shared" si="8"/>
        <v>7.9687761959694001E-2</v>
      </c>
      <c r="G33" s="52">
        <f t="shared" si="8"/>
        <v>0.11833933079956631</v>
      </c>
      <c r="H33" s="41">
        <f t="shared" si="4"/>
        <v>40.240838184990004</v>
      </c>
      <c r="I33" s="64">
        <f t="shared" si="2"/>
        <v>0.25542244693840044</v>
      </c>
      <c r="J33" s="52">
        <f t="shared" si="3"/>
        <v>0</v>
      </c>
      <c r="K33" s="52">
        <f t="shared" si="5"/>
        <v>9.2972570035958685E-2</v>
      </c>
      <c r="L33" s="52">
        <f t="shared" si="5"/>
        <v>0.10531366628374306</v>
      </c>
      <c r="M33" s="52">
        <f t="shared" si="6"/>
        <v>46.888060291818107</v>
      </c>
      <c r="N33" s="52">
        <f t="shared" si="7"/>
        <v>43.564449238404052</v>
      </c>
      <c r="O33" s="52"/>
      <c r="P33" s="53">
        <v>5</v>
      </c>
    </row>
    <row r="34" spans="1:16">
      <c r="A34" s="27">
        <v>33843</v>
      </c>
      <c r="B34" s="55">
        <v>13.7188</v>
      </c>
      <c r="C34" s="55">
        <v>13.625</v>
      </c>
      <c r="D34" s="55">
        <f t="shared" si="0"/>
        <v>0.25197367898254769</v>
      </c>
      <c r="E34" s="55">
        <f t="shared" si="1"/>
        <v>0</v>
      </c>
      <c r="F34" s="55">
        <f t="shared" si="8"/>
        <v>0.11414494536426473</v>
      </c>
      <c r="G34" s="55">
        <f t="shared" si="8"/>
        <v>9.467146463965305E-2</v>
      </c>
      <c r="H34" s="45">
        <f t="shared" si="4"/>
        <v>54.662823368203277</v>
      </c>
      <c r="I34" s="65">
        <f t="shared" si="2"/>
        <v>0.25236156680445615</v>
      </c>
      <c r="J34" s="55">
        <f t="shared" si="3"/>
        <v>0</v>
      </c>
      <c r="K34" s="55">
        <f t="shared" si="5"/>
        <v>0.12485036938965818</v>
      </c>
      <c r="L34" s="55">
        <f t="shared" si="5"/>
        <v>8.4250933026994448E-2</v>
      </c>
      <c r="M34" s="55">
        <f t="shared" si="6"/>
        <v>59.70807830784473</v>
      </c>
      <c r="N34" s="55">
        <f t="shared" si="7"/>
        <v>57.185450838024003</v>
      </c>
      <c r="O34" s="55"/>
      <c r="P34" s="56">
        <v>6</v>
      </c>
    </row>
    <row r="35" spans="1:16">
      <c r="A35" s="27">
        <v>33844</v>
      </c>
      <c r="B35" s="55">
        <v>13.875</v>
      </c>
      <c r="C35" s="55">
        <v>13.625</v>
      </c>
      <c r="D35" s="55">
        <f t="shared" si="0"/>
        <v>0.21641872123270664</v>
      </c>
      <c r="E35" s="55">
        <f t="shared" si="1"/>
        <v>0</v>
      </c>
      <c r="F35" s="55">
        <f t="shared" si="8"/>
        <v>0.13459970053795312</v>
      </c>
      <c r="G35" s="55">
        <f t="shared" si="8"/>
        <v>7.5737171711722437E-2</v>
      </c>
      <c r="H35" s="45">
        <f t="shared" si="4"/>
        <v>63.992441790319873</v>
      </c>
      <c r="I35" s="65">
        <f t="shared" si="2"/>
        <v>0</v>
      </c>
      <c r="J35" s="55">
        <f t="shared" si="3"/>
        <v>0</v>
      </c>
      <c r="K35" s="55">
        <f t="shared" si="5"/>
        <v>9.9880295511726544E-2</v>
      </c>
      <c r="L35" s="55">
        <f t="shared" si="5"/>
        <v>6.7400746421595562E-2</v>
      </c>
      <c r="M35" s="55">
        <f t="shared" si="6"/>
        <v>59.708078307844737</v>
      </c>
      <c r="N35" s="55">
        <f t="shared" si="7"/>
        <v>61.850260049082308</v>
      </c>
      <c r="O35" s="55"/>
      <c r="P35" s="56">
        <v>7</v>
      </c>
    </row>
    <row r="36" spans="1:16">
      <c r="A36" s="26">
        <v>33847</v>
      </c>
      <c r="B36" s="52">
        <v>13.8438</v>
      </c>
      <c r="C36" s="52">
        <v>13.75</v>
      </c>
      <c r="D36" s="52">
        <f t="shared" si="0"/>
        <v>0</v>
      </c>
      <c r="E36" s="52">
        <f t="shared" si="1"/>
        <v>0.18701132291922859</v>
      </c>
      <c r="F36" s="52">
        <f t="shared" si="8"/>
        <v>0.1076797604303625</v>
      </c>
      <c r="G36" s="52">
        <f t="shared" si="8"/>
        <v>9.7992001953223662E-2</v>
      </c>
      <c r="H36" s="41">
        <f t="shared" si="4"/>
        <v>52.355150353374903</v>
      </c>
      <c r="I36" s="64">
        <f t="shared" si="2"/>
        <v>0.22327337705154188</v>
      </c>
      <c r="J36" s="52">
        <f t="shared" si="3"/>
        <v>0</v>
      </c>
      <c r="K36" s="52">
        <f t="shared" si="5"/>
        <v>0.12455891181968962</v>
      </c>
      <c r="L36" s="52">
        <f t="shared" si="5"/>
        <v>5.3920597137276448E-2</v>
      </c>
      <c r="M36" s="52">
        <f t="shared" si="6"/>
        <v>69.788914451643038</v>
      </c>
      <c r="N36" s="52">
        <f t="shared" si="7"/>
        <v>61.072032402508967</v>
      </c>
      <c r="O36" s="52"/>
      <c r="P36" s="53">
        <v>8</v>
      </c>
    </row>
    <row r="37" spans="1:16">
      <c r="A37" s="26">
        <v>33848</v>
      </c>
      <c r="B37" s="52">
        <v>13.875</v>
      </c>
      <c r="C37" s="52">
        <v>13.75</v>
      </c>
      <c r="D37" s="52">
        <f t="shared" si="0"/>
        <v>0.16361745750377613</v>
      </c>
      <c r="E37" s="52">
        <f t="shared" si="1"/>
        <v>0</v>
      </c>
      <c r="F37" s="52">
        <f t="shared" si="8"/>
        <v>0.11886729984504522</v>
      </c>
      <c r="G37" s="52">
        <f t="shared" si="8"/>
        <v>7.8393601562578935E-2</v>
      </c>
      <c r="H37" s="41">
        <f t="shared" si="4"/>
        <v>60.258925614161775</v>
      </c>
      <c r="I37" s="64">
        <f t="shared" si="2"/>
        <v>0</v>
      </c>
      <c r="J37" s="52">
        <f t="shared" si="3"/>
        <v>0</v>
      </c>
      <c r="K37" s="52">
        <f t="shared" si="5"/>
        <v>9.9647129455751687E-2</v>
      </c>
      <c r="L37" s="52">
        <f t="shared" si="5"/>
        <v>4.313647770982116E-2</v>
      </c>
      <c r="M37" s="52">
        <f t="shared" si="6"/>
        <v>69.788914451643038</v>
      </c>
      <c r="N37" s="52">
        <f t="shared" si="7"/>
        <v>65.02392003290241</v>
      </c>
      <c r="O37" s="52"/>
      <c r="P37" s="53">
        <v>9</v>
      </c>
    </row>
    <row r="38" spans="1:16">
      <c r="A38" s="27">
        <v>33849</v>
      </c>
      <c r="B38" s="55">
        <v>13.8125</v>
      </c>
      <c r="C38" s="55">
        <v>13.7188</v>
      </c>
      <c r="D38" s="55">
        <f t="shared" si="0"/>
        <v>0</v>
      </c>
      <c r="E38" s="55">
        <f t="shared" si="1"/>
        <v>0.14777368811801375</v>
      </c>
      <c r="F38" s="55">
        <f t="shared" si="8"/>
        <v>9.5093839876036174E-2</v>
      </c>
      <c r="G38" s="55">
        <f t="shared" si="8"/>
        <v>9.2269618873665901E-2</v>
      </c>
      <c r="H38" s="45">
        <f t="shared" si="4"/>
        <v>50.753674441435017</v>
      </c>
      <c r="I38" s="65">
        <f t="shared" si="2"/>
        <v>0</v>
      </c>
      <c r="J38" s="55">
        <f t="shared" si="3"/>
        <v>0.19439357010971323</v>
      </c>
      <c r="K38" s="55">
        <f t="shared" si="5"/>
        <v>7.9717703564601353E-2</v>
      </c>
      <c r="L38" s="55">
        <f t="shared" si="5"/>
        <v>7.3387896189799573E-2</v>
      </c>
      <c r="M38" s="55">
        <f t="shared" si="6"/>
        <v>52.067137774501894</v>
      </c>
      <c r="N38" s="55">
        <f t="shared" si="7"/>
        <v>51.410406107968456</v>
      </c>
      <c r="O38" s="55"/>
      <c r="P38" s="56">
        <v>10</v>
      </c>
    </row>
    <row r="39" spans="1:16">
      <c r="A39" s="27">
        <v>33850</v>
      </c>
      <c r="B39" s="55">
        <v>14.0312</v>
      </c>
      <c r="C39" s="55">
        <v>13.75</v>
      </c>
      <c r="D39" s="55">
        <f t="shared" si="0"/>
        <v>0.17423865845443143</v>
      </c>
      <c r="E39" s="55">
        <f t="shared" si="1"/>
        <v>0</v>
      </c>
      <c r="F39" s="55">
        <f t="shared" si="8"/>
        <v>0.11092280359171522</v>
      </c>
      <c r="G39" s="55">
        <f t="shared" si="8"/>
        <v>7.3815695098932724E-2</v>
      </c>
      <c r="H39" s="45">
        <f t="shared" si="4"/>
        <v>60.04314443274756</v>
      </c>
      <c r="I39" s="65">
        <f t="shared" si="2"/>
        <v>0.20361940010716068</v>
      </c>
      <c r="J39" s="55">
        <f t="shared" si="3"/>
        <v>0</v>
      </c>
      <c r="K39" s="55">
        <f t="shared" si="5"/>
        <v>0.10449804287311322</v>
      </c>
      <c r="L39" s="55">
        <f t="shared" si="5"/>
        <v>5.8710316951839661E-2</v>
      </c>
      <c r="M39" s="55">
        <f t="shared" si="6"/>
        <v>64.027383759748162</v>
      </c>
      <c r="N39" s="55">
        <f t="shared" si="7"/>
        <v>62.035264096247857</v>
      </c>
      <c r="O39" s="55"/>
      <c r="P39" s="56">
        <v>11</v>
      </c>
    </row>
    <row r="40" spans="1:16">
      <c r="A40" s="26">
        <v>33851</v>
      </c>
      <c r="B40" s="52">
        <v>14</v>
      </c>
      <c r="C40" s="52">
        <v>13.9375</v>
      </c>
      <c r="D40" s="52">
        <f t="shared" si="0"/>
        <v>0</v>
      </c>
      <c r="E40" s="52">
        <f t="shared" si="1"/>
        <v>0.18907550766823292</v>
      </c>
      <c r="F40" s="52">
        <f t="shared" si="8"/>
        <v>8.8738242873372175E-2</v>
      </c>
      <c r="G40" s="52">
        <f t="shared" si="8"/>
        <v>9.6867657612792757E-2</v>
      </c>
      <c r="H40" s="41">
        <f t="shared" si="4"/>
        <v>47.810033323798741</v>
      </c>
      <c r="I40" s="64">
        <f t="shared" si="2"/>
        <v>0.22494898888414674</v>
      </c>
      <c r="J40" s="52">
        <f t="shared" si="3"/>
        <v>0</v>
      </c>
      <c r="K40" s="52">
        <f t="shared" si="5"/>
        <v>0.12858823207531994</v>
      </c>
      <c r="L40" s="52">
        <f t="shared" si="5"/>
        <v>4.6968253561471732E-2</v>
      </c>
      <c r="M40" s="52">
        <f t="shared" si="6"/>
        <v>73.246073256077693</v>
      </c>
      <c r="N40" s="52">
        <f t="shared" si="7"/>
        <v>60.528053289938214</v>
      </c>
      <c r="O40" s="52"/>
      <c r="P40" s="53">
        <v>12</v>
      </c>
    </row>
    <row r="41" spans="1:16">
      <c r="A41" s="26">
        <v>33855</v>
      </c>
      <c r="B41" s="28">
        <v>13.9688</v>
      </c>
      <c r="C41" s="28">
        <v>13.875</v>
      </c>
      <c r="D41" s="100">
        <f t="shared" ref="D41:D69" si="9">IF(B41-B40&gt;0,STDEVP(B32:B41),0)</f>
        <v>0</v>
      </c>
      <c r="E41" s="100">
        <f t="shared" ref="E41:E69" si="10">IF(B41-B40&lt;0,STDEVP(B32:B41),0)</f>
        <v>0.17331384364787483</v>
      </c>
      <c r="F41" s="100">
        <f t="shared" ref="F41:F69" si="11">F40+(1/5)*(D41-F40)</f>
        <v>7.0990594298697737E-2</v>
      </c>
      <c r="G41" s="100">
        <f t="shared" ref="G41:G69" si="12">G40+(1/5)*(E41-G40)</f>
        <v>0.11215689481980917</v>
      </c>
      <c r="H41" s="100">
        <f t="shared" ref="H41:H69" si="13">100*F41/(F41+G41)</f>
        <v>38.761434645037781</v>
      </c>
      <c r="I41" s="171">
        <f t="shared" ref="I41:I69" si="14">IF(C41-C40&gt;0,STDEVP(C32:C41),0)</f>
        <v>0</v>
      </c>
      <c r="J41" s="100">
        <f t="shared" ref="J41:J69" si="15">IF(C41-C40&lt;0,STDEVP(C32:C41),0)</f>
        <v>0.21001116160813929</v>
      </c>
      <c r="K41" s="100">
        <f t="shared" ref="K41:K69" si="16">K40+(1/5)*(I41-K40)</f>
        <v>0.10287058566025595</v>
      </c>
      <c r="L41" s="100">
        <f t="shared" ref="L41:L69" si="17">L40+(1/5)*(J41-L40)</f>
        <v>7.9576835170805243E-2</v>
      </c>
      <c r="M41" s="100">
        <f t="shared" ref="M41:M69" si="18">100*K41/(K41+L41)</f>
        <v>56.383688622000243</v>
      </c>
      <c r="N41" s="100">
        <f t="shared" ref="N41:N69" si="19">(H41+M41)/2</f>
        <v>47.572561633519015</v>
      </c>
      <c r="O41" s="100"/>
      <c r="P41" s="242">
        <v>13</v>
      </c>
    </row>
    <row r="42" spans="1:16">
      <c r="A42" s="27">
        <v>33856</v>
      </c>
      <c r="B42" s="29">
        <v>13.875</v>
      </c>
      <c r="C42" s="29">
        <v>13.6562</v>
      </c>
      <c r="D42" s="99">
        <f t="shared" si="9"/>
        <v>0</v>
      </c>
      <c r="E42" s="99">
        <f t="shared" si="10"/>
        <v>0.11791522760017049</v>
      </c>
      <c r="F42" s="99">
        <f t="shared" si="11"/>
        <v>5.6792475438958191E-2</v>
      </c>
      <c r="G42" s="99">
        <f t="shared" si="12"/>
        <v>0.11330856137588144</v>
      </c>
      <c r="H42" s="99">
        <f t="shared" si="13"/>
        <v>33.387495163112149</v>
      </c>
      <c r="I42" s="172">
        <f t="shared" si="14"/>
        <v>0</v>
      </c>
      <c r="J42" s="99">
        <f t="shared" si="15"/>
        <v>0.13910197734036706</v>
      </c>
      <c r="K42" s="99">
        <f t="shared" si="16"/>
        <v>8.2296468528204755E-2</v>
      </c>
      <c r="L42" s="99">
        <f t="shared" si="17"/>
        <v>9.1481863604717606E-2</v>
      </c>
      <c r="M42" s="99">
        <f t="shared" si="18"/>
        <v>47.357151791085499</v>
      </c>
      <c r="N42" s="99">
        <f t="shared" si="19"/>
        <v>40.372323477098824</v>
      </c>
      <c r="O42" s="99"/>
      <c r="P42" s="38">
        <v>14</v>
      </c>
    </row>
    <row r="43" spans="1:16">
      <c r="A43" s="27">
        <v>33857</v>
      </c>
      <c r="B43" s="29">
        <v>13.9062</v>
      </c>
      <c r="C43" s="29">
        <v>13.6562</v>
      </c>
      <c r="D43" s="99">
        <f t="shared" si="9"/>
        <v>8.7538837666489538E-2</v>
      </c>
      <c r="E43" s="99">
        <f t="shared" si="10"/>
        <v>0</v>
      </c>
      <c r="F43" s="99">
        <f t="shared" si="11"/>
        <v>6.2941747884464466E-2</v>
      </c>
      <c r="G43" s="99">
        <f t="shared" si="12"/>
        <v>9.0646849100705154E-2</v>
      </c>
      <c r="H43" s="99">
        <f t="shared" si="13"/>
        <v>40.980742789480693</v>
      </c>
      <c r="I43" s="172">
        <f t="shared" si="14"/>
        <v>0</v>
      </c>
      <c r="J43" s="99">
        <f t="shared" si="15"/>
        <v>0</v>
      </c>
      <c r="K43" s="99">
        <f t="shared" si="16"/>
        <v>6.5837174822563807E-2</v>
      </c>
      <c r="L43" s="99">
        <f t="shared" si="17"/>
        <v>7.3185490883774088E-2</v>
      </c>
      <c r="M43" s="99">
        <f t="shared" si="18"/>
        <v>47.357151791085499</v>
      </c>
      <c r="N43" s="99">
        <f t="shared" si="19"/>
        <v>44.1689472902831</v>
      </c>
      <c r="O43" s="99"/>
      <c r="P43" s="38">
        <v>15</v>
      </c>
    </row>
    <row r="44" spans="1:16">
      <c r="A44" s="26">
        <v>33858</v>
      </c>
      <c r="B44" s="28">
        <v>13.7188</v>
      </c>
      <c r="C44" s="28">
        <v>13.5625</v>
      </c>
      <c r="D44" s="100">
        <f t="shared" si="9"/>
        <v>0</v>
      </c>
      <c r="E44" s="100">
        <f t="shared" si="10"/>
        <v>8.7538837666489538E-2</v>
      </c>
      <c r="F44" s="100">
        <f t="shared" si="11"/>
        <v>5.0353398307571573E-2</v>
      </c>
      <c r="G44" s="100">
        <f t="shared" si="12"/>
        <v>9.0025246813862037E-2</v>
      </c>
      <c r="H44" s="100">
        <f t="shared" si="13"/>
        <v>35.869699599973849</v>
      </c>
      <c r="I44" s="171">
        <f t="shared" si="14"/>
        <v>0</v>
      </c>
      <c r="J44" s="100">
        <f t="shared" si="15"/>
        <v>0.10739901116863226</v>
      </c>
      <c r="K44" s="100">
        <f t="shared" si="16"/>
        <v>5.2669739858051047E-2</v>
      </c>
      <c r="L44" s="100">
        <f t="shared" si="17"/>
        <v>8.0028194940745728E-2</v>
      </c>
      <c r="M44" s="100">
        <f t="shared" si="18"/>
        <v>39.691454081716891</v>
      </c>
      <c r="N44" s="100">
        <f t="shared" si="19"/>
        <v>37.78057684084537</v>
      </c>
      <c r="O44" s="100"/>
      <c r="P44" s="242">
        <v>16</v>
      </c>
    </row>
    <row r="45" spans="1:16">
      <c r="A45" s="26">
        <v>33861</v>
      </c>
      <c r="B45" s="28">
        <v>14.0938</v>
      </c>
      <c r="C45" s="28">
        <v>13.7812</v>
      </c>
      <c r="D45" s="100">
        <f t="shared" si="9"/>
        <v>0.10624353580336077</v>
      </c>
      <c r="E45" s="100">
        <f t="shared" si="10"/>
        <v>0</v>
      </c>
      <c r="F45" s="100">
        <f t="shared" si="11"/>
        <v>6.1531425806729413E-2</v>
      </c>
      <c r="G45" s="100">
        <f t="shared" si="12"/>
        <v>7.2020197451089632E-2</v>
      </c>
      <c r="H45" s="100">
        <f t="shared" si="13"/>
        <v>46.073139588834565</v>
      </c>
      <c r="I45" s="171">
        <f t="shared" si="14"/>
        <v>0.10251311330751788</v>
      </c>
      <c r="J45" s="100">
        <f t="shared" si="15"/>
        <v>0</v>
      </c>
      <c r="K45" s="100">
        <f t="shared" si="16"/>
        <v>6.2638414547944415E-2</v>
      </c>
      <c r="L45" s="100">
        <f t="shared" si="17"/>
        <v>6.402255595259658E-2</v>
      </c>
      <c r="M45" s="100">
        <f t="shared" si="18"/>
        <v>49.453603821610443</v>
      </c>
      <c r="N45" s="100">
        <f t="shared" si="19"/>
        <v>47.763371705222504</v>
      </c>
      <c r="O45" s="100"/>
      <c r="P45" s="242">
        <v>17</v>
      </c>
    </row>
    <row r="46" spans="1:16">
      <c r="A46" s="27">
        <v>33862</v>
      </c>
      <c r="B46" s="29">
        <v>14.0625</v>
      </c>
      <c r="C46" s="29">
        <v>13.8125</v>
      </c>
      <c r="D46" s="99">
        <f t="shared" si="9"/>
        <v>0</v>
      </c>
      <c r="E46" s="99">
        <f t="shared" si="10"/>
        <v>0.11219173588103538</v>
      </c>
      <c r="F46" s="99">
        <f t="shared" si="11"/>
        <v>4.9225140645383532E-2</v>
      </c>
      <c r="G46" s="99">
        <f t="shared" si="12"/>
        <v>8.0054505137078777E-2</v>
      </c>
      <c r="H46" s="99">
        <f t="shared" si="13"/>
        <v>38.076481682363386</v>
      </c>
      <c r="I46" s="172">
        <f t="shared" si="14"/>
        <v>0.10458848359164598</v>
      </c>
      <c r="J46" s="99">
        <f t="shared" si="15"/>
        <v>0</v>
      </c>
      <c r="K46" s="99">
        <f t="shared" si="16"/>
        <v>7.1028428356684728E-2</v>
      </c>
      <c r="L46" s="99">
        <f t="shared" si="17"/>
        <v>5.1218044762077267E-2</v>
      </c>
      <c r="M46" s="99">
        <f t="shared" si="18"/>
        <v>58.102640137258497</v>
      </c>
      <c r="N46" s="99">
        <f t="shared" si="19"/>
        <v>48.089560909810942</v>
      </c>
      <c r="O46" s="99"/>
      <c r="P46" s="38">
        <v>18</v>
      </c>
    </row>
    <row r="47" spans="1:16">
      <c r="A47" s="27">
        <v>33863</v>
      </c>
      <c r="B47" s="29">
        <v>13.8125</v>
      </c>
      <c r="C47" s="29">
        <v>13.5312</v>
      </c>
      <c r="D47" s="99">
        <f t="shared" si="9"/>
        <v>0</v>
      </c>
      <c r="E47" s="99">
        <f t="shared" si="10"/>
        <v>0.11696494389345896</v>
      </c>
      <c r="F47" s="99">
        <f t="shared" si="11"/>
        <v>3.9380112516306826E-2</v>
      </c>
      <c r="G47" s="99">
        <f t="shared" si="12"/>
        <v>8.7436592888354814E-2</v>
      </c>
      <c r="H47" s="99">
        <f t="shared" si="13"/>
        <v>31.052779987185549</v>
      </c>
      <c r="I47" s="172">
        <f t="shared" si="14"/>
        <v>0</v>
      </c>
      <c r="J47" s="99">
        <f t="shared" si="15"/>
        <v>0.12347843091001762</v>
      </c>
      <c r="K47" s="99">
        <f t="shared" si="16"/>
        <v>5.6822742685347781E-2</v>
      </c>
      <c r="L47" s="99">
        <f t="shared" si="17"/>
        <v>6.5670121991665331E-2</v>
      </c>
      <c r="M47" s="99">
        <f t="shared" si="18"/>
        <v>46.388614418625053</v>
      </c>
      <c r="N47" s="99">
        <f t="shared" si="19"/>
        <v>38.720697202905299</v>
      </c>
      <c r="O47" s="99"/>
      <c r="P47" s="38">
        <v>19</v>
      </c>
    </row>
    <row r="48" spans="1:16">
      <c r="A48" s="26">
        <v>33864</v>
      </c>
      <c r="B48" s="28">
        <v>13.125</v>
      </c>
      <c r="C48" s="28">
        <v>12.75</v>
      </c>
      <c r="D48" s="100">
        <f t="shared" si="9"/>
        <v>0</v>
      </c>
      <c r="E48" s="100">
        <f t="shared" si="10"/>
        <v>0.26854978234956739</v>
      </c>
      <c r="F48" s="100">
        <f t="shared" si="11"/>
        <v>3.1504090013045459E-2</v>
      </c>
      <c r="G48" s="100">
        <f t="shared" si="12"/>
        <v>0.12365923078059733</v>
      </c>
      <c r="H48" s="100">
        <f t="shared" si="13"/>
        <v>20.303825576757195</v>
      </c>
      <c r="I48" s="171">
        <f t="shared" si="14"/>
        <v>0</v>
      </c>
      <c r="J48" s="100">
        <f t="shared" si="15"/>
        <v>0.31862585912006575</v>
      </c>
      <c r="K48" s="100">
        <f t="shared" si="16"/>
        <v>4.5458194148278223E-2</v>
      </c>
      <c r="L48" s="100">
        <f t="shared" si="17"/>
        <v>0.11626126941734541</v>
      </c>
      <c r="M48" s="100">
        <f t="shared" si="18"/>
        <v>28.109290709978076</v>
      </c>
      <c r="N48" s="100">
        <f t="shared" si="19"/>
        <v>24.206558143367637</v>
      </c>
      <c r="O48" s="100">
        <f t="shared" ref="O48:O56" si="20">FORECAST(P48,N29:N48,P29:P48)</f>
        <v>44.474513674146692</v>
      </c>
      <c r="P48" s="242">
        <v>20</v>
      </c>
    </row>
    <row r="49" spans="1:16">
      <c r="A49" s="26">
        <v>33865</v>
      </c>
      <c r="B49" s="28">
        <v>12.7812</v>
      </c>
      <c r="C49" s="28">
        <v>12.5312</v>
      </c>
      <c r="D49" s="100">
        <f t="shared" si="9"/>
        <v>0</v>
      </c>
      <c r="E49" s="100">
        <f t="shared" si="10"/>
        <v>0.41205459055809579</v>
      </c>
      <c r="F49" s="100">
        <f t="shared" si="11"/>
        <v>2.5203272010436366E-2</v>
      </c>
      <c r="G49" s="100">
        <f t="shared" si="12"/>
        <v>0.18133830273609702</v>
      </c>
      <c r="H49" s="100">
        <f t="shared" si="13"/>
        <v>12.20251760032607</v>
      </c>
      <c r="I49" s="171">
        <f t="shared" si="14"/>
        <v>0</v>
      </c>
      <c r="J49" s="100">
        <f t="shared" si="15"/>
        <v>0.45416260579224266</v>
      </c>
      <c r="K49" s="100">
        <f t="shared" si="16"/>
        <v>3.6366555318622582E-2</v>
      </c>
      <c r="L49" s="100">
        <f t="shared" si="17"/>
        <v>0.18384153669232486</v>
      </c>
      <c r="M49" s="100">
        <f t="shared" si="18"/>
        <v>16.514631677029676</v>
      </c>
      <c r="N49" s="100">
        <f t="shared" si="19"/>
        <v>14.358574638677872</v>
      </c>
      <c r="O49" s="100">
        <f t="shared" si="20"/>
        <v>38.14540492695091</v>
      </c>
      <c r="P49" s="242">
        <v>21</v>
      </c>
    </row>
    <row r="50" spans="1:16">
      <c r="A50" s="27">
        <v>33868</v>
      </c>
      <c r="B50" s="29">
        <v>12.625</v>
      </c>
      <c r="C50" s="29">
        <v>12.0625</v>
      </c>
      <c r="D50" s="99">
        <f t="shared" si="9"/>
        <v>0</v>
      </c>
      <c r="E50" s="99">
        <f t="shared" si="10"/>
        <v>0.51662339823124537</v>
      </c>
      <c r="F50" s="99">
        <f t="shared" si="11"/>
        <v>2.0162617608349094E-2</v>
      </c>
      <c r="G50" s="99">
        <f t="shared" si="12"/>
        <v>0.24839532183512669</v>
      </c>
      <c r="H50" s="99">
        <f t="shared" si="13"/>
        <v>7.5077346996821079</v>
      </c>
      <c r="I50" s="172">
        <f t="shared" si="14"/>
        <v>0</v>
      </c>
      <c r="J50" s="99">
        <f t="shared" si="15"/>
        <v>0.60175881588889091</v>
      </c>
      <c r="K50" s="99">
        <f t="shared" si="16"/>
        <v>2.9093244254898065E-2</v>
      </c>
      <c r="L50" s="99">
        <f t="shared" si="17"/>
        <v>0.26742499253163809</v>
      </c>
      <c r="M50" s="99">
        <f t="shared" si="18"/>
        <v>9.8116205499502982</v>
      </c>
      <c r="N50" s="99">
        <f t="shared" si="19"/>
        <v>8.6596776248162026</v>
      </c>
      <c r="O50" s="99">
        <f t="shared" si="20"/>
        <v>31.158808049182241</v>
      </c>
      <c r="P50" s="38">
        <v>22</v>
      </c>
    </row>
    <row r="51" spans="1:16">
      <c r="A51" s="27">
        <v>33869</v>
      </c>
      <c r="B51" s="29">
        <v>12.375</v>
      </c>
      <c r="C51" s="29">
        <v>12.0938</v>
      </c>
      <c r="D51" s="99">
        <f t="shared" si="9"/>
        <v>0</v>
      </c>
      <c r="E51" s="99">
        <f t="shared" si="10"/>
        <v>0.61397424701692493</v>
      </c>
      <c r="F51" s="99">
        <f t="shared" si="11"/>
        <v>1.6130094086679276E-2</v>
      </c>
      <c r="G51" s="99">
        <f t="shared" si="12"/>
        <v>0.32151110687148632</v>
      </c>
      <c r="H51" s="99">
        <f t="shared" si="13"/>
        <v>4.7772884472940333</v>
      </c>
      <c r="I51" s="172">
        <f t="shared" si="14"/>
        <v>0.67126755180032349</v>
      </c>
      <c r="J51" s="99">
        <f t="shared" si="15"/>
        <v>0</v>
      </c>
      <c r="K51" s="99">
        <f t="shared" si="16"/>
        <v>0.15752810576398316</v>
      </c>
      <c r="L51" s="99">
        <f t="shared" si="17"/>
        <v>0.21393999402531047</v>
      </c>
      <c r="M51" s="99">
        <f t="shared" si="18"/>
        <v>42.406900041574822</v>
      </c>
      <c r="N51" s="99">
        <f t="shared" si="19"/>
        <v>23.592094244434428</v>
      </c>
      <c r="O51" s="99">
        <f t="shared" si="20"/>
        <v>26.402225178940739</v>
      </c>
      <c r="P51" s="38">
        <v>23</v>
      </c>
    </row>
    <row r="52" spans="1:16">
      <c r="A52" s="26">
        <v>33870</v>
      </c>
      <c r="B52" s="28">
        <v>12.2188</v>
      </c>
      <c r="C52" s="28">
        <v>12.0625</v>
      </c>
      <c r="D52" s="100">
        <f t="shared" si="9"/>
        <v>0</v>
      </c>
      <c r="E52" s="100">
        <f t="shared" si="10"/>
        <v>0.69203810270822519</v>
      </c>
      <c r="F52" s="100">
        <f t="shared" si="11"/>
        <v>1.290407526934342E-2</v>
      </c>
      <c r="G52" s="100">
        <f t="shared" si="12"/>
        <v>0.39561650603883408</v>
      </c>
      <c r="H52" s="100">
        <f t="shared" si="13"/>
        <v>3.1587332094803116</v>
      </c>
      <c r="I52" s="171">
        <f t="shared" si="14"/>
        <v>0</v>
      </c>
      <c r="J52" s="100">
        <f t="shared" si="15"/>
        <v>0.71822323159307511</v>
      </c>
      <c r="K52" s="100">
        <f t="shared" si="16"/>
        <v>0.12602248461118654</v>
      </c>
      <c r="L52" s="100">
        <f t="shared" si="17"/>
        <v>0.31479664153886339</v>
      </c>
      <c r="M52" s="100">
        <f t="shared" si="18"/>
        <v>28.588252445355533</v>
      </c>
      <c r="N52" s="100">
        <f t="shared" si="19"/>
        <v>15.873492827417921</v>
      </c>
      <c r="O52" s="100">
        <f t="shared" si="20"/>
        <v>19.458771180263199</v>
      </c>
      <c r="P52" s="242">
        <v>24</v>
      </c>
    </row>
    <row r="53" spans="1:16">
      <c r="A53" s="26">
        <v>33871</v>
      </c>
      <c r="B53" s="28">
        <v>12.2812</v>
      </c>
      <c r="C53" s="28">
        <v>12.0938</v>
      </c>
      <c r="D53" s="100">
        <f t="shared" si="9"/>
        <v>0.71443613122517813</v>
      </c>
      <c r="E53" s="100">
        <f t="shared" si="10"/>
        <v>0</v>
      </c>
      <c r="F53" s="100">
        <f t="shared" si="11"/>
        <v>0.15321048646051036</v>
      </c>
      <c r="G53" s="100">
        <f t="shared" si="12"/>
        <v>0.31649320483106724</v>
      </c>
      <c r="H53" s="100">
        <f t="shared" si="13"/>
        <v>32.618540007470791</v>
      </c>
      <c r="I53" s="171">
        <f t="shared" si="14"/>
        <v>0.72498723133583531</v>
      </c>
      <c r="J53" s="100">
        <f t="shared" si="15"/>
        <v>0</v>
      </c>
      <c r="K53" s="100">
        <f t="shared" si="16"/>
        <v>0.24581543395611632</v>
      </c>
      <c r="L53" s="100">
        <f t="shared" si="17"/>
        <v>0.25183731323109071</v>
      </c>
      <c r="M53" s="100">
        <f t="shared" si="18"/>
        <v>49.394971764045231</v>
      </c>
      <c r="N53" s="100">
        <f t="shared" si="19"/>
        <v>41.006755885758011</v>
      </c>
      <c r="O53" s="100">
        <f t="shared" si="20"/>
        <v>19.233209731551874</v>
      </c>
      <c r="P53" s="242">
        <v>25</v>
      </c>
    </row>
    <row r="54" spans="1:16">
      <c r="A54" s="27">
        <v>33872</v>
      </c>
      <c r="B54" s="29">
        <v>12.1875</v>
      </c>
      <c r="C54" s="29">
        <v>11.875</v>
      </c>
      <c r="D54" s="99">
        <f t="shared" si="9"/>
        <v>0</v>
      </c>
      <c r="E54" s="99">
        <f t="shared" si="10"/>
        <v>0.73131196387041275</v>
      </c>
      <c r="F54" s="99">
        <f t="shared" si="11"/>
        <v>0.12256838916840829</v>
      </c>
      <c r="G54" s="99">
        <f t="shared" si="12"/>
        <v>0.39945695663893632</v>
      </c>
      <c r="H54" s="99">
        <f t="shared" si="13"/>
        <v>23.479394277082211</v>
      </c>
      <c r="I54" s="172">
        <f t="shared" si="14"/>
        <v>0</v>
      </c>
      <c r="J54" s="99">
        <f t="shared" si="15"/>
        <v>0.73078197713134663</v>
      </c>
      <c r="K54" s="99">
        <f t="shared" si="16"/>
        <v>0.19665234716489305</v>
      </c>
      <c r="L54" s="99">
        <f t="shared" si="17"/>
        <v>0.34762624601114189</v>
      </c>
      <c r="M54" s="99">
        <f t="shared" si="18"/>
        <v>36.130825211655925</v>
      </c>
      <c r="N54" s="99">
        <f t="shared" si="19"/>
        <v>29.805109744369069</v>
      </c>
      <c r="O54" s="99">
        <f t="shared" si="20"/>
        <v>18.325981207296678</v>
      </c>
      <c r="P54" s="38">
        <v>26</v>
      </c>
    </row>
    <row r="55" spans="1:16">
      <c r="A55" s="27">
        <v>33875</v>
      </c>
      <c r="B55" s="29">
        <v>12.2812</v>
      </c>
      <c r="C55" s="29">
        <v>12.0312</v>
      </c>
      <c r="D55" s="99">
        <f t="shared" si="9"/>
        <v>0.6466291447963044</v>
      </c>
      <c r="E55" s="99">
        <f t="shared" si="10"/>
        <v>0</v>
      </c>
      <c r="F55" s="99">
        <f t="shared" si="11"/>
        <v>0.22738054029398752</v>
      </c>
      <c r="G55" s="99">
        <f t="shared" si="12"/>
        <v>0.31956556531114905</v>
      </c>
      <c r="H55" s="99">
        <f t="shared" si="13"/>
        <v>41.57275058068393</v>
      </c>
      <c r="I55" s="172">
        <f t="shared" si="14"/>
        <v>0.64577612072606094</v>
      </c>
      <c r="J55" s="99">
        <f t="shared" si="15"/>
        <v>0</v>
      </c>
      <c r="K55" s="99">
        <f t="shared" si="16"/>
        <v>0.28647710187712661</v>
      </c>
      <c r="L55" s="99">
        <f t="shared" si="17"/>
        <v>0.27810099680891354</v>
      </c>
      <c r="M55" s="99">
        <f t="shared" si="18"/>
        <v>50.741802160560873</v>
      </c>
      <c r="N55" s="99">
        <f t="shared" si="19"/>
        <v>46.157276370622398</v>
      </c>
      <c r="O55" s="99">
        <f t="shared" si="20"/>
        <v>21.313212278932284</v>
      </c>
      <c r="P55" s="38">
        <v>27</v>
      </c>
    </row>
    <row r="56" spans="1:16">
      <c r="A56" s="26">
        <v>33876</v>
      </c>
      <c r="B56" s="28">
        <v>12.0625</v>
      </c>
      <c r="C56" s="28">
        <v>11.75</v>
      </c>
      <c r="D56" s="100">
        <f t="shared" si="9"/>
        <v>0</v>
      </c>
      <c r="E56" s="100">
        <f t="shared" si="10"/>
        <v>0.51295735777937723</v>
      </c>
      <c r="F56" s="100">
        <f t="shared" si="11"/>
        <v>0.18190443223519001</v>
      </c>
      <c r="G56" s="100">
        <f t="shared" si="12"/>
        <v>0.35824392380479469</v>
      </c>
      <c r="H56" s="100">
        <f t="shared" si="13"/>
        <v>33.676753840147661</v>
      </c>
      <c r="I56" s="171">
        <f t="shared" si="14"/>
        <v>0</v>
      </c>
      <c r="J56" s="100">
        <f t="shared" si="15"/>
        <v>0.50202065256321882</v>
      </c>
      <c r="K56" s="100">
        <f t="shared" si="16"/>
        <v>0.22918168150170129</v>
      </c>
      <c r="L56" s="100">
        <f t="shared" si="17"/>
        <v>0.32288492795977458</v>
      </c>
      <c r="M56" s="100">
        <f t="shared" si="18"/>
        <v>41.513411167043955</v>
      </c>
      <c r="N56" s="100">
        <f t="shared" si="19"/>
        <v>37.595082503595805</v>
      </c>
      <c r="O56" s="100">
        <f t="shared" si="20"/>
        <v>22.856684348869344</v>
      </c>
      <c r="P56" s="242">
        <v>28</v>
      </c>
    </row>
    <row r="57" spans="1:16">
      <c r="A57" s="26">
        <v>33877</v>
      </c>
      <c r="B57" s="28">
        <v>12.25</v>
      </c>
      <c r="C57" s="28">
        <v>11.9062</v>
      </c>
      <c r="D57" s="100">
        <f t="shared" si="9"/>
        <v>0.31004828398170498</v>
      </c>
      <c r="E57" s="100">
        <f t="shared" si="10"/>
        <v>0</v>
      </c>
      <c r="F57" s="100">
        <f t="shared" si="11"/>
        <v>0.20753320258449301</v>
      </c>
      <c r="G57" s="100">
        <f t="shared" si="12"/>
        <v>0.28659513904383577</v>
      </c>
      <c r="H57" s="100">
        <f t="shared" si="13"/>
        <v>41.999858154380952</v>
      </c>
      <c r="I57" s="171">
        <f t="shared" si="14"/>
        <v>0.28710622703104161</v>
      </c>
      <c r="J57" s="100">
        <f t="shared" si="15"/>
        <v>0</v>
      </c>
      <c r="K57" s="100">
        <f t="shared" si="16"/>
        <v>0.24076659060756936</v>
      </c>
      <c r="L57" s="100">
        <f t="shared" si="17"/>
        <v>0.25830794236781968</v>
      </c>
      <c r="M57" s="100">
        <f t="shared" si="18"/>
        <v>48.242612014715306</v>
      </c>
      <c r="N57" s="100">
        <f t="shared" si="19"/>
        <v>45.121235084548132</v>
      </c>
      <c r="O57" s="100">
        <f>FORECAST(P57,N38:N57,P38:P57)</f>
        <v>26.52844423114994</v>
      </c>
      <c r="P57" s="242">
        <v>29</v>
      </c>
    </row>
    <row r="58" spans="1:16">
      <c r="A58" s="27">
        <v>33878</v>
      </c>
      <c r="B58" s="29">
        <v>12.4375</v>
      </c>
      <c r="C58" s="29">
        <v>12.0625</v>
      </c>
      <c r="D58" s="99">
        <f t="shared" si="9"/>
        <v>0.20385840895091872</v>
      </c>
      <c r="E58" s="99">
        <f t="shared" si="10"/>
        <v>0</v>
      </c>
      <c r="F58" s="99">
        <f t="shared" si="11"/>
        <v>0.20679824385777815</v>
      </c>
      <c r="G58" s="99">
        <f t="shared" si="12"/>
        <v>0.22927611123506861</v>
      </c>
      <c r="H58" s="99">
        <f t="shared" si="13"/>
        <v>47.422702445721143</v>
      </c>
      <c r="I58" s="172">
        <f t="shared" si="14"/>
        <v>0.19427248415563128</v>
      </c>
      <c r="J58" s="99">
        <f t="shared" si="15"/>
        <v>0</v>
      </c>
      <c r="K58" s="99">
        <f t="shared" si="16"/>
        <v>0.23146776931718174</v>
      </c>
      <c r="L58" s="99">
        <f t="shared" si="17"/>
        <v>0.20664635389425573</v>
      </c>
      <c r="M58" s="99">
        <f t="shared" si="18"/>
        <v>52.832756821553886</v>
      </c>
      <c r="N58" s="99">
        <f t="shared" si="19"/>
        <v>50.127729633637514</v>
      </c>
      <c r="O58" s="99">
        <f t="shared" ref="O58:O69" si="21">FORECAST(P58,N39:N58,P39:P58)</f>
        <v>30.05295435074451</v>
      </c>
      <c r="P58" s="38">
        <v>30</v>
      </c>
    </row>
    <row r="59" spans="1:16">
      <c r="A59" s="27">
        <v>33879</v>
      </c>
      <c r="B59" s="29">
        <v>12.25</v>
      </c>
      <c r="C59" s="29">
        <v>12</v>
      </c>
      <c r="D59" s="99">
        <f t="shared" si="9"/>
        <v>0</v>
      </c>
      <c r="E59" s="99">
        <f t="shared" si="10"/>
        <v>0.14540326715724103</v>
      </c>
      <c r="F59" s="99">
        <f t="shared" si="11"/>
        <v>0.16543859508622252</v>
      </c>
      <c r="G59" s="99">
        <f t="shared" si="12"/>
        <v>0.21250154241950309</v>
      </c>
      <c r="H59" s="99">
        <f t="shared" si="13"/>
        <v>43.773756388527588</v>
      </c>
      <c r="I59" s="172">
        <f t="shared" si="14"/>
        <v>0</v>
      </c>
      <c r="J59" s="99">
        <f t="shared" si="15"/>
        <v>0.10808417321698859</v>
      </c>
      <c r="K59" s="99">
        <f t="shared" si="16"/>
        <v>0.18517421545374541</v>
      </c>
      <c r="L59" s="99">
        <f t="shared" si="17"/>
        <v>0.1869339177588023</v>
      </c>
      <c r="M59" s="99">
        <f t="shared" si="18"/>
        <v>49.763549604537694</v>
      </c>
      <c r="N59" s="99">
        <f t="shared" si="19"/>
        <v>46.768652996532637</v>
      </c>
      <c r="O59" s="99">
        <f t="shared" si="21"/>
        <v>34.034445700480831</v>
      </c>
      <c r="P59" s="38">
        <v>31</v>
      </c>
    </row>
    <row r="60" spans="1:16">
      <c r="A60" s="26">
        <v>33882</v>
      </c>
      <c r="B60" s="28">
        <v>11.9375</v>
      </c>
      <c r="C60" s="28">
        <v>11.3438</v>
      </c>
      <c r="D60" s="100">
        <f t="shared" si="9"/>
        <v>0</v>
      </c>
      <c r="E60" s="100">
        <f t="shared" si="10"/>
        <v>0.13624719299860824</v>
      </c>
      <c r="F60" s="100">
        <f t="shared" si="11"/>
        <v>0.13235087606897802</v>
      </c>
      <c r="G60" s="100">
        <f t="shared" si="12"/>
        <v>0.19725067253532411</v>
      </c>
      <c r="H60" s="100">
        <f t="shared" si="13"/>
        <v>40.154810142554808</v>
      </c>
      <c r="I60" s="171">
        <f t="shared" si="14"/>
        <v>0</v>
      </c>
      <c r="J60" s="100">
        <f t="shared" si="15"/>
        <v>0.2197447055107358</v>
      </c>
      <c r="K60" s="100">
        <f t="shared" si="16"/>
        <v>0.14813937236299632</v>
      </c>
      <c r="L60" s="100">
        <f t="shared" si="17"/>
        <v>0.193496075309189</v>
      </c>
      <c r="M60" s="100">
        <f t="shared" si="18"/>
        <v>43.361827167637109</v>
      </c>
      <c r="N60" s="100">
        <f t="shared" si="19"/>
        <v>41.758318655095962</v>
      </c>
      <c r="O60" s="100">
        <f t="shared" si="21"/>
        <v>37.152819750458185</v>
      </c>
      <c r="P60" s="242">
        <v>32</v>
      </c>
    </row>
    <row r="61" spans="1:16">
      <c r="A61" s="26">
        <v>33883</v>
      </c>
      <c r="B61" s="28">
        <v>11.7812</v>
      </c>
      <c r="C61" s="28">
        <v>11.5625</v>
      </c>
      <c r="D61" s="100">
        <f t="shared" si="9"/>
        <v>0</v>
      </c>
      <c r="E61" s="100">
        <f t="shared" si="10"/>
        <v>0.18125586445685005</v>
      </c>
      <c r="F61" s="100">
        <f t="shared" si="11"/>
        <v>0.10588070085518242</v>
      </c>
      <c r="G61" s="100">
        <f t="shared" si="12"/>
        <v>0.19405171091962931</v>
      </c>
      <c r="H61" s="100">
        <f t="shared" si="13"/>
        <v>35.30152017537781</v>
      </c>
      <c r="I61" s="171">
        <f t="shared" si="14"/>
        <v>0.23542448576985361</v>
      </c>
      <c r="J61" s="100">
        <f t="shared" si="15"/>
        <v>0</v>
      </c>
      <c r="K61" s="100">
        <f t="shared" si="16"/>
        <v>0.16559639504436777</v>
      </c>
      <c r="L61" s="100">
        <f t="shared" si="17"/>
        <v>0.1547968602473512</v>
      </c>
      <c r="M61" s="100">
        <f t="shared" si="18"/>
        <v>51.685356139470471</v>
      </c>
      <c r="N61" s="100">
        <f t="shared" si="19"/>
        <v>43.493438157424137</v>
      </c>
      <c r="O61" s="100">
        <f t="shared" si="21"/>
        <v>39.566020180009446</v>
      </c>
      <c r="P61" s="242">
        <v>33</v>
      </c>
    </row>
    <row r="62" spans="1:16">
      <c r="A62" s="27">
        <v>33884</v>
      </c>
      <c r="B62" s="29">
        <v>11.875</v>
      </c>
      <c r="C62" s="29">
        <v>11.6875</v>
      </c>
      <c r="D62" s="99">
        <f t="shared" si="9"/>
        <v>0.20012351785834664</v>
      </c>
      <c r="E62" s="99">
        <f t="shared" si="10"/>
        <v>0</v>
      </c>
      <c r="F62" s="99">
        <f t="shared" si="11"/>
        <v>0.12472926425581526</v>
      </c>
      <c r="G62" s="99">
        <f t="shared" si="12"/>
        <v>0.15524136873570343</v>
      </c>
      <c r="H62" s="99">
        <f t="shared" si="13"/>
        <v>44.55083839439466</v>
      </c>
      <c r="I62" s="172">
        <f t="shared" si="14"/>
        <v>0.23140805625561098</v>
      </c>
      <c r="J62" s="99">
        <f t="shared" si="15"/>
        <v>0</v>
      </c>
      <c r="K62" s="99">
        <f t="shared" si="16"/>
        <v>0.1787587272866164</v>
      </c>
      <c r="L62" s="99">
        <f t="shared" si="17"/>
        <v>0.12383748819788096</v>
      </c>
      <c r="M62" s="99">
        <f t="shared" si="18"/>
        <v>59.07500429256843</v>
      </c>
      <c r="N62" s="99">
        <f t="shared" si="19"/>
        <v>51.812921343481548</v>
      </c>
      <c r="O62" s="99">
        <f t="shared" si="21"/>
        <v>42.862516863844988</v>
      </c>
      <c r="P62" s="38">
        <v>34</v>
      </c>
    </row>
    <row r="63" spans="1:16">
      <c r="A63" s="27">
        <v>33885</v>
      </c>
      <c r="B63" s="29">
        <v>11.7812</v>
      </c>
      <c r="C63" s="29">
        <v>11.625</v>
      </c>
      <c r="D63" s="99">
        <f t="shared" si="9"/>
        <v>0</v>
      </c>
      <c r="E63" s="99">
        <f t="shared" si="10"/>
        <v>0.21878167747779975</v>
      </c>
      <c r="F63" s="99">
        <f t="shared" si="11"/>
        <v>9.9783411404652217E-2</v>
      </c>
      <c r="G63" s="99">
        <f t="shared" si="12"/>
        <v>0.1679494304841227</v>
      </c>
      <c r="H63" s="99">
        <f t="shared" si="13"/>
        <v>37.269768886293583</v>
      </c>
      <c r="I63" s="172">
        <f t="shared" si="14"/>
        <v>0</v>
      </c>
      <c r="J63" s="99">
        <f t="shared" si="15"/>
        <v>0.22070933396664497</v>
      </c>
      <c r="K63" s="99">
        <f t="shared" si="16"/>
        <v>0.14300698182929311</v>
      </c>
      <c r="L63" s="99">
        <f t="shared" si="17"/>
        <v>0.14321185735163378</v>
      </c>
      <c r="M63" s="99">
        <f t="shared" si="18"/>
        <v>49.964209986504216</v>
      </c>
      <c r="N63" s="99">
        <f t="shared" si="19"/>
        <v>43.616989436398896</v>
      </c>
      <c r="O63" s="99">
        <f t="shared" si="21"/>
        <v>44.853137176735281</v>
      </c>
      <c r="P63" s="38">
        <v>35</v>
      </c>
    </row>
    <row r="64" spans="1:16">
      <c r="A64" s="26">
        <v>33886</v>
      </c>
      <c r="B64" s="28">
        <v>11.625</v>
      </c>
      <c r="C64" s="28">
        <v>11.4375</v>
      </c>
      <c r="D64" s="100">
        <f t="shared" si="9"/>
        <v>0</v>
      </c>
      <c r="E64" s="100">
        <f t="shared" si="10"/>
        <v>0.25443807674953051</v>
      </c>
      <c r="F64" s="100">
        <f t="shared" si="11"/>
        <v>7.9826729123721768E-2</v>
      </c>
      <c r="G64" s="100">
        <f t="shared" si="12"/>
        <v>0.18524715973720426</v>
      </c>
      <c r="H64" s="100">
        <f t="shared" si="13"/>
        <v>30.114897195930055</v>
      </c>
      <c r="I64" s="171">
        <f t="shared" si="14"/>
        <v>0</v>
      </c>
      <c r="J64" s="100">
        <f t="shared" si="15"/>
        <v>0.24085067490044537</v>
      </c>
      <c r="K64" s="100">
        <f t="shared" si="16"/>
        <v>0.11440558546343449</v>
      </c>
      <c r="L64" s="100">
        <f t="shared" si="17"/>
        <v>0.16273962086139609</v>
      </c>
      <c r="M64" s="100">
        <f t="shared" si="18"/>
        <v>41.280015981710463</v>
      </c>
      <c r="N64" s="100">
        <f t="shared" si="19"/>
        <v>35.697456588820259</v>
      </c>
      <c r="O64" s="100">
        <f t="shared" si="21"/>
        <v>44.742035170901275</v>
      </c>
      <c r="P64" s="242">
        <v>36</v>
      </c>
    </row>
    <row r="65" spans="1:16">
      <c r="A65" s="26">
        <v>33889</v>
      </c>
      <c r="B65" s="28">
        <v>11.8438</v>
      </c>
      <c r="C65" s="28">
        <v>11.625</v>
      </c>
      <c r="D65" s="100">
        <f t="shared" si="9"/>
        <v>0.24457536691171497</v>
      </c>
      <c r="E65" s="100">
        <f t="shared" si="10"/>
        <v>0</v>
      </c>
      <c r="F65" s="100">
        <f t="shared" si="11"/>
        <v>0.11277645668132041</v>
      </c>
      <c r="G65" s="100">
        <f t="shared" si="12"/>
        <v>0.14819772778976342</v>
      </c>
      <c r="H65" s="100">
        <f t="shared" si="13"/>
        <v>43.213644640708189</v>
      </c>
      <c r="I65" s="171">
        <f t="shared" si="14"/>
        <v>0.22192833978561641</v>
      </c>
      <c r="J65" s="100">
        <f t="shared" si="15"/>
        <v>0</v>
      </c>
      <c r="K65" s="100">
        <f t="shared" si="16"/>
        <v>0.13591013632787088</v>
      </c>
      <c r="L65" s="100">
        <f t="shared" si="17"/>
        <v>0.13019169668911687</v>
      </c>
      <c r="M65" s="100">
        <f t="shared" si="18"/>
        <v>51.074483323530686</v>
      </c>
      <c r="N65" s="100">
        <f t="shared" si="19"/>
        <v>47.144063982119434</v>
      </c>
      <c r="O65" s="100">
        <f t="shared" si="21"/>
        <v>47.784770028146589</v>
      </c>
      <c r="P65" s="242">
        <v>37</v>
      </c>
    </row>
    <row r="66" spans="1:16">
      <c r="A66" s="27">
        <v>33890</v>
      </c>
      <c r="B66" s="29">
        <v>12.0312</v>
      </c>
      <c r="C66" s="29">
        <v>11.875</v>
      </c>
      <c r="D66" s="99">
        <f t="shared" si="9"/>
        <v>0.24375436078150478</v>
      </c>
      <c r="E66" s="99">
        <f t="shared" si="10"/>
        <v>0</v>
      </c>
      <c r="F66" s="99">
        <f t="shared" si="11"/>
        <v>0.13897203750135728</v>
      </c>
      <c r="G66" s="99">
        <f t="shared" si="12"/>
        <v>0.11855818223181074</v>
      </c>
      <c r="H66" s="99">
        <f t="shared" si="13"/>
        <v>53.963390255849923</v>
      </c>
      <c r="I66" s="172">
        <f t="shared" si="14"/>
        <v>0.22783423359978197</v>
      </c>
      <c r="J66" s="99">
        <f t="shared" si="15"/>
        <v>0</v>
      </c>
      <c r="K66" s="99">
        <f t="shared" si="16"/>
        <v>0.15429495578225311</v>
      </c>
      <c r="L66" s="99">
        <f t="shared" si="17"/>
        <v>0.1041533573512935</v>
      </c>
      <c r="M66" s="99">
        <f t="shared" si="18"/>
        <v>59.700507970630518</v>
      </c>
      <c r="N66" s="99">
        <f t="shared" si="19"/>
        <v>56.831949113240221</v>
      </c>
      <c r="O66" s="99">
        <f t="shared" si="21"/>
        <v>52.668149726246085</v>
      </c>
      <c r="P66" s="38">
        <v>38</v>
      </c>
    </row>
    <row r="67" spans="1:16">
      <c r="A67" s="27">
        <v>33891</v>
      </c>
      <c r="B67" s="29">
        <v>11.9688</v>
      </c>
      <c r="C67" s="29">
        <v>11.6875</v>
      </c>
      <c r="D67" s="99">
        <f t="shared" si="9"/>
        <v>0</v>
      </c>
      <c r="E67" s="99">
        <f t="shared" si="10"/>
        <v>0.22675479179060362</v>
      </c>
      <c r="F67" s="99">
        <f t="shared" si="11"/>
        <v>0.11117763000108583</v>
      </c>
      <c r="G67" s="99">
        <f t="shared" si="12"/>
        <v>0.14019750414356932</v>
      </c>
      <c r="H67" s="99">
        <f t="shared" si="13"/>
        <v>44.227775503486377</v>
      </c>
      <c r="I67" s="172">
        <f t="shared" si="14"/>
        <v>0</v>
      </c>
      <c r="J67" s="99">
        <f t="shared" si="15"/>
        <v>0.2184963892150166</v>
      </c>
      <c r="K67" s="99">
        <f t="shared" si="16"/>
        <v>0.12343596462580249</v>
      </c>
      <c r="L67" s="99">
        <f t="shared" si="17"/>
        <v>0.12702196372403812</v>
      </c>
      <c r="M67" s="99">
        <f t="shared" si="18"/>
        <v>49.284111482942023</v>
      </c>
      <c r="N67" s="99">
        <f t="shared" si="19"/>
        <v>46.755943493214204</v>
      </c>
      <c r="O67" s="99">
        <f t="shared" si="21"/>
        <v>54.61849360702977</v>
      </c>
      <c r="P67" s="38">
        <v>39</v>
      </c>
    </row>
    <row r="68" spans="1:16">
      <c r="A68" s="26">
        <v>33892</v>
      </c>
      <c r="B68" s="28">
        <v>11.8438</v>
      </c>
      <c r="C68" s="28">
        <v>11.4688</v>
      </c>
      <c r="D68" s="100">
        <f t="shared" si="9"/>
        <v>0</v>
      </c>
      <c r="E68" s="100">
        <f t="shared" si="10"/>
        <v>0.1600800627810971</v>
      </c>
      <c r="F68" s="100">
        <f t="shared" si="11"/>
        <v>8.894210400086866E-2</v>
      </c>
      <c r="G68" s="100">
        <f t="shared" si="12"/>
        <v>0.14417401587107487</v>
      </c>
      <c r="H68" s="100">
        <f t="shared" si="13"/>
        <v>38.153562288925691</v>
      </c>
      <c r="I68" s="171">
        <f t="shared" si="14"/>
        <v>0</v>
      </c>
      <c r="J68" s="100">
        <f t="shared" si="15"/>
        <v>0.18790423199066061</v>
      </c>
      <c r="K68" s="100">
        <f t="shared" si="16"/>
        <v>9.8748771700641988E-2</v>
      </c>
      <c r="L68" s="100">
        <f t="shared" si="17"/>
        <v>0.13919841737736263</v>
      </c>
      <c r="M68" s="100">
        <f t="shared" si="18"/>
        <v>41.50028923782321</v>
      </c>
      <c r="N68" s="100">
        <f t="shared" si="19"/>
        <v>39.826925763374447</v>
      </c>
      <c r="O68" s="100">
        <f t="shared" si="21"/>
        <v>53.715816770742201</v>
      </c>
      <c r="P68" s="242">
        <v>40</v>
      </c>
    </row>
    <row r="69" spans="1:16">
      <c r="A69" s="26">
        <v>33893</v>
      </c>
      <c r="B69" s="28">
        <v>11.8438</v>
      </c>
      <c r="C69" s="28">
        <v>11.5312</v>
      </c>
      <c r="D69" s="100">
        <f t="shared" si="9"/>
        <v>0</v>
      </c>
      <c r="E69" s="100">
        <f t="shared" si="10"/>
        <v>0</v>
      </c>
      <c r="F69" s="100">
        <f t="shared" si="11"/>
        <v>7.1153683200694928E-2</v>
      </c>
      <c r="G69" s="100">
        <f t="shared" si="12"/>
        <v>0.1153392126968599</v>
      </c>
      <c r="H69" s="100">
        <f t="shared" si="13"/>
        <v>38.153562288925691</v>
      </c>
      <c r="I69" s="171">
        <f t="shared" si="14"/>
        <v>0.14322900404596831</v>
      </c>
      <c r="J69" s="100">
        <f t="shared" si="15"/>
        <v>0</v>
      </c>
      <c r="K69" s="100">
        <f t="shared" si="16"/>
        <v>0.10764481816970725</v>
      </c>
      <c r="L69" s="100">
        <f t="shared" si="17"/>
        <v>0.11135873390189011</v>
      </c>
      <c r="M69" s="100">
        <f t="shared" si="18"/>
        <v>49.152087786464605</v>
      </c>
      <c r="N69" s="100">
        <f t="shared" si="19"/>
        <v>43.652825037695152</v>
      </c>
      <c r="O69" s="100">
        <f t="shared" si="21"/>
        <v>52.31571762607367</v>
      </c>
      <c r="P69" s="242">
        <v>41</v>
      </c>
    </row>
    <row r="70" spans="1:16">
      <c r="O70" s="2"/>
      <c r="P70" s="2"/>
    </row>
    <row r="71" spans="1:16">
      <c r="A71" t="s">
        <v>81</v>
      </c>
      <c r="O71" s="2"/>
      <c r="P71" s="2"/>
    </row>
    <row r="72" spans="1:16">
      <c r="A72" t="s">
        <v>82</v>
      </c>
      <c r="O72" s="2"/>
      <c r="P72" s="2"/>
    </row>
    <row r="73" spans="1:16">
      <c r="A73" t="s">
        <v>603</v>
      </c>
      <c r="O73" s="2"/>
      <c r="P73" s="2"/>
    </row>
    <row r="74" spans="1:16">
      <c r="A74" t="s">
        <v>80</v>
      </c>
      <c r="O74" s="2"/>
      <c r="P74" s="2"/>
    </row>
    <row r="75" spans="1:16">
      <c r="A75" t="s">
        <v>79</v>
      </c>
      <c r="O75" s="2"/>
      <c r="P75" s="2"/>
    </row>
    <row r="76" spans="1:16">
      <c r="A76" s="463" t="s">
        <v>77</v>
      </c>
      <c r="B76" s="463"/>
      <c r="C76" s="463"/>
      <c r="D76" s="463"/>
      <c r="E76" s="463"/>
      <c r="F76" s="463"/>
      <c r="G76" s="463"/>
      <c r="H76" s="463"/>
      <c r="I76" s="463"/>
      <c r="J76" s="463"/>
      <c r="K76" s="463"/>
      <c r="O76" s="2"/>
      <c r="P76" s="2"/>
    </row>
    <row r="77" spans="1:16">
      <c r="A77" t="s">
        <v>76</v>
      </c>
      <c r="O77" s="2"/>
      <c r="P77" s="2"/>
    </row>
    <row r="78" spans="1:16">
      <c r="A78" t="s">
        <v>78</v>
      </c>
      <c r="O78" s="2"/>
      <c r="P78" s="2"/>
    </row>
    <row r="79" spans="1:16">
      <c r="O79" s="2"/>
      <c r="P79" s="2"/>
    </row>
    <row r="80" spans="1:16">
      <c r="O80" s="2"/>
      <c r="P80" s="2"/>
    </row>
    <row r="81" spans="15:16">
      <c r="O81" s="2"/>
      <c r="P81" s="2"/>
    </row>
    <row r="82" spans="15:16">
      <c r="O82" s="2"/>
      <c r="P82" s="2"/>
    </row>
    <row r="83" spans="15:16">
      <c r="O83" s="2"/>
      <c r="P83" s="2"/>
    </row>
    <row r="84" spans="15:16">
      <c r="O84" s="2"/>
      <c r="P84" s="2"/>
    </row>
    <row r="85" spans="15:16">
      <c r="O85" s="2"/>
      <c r="P85" s="2"/>
    </row>
    <row r="86" spans="15:16">
      <c r="O86" s="2"/>
      <c r="P86" s="2"/>
    </row>
    <row r="87" spans="15:16">
      <c r="O87" s="2"/>
      <c r="P87" s="2"/>
    </row>
    <row r="88" spans="15:16">
      <c r="O88" s="2"/>
      <c r="P88" s="2"/>
    </row>
    <row r="89" spans="15:16">
      <c r="O89" s="2"/>
      <c r="P89" s="2"/>
    </row>
    <row r="90" spans="15:16">
      <c r="O90" s="2"/>
      <c r="P90" s="2"/>
    </row>
    <row r="91" spans="15:16">
      <c r="O91" s="2"/>
      <c r="P91" s="2"/>
    </row>
    <row r="92" spans="15:16">
      <c r="O92" s="2"/>
      <c r="P92" s="2"/>
    </row>
    <row r="93" spans="15:16">
      <c r="O93" s="2"/>
      <c r="P93" s="2"/>
    </row>
    <row r="94" spans="15:16">
      <c r="O94" s="2"/>
      <c r="P94" s="2"/>
    </row>
    <row r="95" spans="15:16">
      <c r="O95" s="2"/>
      <c r="P95" s="2"/>
    </row>
    <row r="96" spans="15:16">
      <c r="O96" s="2"/>
      <c r="P96" s="2"/>
    </row>
    <row r="97" spans="15:16">
      <c r="O97" s="2"/>
      <c r="P97" s="2"/>
    </row>
    <row r="98" spans="15:16">
      <c r="O98" s="2"/>
      <c r="P98" s="2"/>
    </row>
    <row r="99" spans="15:16">
      <c r="O99" s="2"/>
      <c r="P99" s="2"/>
    </row>
    <row r="100" spans="15:16">
      <c r="O100" s="2"/>
      <c r="P100" s="2"/>
    </row>
    <row r="101" spans="15:16">
      <c r="O101" s="2"/>
      <c r="P101" s="2"/>
    </row>
    <row r="102" spans="15:16">
      <c r="O102" s="2"/>
      <c r="P102" s="2"/>
    </row>
    <row r="103" spans="15:16">
      <c r="O103" s="2"/>
      <c r="P103" s="2"/>
    </row>
    <row r="104" spans="15:16">
      <c r="O104" s="2"/>
      <c r="P104" s="2"/>
    </row>
    <row r="105" spans="15:16">
      <c r="O105" s="2"/>
      <c r="P105" s="2"/>
    </row>
    <row r="106" spans="15:16">
      <c r="O106" s="2"/>
      <c r="P106" s="2"/>
    </row>
    <row r="107" spans="15:16">
      <c r="O107" s="2"/>
      <c r="P107" s="2"/>
    </row>
    <row r="108" spans="15:16">
      <c r="O108" s="2"/>
      <c r="P108" s="2"/>
    </row>
    <row r="109" spans="15:16">
      <c r="O109" s="2"/>
      <c r="P109" s="2"/>
    </row>
    <row r="110" spans="15:16">
      <c r="O110" s="2"/>
      <c r="P110" s="2"/>
    </row>
    <row r="111" spans="15:16">
      <c r="O111" s="2"/>
      <c r="P111" s="2"/>
    </row>
    <row r="112" spans="15:16">
      <c r="O112" s="2"/>
      <c r="P112" s="2"/>
    </row>
    <row r="113" spans="15:16">
      <c r="O113" s="2"/>
      <c r="P113" s="2"/>
    </row>
    <row r="114" spans="15:16">
      <c r="O114" s="2"/>
      <c r="P114" s="2"/>
    </row>
    <row r="115" spans="15:16">
      <c r="O115" s="2"/>
      <c r="P115" s="2"/>
    </row>
    <row r="116" spans="15:16">
      <c r="O116" s="2"/>
      <c r="P116" s="2"/>
    </row>
    <row r="117" spans="15:16">
      <c r="O117" s="2"/>
      <c r="P117" s="2"/>
    </row>
    <row r="118" spans="15:16">
      <c r="O118" s="2"/>
      <c r="P118" s="2"/>
    </row>
  </sheetData>
  <mergeCells count="2">
    <mergeCell ref="B5:P5"/>
    <mergeCell ref="A76:K76"/>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4209"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4210"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4211"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4212"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94213" r:id="rId7" name="Button 5">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4214" r:id="rId8"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4215" r:id="rId9"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4216" r:id="rId10"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enableFormatConditionsCalculation="0"/>
  <dimension ref="A1:N80"/>
  <sheetViews>
    <sheetView workbookViewId="0"/>
  </sheetViews>
  <sheetFormatPr baseColWidth="10" defaultColWidth="8.83203125" defaultRowHeight="12" x14ac:dyDescent="0"/>
  <cols>
    <col min="1" max="1" width="10.83203125" customWidth="1"/>
    <col min="3" max="3" width="9.6640625" customWidth="1"/>
    <col min="4" max="4" width="13.1640625" customWidth="1"/>
    <col min="5" max="5" width="12.83203125" customWidth="1"/>
    <col min="6" max="6" width="10.1640625" customWidth="1"/>
  </cols>
  <sheetData>
    <row r="1" spans="1:14">
      <c r="A1" s="21"/>
      <c r="B1" s="21"/>
      <c r="C1" s="21" t="s">
        <v>846</v>
      </c>
      <c r="D1" s="21"/>
      <c r="E1" s="21"/>
      <c r="F1" s="21"/>
      <c r="G1" s="21"/>
      <c r="H1" s="21"/>
      <c r="I1" s="21"/>
    </row>
    <row r="2" spans="1:14" ht="21" customHeight="1">
      <c r="A2" s="21"/>
      <c r="B2" s="21"/>
      <c r="C2" s="21"/>
      <c r="D2" s="374"/>
      <c r="E2" s="374"/>
      <c r="F2" s="374"/>
      <c r="G2" s="374"/>
      <c r="H2" s="374"/>
      <c r="I2" s="374"/>
      <c r="J2" s="372"/>
      <c r="K2" s="372"/>
      <c r="L2" s="372"/>
      <c r="M2" s="372"/>
      <c r="N2" s="372"/>
    </row>
    <row r="3" spans="1:14">
      <c r="A3" s="19" t="s">
        <v>1045</v>
      </c>
      <c r="B3" s="20" t="s">
        <v>135</v>
      </c>
      <c r="C3" s="20"/>
      <c r="D3" s="20"/>
      <c r="E3" s="20"/>
      <c r="F3" s="21"/>
      <c r="G3" s="21"/>
      <c r="H3" s="21"/>
      <c r="I3" s="21"/>
    </row>
    <row r="4" spans="1:14">
      <c r="A4" s="19" t="s">
        <v>774</v>
      </c>
      <c r="B4" s="20" t="s">
        <v>134</v>
      </c>
      <c r="C4" s="20"/>
      <c r="D4" s="20"/>
      <c r="E4" s="20"/>
      <c r="F4" s="21"/>
      <c r="G4" s="21"/>
      <c r="H4" s="21"/>
      <c r="I4" s="21"/>
    </row>
    <row r="5" spans="1:14" ht="15">
      <c r="A5" s="118" t="s">
        <v>779</v>
      </c>
      <c r="B5" s="127" t="s">
        <v>513</v>
      </c>
      <c r="C5" s="20"/>
      <c r="D5" s="20"/>
      <c r="E5" s="20"/>
      <c r="F5" s="21"/>
      <c r="G5" s="21"/>
      <c r="H5" s="21"/>
      <c r="I5" s="21"/>
    </row>
    <row r="6" spans="1:14" ht="57.75" customHeight="1">
      <c r="A6" s="21"/>
      <c r="B6" s="21"/>
      <c r="C6" s="21"/>
      <c r="D6" s="21"/>
      <c r="E6" s="21"/>
      <c r="F6" s="21"/>
      <c r="G6" s="21"/>
      <c r="H6" s="21"/>
      <c r="I6" s="21"/>
    </row>
    <row r="7" spans="1:14" ht="17.25" customHeight="1">
      <c r="A7" s="19"/>
      <c r="B7" s="135" t="s">
        <v>1205</v>
      </c>
      <c r="C7" s="135"/>
      <c r="D7" s="135"/>
      <c r="E7" s="135"/>
      <c r="F7" s="21"/>
      <c r="G7" s="21"/>
      <c r="H7" s="21"/>
      <c r="I7" s="21"/>
      <c r="J7" s="241"/>
    </row>
    <row r="8" spans="1:14" ht="17.25" customHeight="1">
      <c r="A8" s="19"/>
      <c r="B8" s="364"/>
      <c r="C8" s="189" t="s">
        <v>516</v>
      </c>
      <c r="D8" s="364"/>
      <c r="E8" s="364"/>
      <c r="F8" s="364"/>
      <c r="G8" s="364"/>
      <c r="H8" s="364"/>
      <c r="I8" s="364"/>
      <c r="J8" s="363"/>
    </row>
    <row r="9" spans="1:14" ht="15" customHeight="1">
      <c r="A9" s="19"/>
      <c r="B9" s="354"/>
      <c r="C9" s="189" t="s">
        <v>514</v>
      </c>
      <c r="D9" s="354"/>
      <c r="E9" s="354"/>
      <c r="F9" s="207"/>
      <c r="G9" s="207"/>
      <c r="H9" s="207"/>
      <c r="I9" s="207"/>
      <c r="J9" s="241"/>
    </row>
    <row r="10" spans="1:14" ht="9.75" customHeight="1">
      <c r="A10" s="19"/>
      <c r="B10" s="157"/>
      <c r="C10" s="157"/>
      <c r="D10" s="157"/>
      <c r="E10" s="157"/>
      <c r="F10" s="21"/>
      <c r="G10" s="21"/>
      <c r="H10" s="21"/>
      <c r="I10" s="21"/>
    </row>
    <row r="11" spans="1:14" ht="60" customHeight="1">
      <c r="A11" s="21"/>
      <c r="B11" s="457" t="s">
        <v>515</v>
      </c>
      <c r="C11" s="457"/>
      <c r="D11" s="457"/>
      <c r="E11" s="457"/>
      <c r="F11" s="462"/>
      <c r="G11" s="462"/>
      <c r="H11" s="462"/>
      <c r="I11" s="462"/>
    </row>
    <row r="12" spans="1:14" ht="17.25" customHeight="1">
      <c r="A12" s="19" t="s">
        <v>635</v>
      </c>
      <c r="B12" s="457" t="s">
        <v>750</v>
      </c>
      <c r="C12" s="457"/>
      <c r="D12" s="457"/>
      <c r="E12" s="457"/>
      <c r="F12" s="466"/>
      <c r="G12" s="466"/>
      <c r="H12" s="466"/>
      <c r="I12" s="466"/>
      <c r="J12" s="241"/>
    </row>
    <row r="13" spans="1:14" ht="63" customHeight="1">
      <c r="A13" s="22" t="s">
        <v>1090</v>
      </c>
      <c r="B13" s="22" t="s">
        <v>1098</v>
      </c>
      <c r="C13" s="31" t="s">
        <v>3</v>
      </c>
      <c r="D13" s="31" t="s">
        <v>604</v>
      </c>
      <c r="E13" s="31" t="s">
        <v>4</v>
      </c>
      <c r="F13" s="31" t="s">
        <v>2</v>
      </c>
      <c r="G13" s="22"/>
      <c r="H13" s="22"/>
      <c r="I13" s="22"/>
      <c r="J13" s="241"/>
    </row>
    <row r="14" spans="1:14" ht="15">
      <c r="A14" s="26">
        <v>36164</v>
      </c>
      <c r="B14" s="52">
        <v>21.4375</v>
      </c>
      <c r="C14" s="52"/>
      <c r="D14" s="52"/>
      <c r="E14" s="52"/>
      <c r="F14" s="28"/>
      <c r="G14" s="72"/>
      <c r="H14" s="28"/>
      <c r="I14" s="54"/>
      <c r="J14" s="241"/>
    </row>
    <row r="15" spans="1:14" ht="16.5" customHeight="1">
      <c r="A15" s="26">
        <v>36165</v>
      </c>
      <c r="B15" s="52">
        <v>21.6875</v>
      </c>
      <c r="C15" s="52"/>
      <c r="D15" s="52"/>
      <c r="E15" s="52"/>
      <c r="F15" s="28"/>
      <c r="G15" s="72"/>
      <c r="H15" s="28"/>
      <c r="I15" s="54"/>
      <c r="J15" s="348"/>
    </row>
    <row r="16" spans="1:14">
      <c r="A16" s="27">
        <v>36166</v>
      </c>
      <c r="B16" s="55">
        <v>22.125</v>
      </c>
      <c r="C16" s="55"/>
      <c r="D16" s="55"/>
      <c r="E16" s="55"/>
      <c r="F16" s="29"/>
      <c r="G16" s="73"/>
      <c r="H16" s="29"/>
      <c r="I16" s="57"/>
    </row>
    <row r="17" spans="1:9">
      <c r="A17" s="27">
        <v>36167</v>
      </c>
      <c r="B17" s="55">
        <v>21.5625</v>
      </c>
      <c r="C17" s="55"/>
      <c r="D17" s="55"/>
      <c r="E17" s="55"/>
      <c r="F17" s="29"/>
      <c r="G17" s="73"/>
      <c r="H17" s="29"/>
      <c r="I17" s="57"/>
    </row>
    <row r="18" spans="1:9">
      <c r="A18" s="26">
        <v>36168</v>
      </c>
      <c r="B18" s="52">
        <v>21.8125</v>
      </c>
      <c r="C18" s="52">
        <f>SUM(B14:B18)/5</f>
        <v>21.725000000000001</v>
      </c>
      <c r="D18" s="52">
        <f>POWER(B18-C18,2)+POWER(B17-C18,2)+POWER(B16-C18,2)+POWER(B15-C18,2)+POWER(B14-C18,2)</f>
        <v>0.27812500000000001</v>
      </c>
      <c r="E18" s="52">
        <f>SQRT(D18/5)</f>
        <v>0.23584952830141509</v>
      </c>
      <c r="F18" s="52">
        <f>STDEVP(B14:B18)</f>
        <v>0.23584952830141509</v>
      </c>
      <c r="G18" s="72"/>
      <c r="H18" s="28"/>
      <c r="I18" s="54"/>
    </row>
    <row r="19" spans="1:9">
      <c r="A19" s="26">
        <v>36171</v>
      </c>
      <c r="B19" s="52">
        <v>21.4375</v>
      </c>
      <c r="C19" s="52">
        <f t="shared" ref="C19:C64" si="0">SUM(B15:B19)/5</f>
        <v>21.725000000000001</v>
      </c>
      <c r="D19" s="52">
        <f t="shared" ref="D19:D64" si="1">POWER(B19-C19,2)+POWER(B18-C19,2)+POWER(B17-C19,2)+POWER(B16-C19,2)+POWER(B15-C19,2)</f>
        <v>0.27812500000000001</v>
      </c>
      <c r="E19" s="52">
        <f t="shared" ref="E19:E64" si="2">SQRT(D19/5)</f>
        <v>0.23584952830141509</v>
      </c>
      <c r="F19" s="52">
        <f t="shared" ref="F19:F64" si="3">STDEVP(B15:B19)</f>
        <v>0.23584952830141509</v>
      </c>
      <c r="G19" s="72"/>
      <c r="H19" s="28"/>
      <c r="I19" s="54"/>
    </row>
    <row r="20" spans="1:9">
      <c r="A20" s="27">
        <v>36172</v>
      </c>
      <c r="B20" s="55">
        <v>21.5</v>
      </c>
      <c r="C20" s="55">
        <f t="shared" si="0"/>
        <v>21.6875</v>
      </c>
      <c r="D20" s="55">
        <f t="shared" si="1"/>
        <v>0.3203125</v>
      </c>
      <c r="E20" s="55">
        <f t="shared" si="2"/>
        <v>0.2531057091414573</v>
      </c>
      <c r="F20" s="55">
        <f t="shared" si="3"/>
        <v>0.2531057091414573</v>
      </c>
      <c r="G20" s="73"/>
      <c r="H20" s="29"/>
      <c r="I20" s="57"/>
    </row>
    <row r="21" spans="1:9">
      <c r="A21" s="27">
        <v>36173</v>
      </c>
      <c r="B21" s="55">
        <v>21.1875</v>
      </c>
      <c r="C21" s="55">
        <f t="shared" si="0"/>
        <v>21.5</v>
      </c>
      <c r="D21" s="55">
        <f t="shared" si="1"/>
        <v>0.203125</v>
      </c>
      <c r="E21" s="55">
        <f t="shared" si="2"/>
        <v>0.20155644370746376</v>
      </c>
      <c r="F21" s="55">
        <f t="shared" si="3"/>
        <v>0.20155644370746376</v>
      </c>
      <c r="G21" s="73"/>
      <c r="H21" s="29"/>
      <c r="I21" s="57"/>
    </row>
    <row r="22" spans="1:9">
      <c r="A22" s="26">
        <v>36174</v>
      </c>
      <c r="B22" s="52">
        <v>20.6875</v>
      </c>
      <c r="C22" s="52">
        <f t="shared" si="0"/>
        <v>21.324999999999999</v>
      </c>
      <c r="D22" s="52">
        <f t="shared" si="1"/>
        <v>0.70624999999999993</v>
      </c>
      <c r="E22" s="52">
        <f t="shared" si="2"/>
        <v>0.37583240945932267</v>
      </c>
      <c r="F22" s="52">
        <f t="shared" si="3"/>
        <v>0.37583240945932267</v>
      </c>
      <c r="G22" s="72"/>
      <c r="H22" s="28"/>
      <c r="I22" s="54"/>
    </row>
    <row r="23" spans="1:9">
      <c r="A23" s="26">
        <v>36175</v>
      </c>
      <c r="B23" s="52">
        <v>20.9375</v>
      </c>
      <c r="C23" s="52">
        <f t="shared" si="0"/>
        <v>21.15</v>
      </c>
      <c r="D23" s="52">
        <f t="shared" si="1"/>
        <v>0.46562500000000001</v>
      </c>
      <c r="E23" s="52">
        <f t="shared" si="2"/>
        <v>0.30516389039334257</v>
      </c>
      <c r="F23" s="52">
        <f t="shared" si="3"/>
        <v>0.30516389039334257</v>
      </c>
      <c r="G23" s="72"/>
      <c r="H23" s="28"/>
      <c r="I23" s="54"/>
    </row>
    <row r="24" spans="1:9">
      <c r="A24" s="27">
        <v>36179</v>
      </c>
      <c r="B24" s="55">
        <v>21.9375</v>
      </c>
      <c r="C24" s="55">
        <f t="shared" si="0"/>
        <v>21.25</v>
      </c>
      <c r="D24" s="55">
        <f t="shared" si="1"/>
        <v>0.953125</v>
      </c>
      <c r="E24" s="55">
        <f t="shared" si="2"/>
        <v>0.43660622991432452</v>
      </c>
      <c r="F24" s="55">
        <f t="shared" si="3"/>
        <v>0.43660622991432452</v>
      </c>
      <c r="G24" s="73"/>
      <c r="H24" s="29"/>
      <c r="I24" s="57"/>
    </row>
    <row r="25" spans="1:9">
      <c r="A25" s="27">
        <v>36180</v>
      </c>
      <c r="B25" s="55">
        <v>21.9375</v>
      </c>
      <c r="C25" s="55">
        <f t="shared" si="0"/>
        <v>21.337499999999999</v>
      </c>
      <c r="D25" s="55">
        <f t="shared" si="1"/>
        <v>1.325</v>
      </c>
      <c r="E25" s="55">
        <f t="shared" si="2"/>
        <v>0.51478150704935</v>
      </c>
      <c r="F25" s="55">
        <f t="shared" si="3"/>
        <v>0.51478150704935</v>
      </c>
      <c r="G25" s="73"/>
      <c r="H25" s="29"/>
      <c r="I25" s="57"/>
    </row>
    <row r="26" spans="1:9">
      <c r="A26" s="26">
        <v>36181</v>
      </c>
      <c r="B26" s="52">
        <v>22.25</v>
      </c>
      <c r="C26" s="52">
        <f t="shared" si="0"/>
        <v>21.55</v>
      </c>
      <c r="D26" s="52">
        <f t="shared" si="1"/>
        <v>1.9093749999999998</v>
      </c>
      <c r="E26" s="52">
        <f t="shared" si="2"/>
        <v>0.61796035471541377</v>
      </c>
      <c r="F26" s="52">
        <f t="shared" si="3"/>
        <v>0.61796035471541377</v>
      </c>
      <c r="G26" s="72"/>
      <c r="H26" s="28"/>
      <c r="I26" s="54"/>
    </row>
    <row r="27" spans="1:9">
      <c r="A27" s="26">
        <v>36182</v>
      </c>
      <c r="B27" s="52">
        <v>22.8125</v>
      </c>
      <c r="C27" s="52">
        <f t="shared" si="0"/>
        <v>21.975000000000001</v>
      </c>
      <c r="D27" s="52">
        <f t="shared" si="1"/>
        <v>1.8562499999999997</v>
      </c>
      <c r="E27" s="52">
        <f t="shared" si="2"/>
        <v>0.60930288034769697</v>
      </c>
      <c r="F27" s="52">
        <f t="shared" si="3"/>
        <v>0.60930288034769697</v>
      </c>
      <c r="G27" s="72"/>
      <c r="H27" s="28"/>
      <c r="I27" s="54"/>
    </row>
    <row r="28" spans="1:9">
      <c r="A28" s="27">
        <v>36185</v>
      </c>
      <c r="B28" s="55">
        <v>22.6875</v>
      </c>
      <c r="C28" s="55">
        <f t="shared" si="0"/>
        <v>22.324999999999999</v>
      </c>
      <c r="D28" s="55">
        <f t="shared" si="1"/>
        <v>0.67499999999999993</v>
      </c>
      <c r="E28" s="55">
        <f t="shared" si="2"/>
        <v>0.36742346141747667</v>
      </c>
      <c r="F28" s="55">
        <f t="shared" si="3"/>
        <v>0.36742346141747667</v>
      </c>
      <c r="G28" s="73"/>
      <c r="H28" s="29"/>
      <c r="I28" s="57"/>
    </row>
    <row r="29" spans="1:9">
      <c r="A29" s="27">
        <v>36186</v>
      </c>
      <c r="B29" s="55">
        <v>22.5625</v>
      </c>
      <c r="C29" s="55">
        <f t="shared" si="0"/>
        <v>22.45</v>
      </c>
      <c r="D29" s="55">
        <f t="shared" si="1"/>
        <v>0.50312500000000004</v>
      </c>
      <c r="E29" s="55">
        <f t="shared" si="2"/>
        <v>0.31721443851123804</v>
      </c>
      <c r="F29" s="55">
        <f t="shared" si="3"/>
        <v>0.31721443851123798</v>
      </c>
      <c r="G29" s="73"/>
      <c r="H29" s="29"/>
      <c r="I29" s="57"/>
    </row>
    <row r="30" spans="1:9">
      <c r="A30" s="26">
        <v>36187</v>
      </c>
      <c r="B30" s="52">
        <v>21.9375</v>
      </c>
      <c r="C30" s="52">
        <f t="shared" si="0"/>
        <v>22.45</v>
      </c>
      <c r="D30" s="52">
        <f t="shared" si="1"/>
        <v>0.50312499999999993</v>
      </c>
      <c r="E30" s="52">
        <f t="shared" si="2"/>
        <v>0.31721443851123798</v>
      </c>
      <c r="F30" s="52">
        <f t="shared" si="3"/>
        <v>0.31721443851123798</v>
      </c>
      <c r="G30" s="72"/>
      <c r="H30" s="28"/>
      <c r="I30" s="54"/>
    </row>
    <row r="31" spans="1:9">
      <c r="A31" s="26">
        <v>36188</v>
      </c>
      <c r="B31" s="52">
        <v>22.125</v>
      </c>
      <c r="C31" s="52">
        <f t="shared" si="0"/>
        <v>22.425000000000001</v>
      </c>
      <c r="D31" s="52">
        <f t="shared" si="1"/>
        <v>0.56562499999999993</v>
      </c>
      <c r="E31" s="52">
        <f t="shared" si="2"/>
        <v>0.33634060117684272</v>
      </c>
      <c r="F31" s="52">
        <f t="shared" si="3"/>
        <v>0.33634060117684272</v>
      </c>
      <c r="G31" s="72"/>
      <c r="H31" s="28"/>
      <c r="I31" s="54"/>
    </row>
    <row r="32" spans="1:9">
      <c r="A32" s="27">
        <v>36189</v>
      </c>
      <c r="B32" s="55">
        <v>21.875</v>
      </c>
      <c r="C32" s="55">
        <f t="shared" si="0"/>
        <v>22.237500000000001</v>
      </c>
      <c r="D32" s="55">
        <f t="shared" si="1"/>
        <v>0.54218749999999993</v>
      </c>
      <c r="E32" s="55">
        <f t="shared" si="2"/>
        <v>0.32929849680798723</v>
      </c>
      <c r="F32" s="55">
        <f t="shared" si="3"/>
        <v>0.32929849680798723</v>
      </c>
      <c r="G32" s="73"/>
      <c r="H32" s="29"/>
      <c r="I32" s="57"/>
    </row>
    <row r="33" spans="1:9">
      <c r="A33" s="27">
        <v>36192</v>
      </c>
      <c r="B33" s="55">
        <v>21.5</v>
      </c>
      <c r="C33" s="55">
        <f t="shared" si="0"/>
        <v>22</v>
      </c>
      <c r="D33" s="55">
        <f t="shared" si="1"/>
        <v>0.6015625</v>
      </c>
      <c r="E33" s="55">
        <f t="shared" si="2"/>
        <v>0.34686092313779021</v>
      </c>
      <c r="F33" s="55">
        <f t="shared" si="3"/>
        <v>0.34686092313779021</v>
      </c>
      <c r="G33" s="73"/>
      <c r="H33" s="29"/>
      <c r="I33" s="57"/>
    </row>
    <row r="34" spans="1:9">
      <c r="A34" s="26">
        <v>36193</v>
      </c>
      <c r="B34" s="52">
        <v>21.5</v>
      </c>
      <c r="C34" s="52">
        <f t="shared" si="0"/>
        <v>21.787500000000001</v>
      </c>
      <c r="D34" s="52">
        <f t="shared" si="1"/>
        <v>0.30937500000000001</v>
      </c>
      <c r="E34" s="52">
        <f t="shared" si="2"/>
        <v>0.24874685927665499</v>
      </c>
      <c r="F34" s="52">
        <f t="shared" si="3"/>
        <v>0.24874685927665499</v>
      </c>
      <c r="G34" s="72"/>
      <c r="H34" s="28"/>
      <c r="I34" s="54"/>
    </row>
    <row r="35" spans="1:9">
      <c r="A35" s="26">
        <v>36194</v>
      </c>
      <c r="B35" s="52">
        <v>21</v>
      </c>
      <c r="C35" s="52">
        <f t="shared" si="0"/>
        <v>21.6</v>
      </c>
      <c r="D35" s="52">
        <f t="shared" si="1"/>
        <v>0.73124999999999996</v>
      </c>
      <c r="E35" s="52">
        <f t="shared" si="2"/>
        <v>0.38242646351945886</v>
      </c>
      <c r="F35" s="52">
        <f t="shared" si="3"/>
        <v>0.38242646351945886</v>
      </c>
      <c r="G35" s="72"/>
      <c r="H35" s="28"/>
      <c r="I35" s="54"/>
    </row>
    <row r="36" spans="1:9">
      <c r="A36" s="27">
        <v>36195</v>
      </c>
      <c r="B36" s="55">
        <v>20.6875</v>
      </c>
      <c r="C36" s="55">
        <f t="shared" si="0"/>
        <v>21.3125</v>
      </c>
      <c r="D36" s="55">
        <f t="shared" si="1"/>
        <v>0.875</v>
      </c>
      <c r="E36" s="55">
        <f t="shared" si="2"/>
        <v>0.41833001326703778</v>
      </c>
      <c r="F36" s="55">
        <f t="shared" si="3"/>
        <v>0.41833001326703778</v>
      </c>
      <c r="G36" s="73"/>
      <c r="H36" s="29"/>
      <c r="I36" s="57"/>
    </row>
    <row r="37" spans="1:9">
      <c r="A37" s="27">
        <v>36196</v>
      </c>
      <c r="B37" s="55">
        <v>20.625</v>
      </c>
      <c r="C37" s="55">
        <f t="shared" si="0"/>
        <v>21.0625</v>
      </c>
      <c r="D37" s="55">
        <f t="shared" si="1"/>
        <v>0.71875</v>
      </c>
      <c r="E37" s="55">
        <f t="shared" si="2"/>
        <v>0.3791437722025775</v>
      </c>
      <c r="F37" s="55">
        <f t="shared" si="3"/>
        <v>0.3791437722025775</v>
      </c>
      <c r="G37" s="73"/>
      <c r="H37" s="29"/>
      <c r="I37" s="57"/>
    </row>
    <row r="38" spans="1:9">
      <c r="A38" s="26">
        <v>36199</v>
      </c>
      <c r="B38" s="52">
        <v>20.5625</v>
      </c>
      <c r="C38" s="52">
        <f t="shared" si="0"/>
        <v>20.875</v>
      </c>
      <c r="D38" s="52">
        <f t="shared" si="1"/>
        <v>0.6015625</v>
      </c>
      <c r="E38" s="52">
        <f t="shared" si="2"/>
        <v>0.34686092313779021</v>
      </c>
      <c r="F38" s="52">
        <f t="shared" si="3"/>
        <v>0.34686092313779021</v>
      </c>
      <c r="G38" s="72"/>
      <c r="H38" s="28"/>
      <c r="I38" s="54"/>
    </row>
    <row r="39" spans="1:9">
      <c r="A39" s="26">
        <v>36200</v>
      </c>
      <c r="B39" s="52">
        <v>20</v>
      </c>
      <c r="C39" s="52">
        <f t="shared" si="0"/>
        <v>20.574999999999999</v>
      </c>
      <c r="D39" s="52">
        <f t="shared" si="1"/>
        <v>0.52656249999999993</v>
      </c>
      <c r="E39" s="52">
        <f t="shared" si="2"/>
        <v>0.32451887464367923</v>
      </c>
      <c r="F39" s="52">
        <f t="shared" si="3"/>
        <v>0.32451887464367923</v>
      </c>
      <c r="G39" s="72"/>
      <c r="H39" s="28"/>
      <c r="I39" s="54"/>
    </row>
    <row r="40" spans="1:9">
      <c r="A40" s="27">
        <v>36201</v>
      </c>
      <c r="B40" s="55">
        <v>20.0625</v>
      </c>
      <c r="C40" s="55">
        <f t="shared" si="0"/>
        <v>20.387499999999999</v>
      </c>
      <c r="D40" s="55">
        <f t="shared" si="1"/>
        <v>0.43281249999999993</v>
      </c>
      <c r="E40" s="55">
        <f t="shared" si="2"/>
        <v>0.29421505739849546</v>
      </c>
      <c r="F40" s="55">
        <f t="shared" si="3"/>
        <v>0.29421505739849552</v>
      </c>
      <c r="G40" s="73"/>
      <c r="H40" s="29"/>
      <c r="I40" s="57"/>
    </row>
    <row r="41" spans="1:9">
      <c r="A41" s="27">
        <v>36202</v>
      </c>
      <c r="B41" s="55">
        <v>20</v>
      </c>
      <c r="C41" s="55">
        <f t="shared" si="0"/>
        <v>20.25</v>
      </c>
      <c r="D41" s="55">
        <f t="shared" si="1"/>
        <v>0.3984375</v>
      </c>
      <c r="E41" s="55">
        <f t="shared" si="2"/>
        <v>0.28228974476590535</v>
      </c>
      <c r="F41" s="55">
        <f t="shared" si="3"/>
        <v>0.28228974476590535</v>
      </c>
      <c r="G41" s="73"/>
      <c r="H41" s="29"/>
      <c r="I41" s="57"/>
    </row>
    <row r="42" spans="1:9">
      <c r="A42" s="26">
        <v>36203</v>
      </c>
      <c r="B42" s="52">
        <v>19.8125</v>
      </c>
      <c r="C42" s="52">
        <f t="shared" si="0"/>
        <v>20.087499999999999</v>
      </c>
      <c r="D42" s="52">
        <f t="shared" si="1"/>
        <v>0.31718750000000001</v>
      </c>
      <c r="E42" s="52">
        <f t="shared" si="2"/>
        <v>0.25186802099512356</v>
      </c>
      <c r="F42" s="52">
        <f t="shared" si="3"/>
        <v>0.25186802099512356</v>
      </c>
      <c r="G42" s="72"/>
      <c r="H42" s="28"/>
      <c r="I42" s="54"/>
    </row>
    <row r="43" spans="1:9">
      <c r="A43" s="26">
        <v>36207</v>
      </c>
      <c r="B43" s="52">
        <v>20.0625</v>
      </c>
      <c r="C43" s="52">
        <f t="shared" si="0"/>
        <v>19.987500000000001</v>
      </c>
      <c r="D43" s="52">
        <f t="shared" si="1"/>
        <v>4.2187500000000003E-2</v>
      </c>
      <c r="E43" s="52">
        <f t="shared" si="2"/>
        <v>9.1855865354369182E-2</v>
      </c>
      <c r="F43" s="52">
        <f t="shared" si="3"/>
        <v>9.1855865354369182E-2</v>
      </c>
      <c r="G43" s="72"/>
      <c r="H43" s="28"/>
      <c r="I43" s="54"/>
    </row>
    <row r="44" spans="1:9">
      <c r="A44" s="27">
        <v>36208</v>
      </c>
      <c r="B44" s="55">
        <v>19.9375</v>
      </c>
      <c r="C44" s="55">
        <f t="shared" si="0"/>
        <v>19.975000000000001</v>
      </c>
      <c r="D44" s="55">
        <f t="shared" si="1"/>
        <v>4.3750000000000004E-2</v>
      </c>
      <c r="E44" s="55">
        <f t="shared" si="2"/>
        <v>9.3541434669348542E-2</v>
      </c>
      <c r="F44" s="55">
        <f t="shared" si="3"/>
        <v>9.3541434669348542E-2</v>
      </c>
      <c r="G44" s="73"/>
      <c r="H44" s="29"/>
      <c r="I44" s="57"/>
    </row>
    <row r="45" spans="1:9">
      <c r="A45" s="27">
        <v>36209</v>
      </c>
      <c r="B45" s="55">
        <v>20.5625</v>
      </c>
      <c r="C45" s="55">
        <f t="shared" si="0"/>
        <v>20.074999999999999</v>
      </c>
      <c r="D45" s="55">
        <f t="shared" si="1"/>
        <v>0.33124999999999993</v>
      </c>
      <c r="E45" s="55">
        <f t="shared" si="2"/>
        <v>0.257390753524675</v>
      </c>
      <c r="F45" s="55">
        <f t="shared" si="3"/>
        <v>0.257390753524675</v>
      </c>
      <c r="G45" s="73"/>
      <c r="H45" s="29"/>
      <c r="I45" s="57"/>
    </row>
    <row r="46" spans="1:9">
      <c r="A46" s="26">
        <v>36210</v>
      </c>
      <c r="B46" s="52">
        <v>20.5</v>
      </c>
      <c r="C46" s="52">
        <f t="shared" si="0"/>
        <v>20.175000000000001</v>
      </c>
      <c r="D46" s="52">
        <f t="shared" si="1"/>
        <v>0.45624999999999993</v>
      </c>
      <c r="E46" s="52">
        <f t="shared" si="2"/>
        <v>0.30207614933986426</v>
      </c>
      <c r="F46" s="52">
        <f t="shared" si="3"/>
        <v>0.30207614933986426</v>
      </c>
      <c r="G46" s="72"/>
      <c r="H46" s="28"/>
      <c r="I46" s="54"/>
    </row>
    <row r="47" spans="1:9">
      <c r="A47" s="26">
        <v>36213</v>
      </c>
      <c r="B47" s="52">
        <v>20.625</v>
      </c>
      <c r="C47" s="52">
        <f t="shared" si="0"/>
        <v>20.337499999999999</v>
      </c>
      <c r="D47" s="52">
        <f t="shared" si="1"/>
        <v>0.39531250000000001</v>
      </c>
      <c r="E47" s="52">
        <f t="shared" si="2"/>
        <v>0.28118054698004985</v>
      </c>
      <c r="F47" s="52">
        <f t="shared" si="3"/>
        <v>0.28118054698004985</v>
      </c>
      <c r="G47" s="72"/>
      <c r="H47" s="28"/>
      <c r="I47" s="54"/>
    </row>
    <row r="48" spans="1:9">
      <c r="A48" s="27">
        <v>36214</v>
      </c>
      <c r="B48" s="55">
        <v>20.25</v>
      </c>
      <c r="C48" s="55">
        <f t="shared" si="0"/>
        <v>20.375</v>
      </c>
      <c r="D48" s="55">
        <f t="shared" si="1"/>
        <v>0.3203125</v>
      </c>
      <c r="E48" s="55">
        <f t="shared" si="2"/>
        <v>0.2531057091414573</v>
      </c>
      <c r="F48" s="55">
        <f t="shared" si="3"/>
        <v>0.2531057091414573</v>
      </c>
      <c r="G48" s="73"/>
      <c r="H48" s="29"/>
      <c r="I48" s="57"/>
    </row>
    <row r="49" spans="1:9">
      <c r="A49" s="27">
        <v>36215</v>
      </c>
      <c r="B49" s="55">
        <v>20.5</v>
      </c>
      <c r="C49" s="55">
        <f t="shared" si="0"/>
        <v>20.487500000000001</v>
      </c>
      <c r="D49" s="55">
        <f t="shared" si="1"/>
        <v>8.1250000000000003E-2</v>
      </c>
      <c r="E49" s="55">
        <f t="shared" si="2"/>
        <v>0.12747548783981963</v>
      </c>
      <c r="F49" s="55">
        <f t="shared" si="3"/>
        <v>0.12747548783981963</v>
      </c>
      <c r="G49" s="73"/>
      <c r="H49" s="29"/>
      <c r="I49" s="57"/>
    </row>
    <row r="50" spans="1:9">
      <c r="A50" s="26">
        <v>36216</v>
      </c>
      <c r="B50" s="52">
        <v>20.375</v>
      </c>
      <c r="C50" s="52">
        <f t="shared" si="0"/>
        <v>20.45</v>
      </c>
      <c r="D50" s="52">
        <f t="shared" si="1"/>
        <v>8.1250000000000003E-2</v>
      </c>
      <c r="E50" s="52">
        <f t="shared" si="2"/>
        <v>0.12747548783981963</v>
      </c>
      <c r="F50" s="52">
        <f t="shared" si="3"/>
        <v>0.12747548783981963</v>
      </c>
      <c r="G50" s="72"/>
      <c r="H50" s="28"/>
      <c r="I50" s="54"/>
    </row>
    <row r="51" spans="1:9">
      <c r="A51" s="26">
        <v>36217</v>
      </c>
      <c r="B51" s="52">
        <v>19.8125</v>
      </c>
      <c r="C51" s="52">
        <f t="shared" si="0"/>
        <v>20.3125</v>
      </c>
      <c r="D51" s="52">
        <f t="shared" si="1"/>
        <v>0.390625</v>
      </c>
      <c r="E51" s="52">
        <f t="shared" si="2"/>
        <v>0.27950849718747373</v>
      </c>
      <c r="F51" s="52">
        <f t="shared" si="3"/>
        <v>0.27950849718747373</v>
      </c>
      <c r="G51" s="72"/>
      <c r="H51" s="28"/>
      <c r="I51" s="54"/>
    </row>
    <row r="52" spans="1:9">
      <c r="A52" s="27">
        <v>36220</v>
      </c>
      <c r="B52" s="55">
        <v>19.4375</v>
      </c>
      <c r="C52" s="55">
        <f t="shared" si="0"/>
        <v>20.074999999999999</v>
      </c>
      <c r="D52" s="55">
        <f t="shared" si="1"/>
        <v>0.77656249999999993</v>
      </c>
      <c r="E52" s="55">
        <f t="shared" si="2"/>
        <v>0.39409706926086113</v>
      </c>
      <c r="F52" s="55">
        <f t="shared" si="3"/>
        <v>0.39409706926086113</v>
      </c>
      <c r="G52" s="73"/>
      <c r="H52" s="29"/>
      <c r="I52" s="57"/>
    </row>
    <row r="53" spans="1:9">
      <c r="A53" s="27">
        <v>36221</v>
      </c>
      <c r="B53" s="55">
        <v>19.4375</v>
      </c>
      <c r="C53" s="55">
        <f t="shared" si="0"/>
        <v>19.912500000000001</v>
      </c>
      <c r="D53" s="55">
        <f t="shared" si="1"/>
        <v>1.0203125</v>
      </c>
      <c r="E53" s="55">
        <f t="shared" si="2"/>
        <v>0.45173277498981629</v>
      </c>
      <c r="F53" s="55">
        <f t="shared" si="3"/>
        <v>0.45173277498981629</v>
      </c>
      <c r="G53" s="73"/>
      <c r="H53" s="29"/>
      <c r="I53" s="57"/>
    </row>
    <row r="54" spans="1:9">
      <c r="A54" s="26">
        <v>36222</v>
      </c>
      <c r="B54" s="52">
        <v>19.625</v>
      </c>
      <c r="C54" s="52">
        <f t="shared" si="0"/>
        <v>19.737500000000001</v>
      </c>
      <c r="D54" s="52">
        <f t="shared" si="1"/>
        <v>0.60468750000000004</v>
      </c>
      <c r="E54" s="52">
        <f t="shared" si="2"/>
        <v>0.34776069358108891</v>
      </c>
      <c r="F54" s="52">
        <f t="shared" si="3"/>
        <v>0.34776069358108885</v>
      </c>
      <c r="G54" s="72"/>
      <c r="H54" s="28"/>
      <c r="I54" s="54"/>
    </row>
    <row r="55" spans="1:9">
      <c r="A55" s="26">
        <v>36223</v>
      </c>
      <c r="B55" s="52">
        <v>19.5</v>
      </c>
      <c r="C55" s="52">
        <f t="shared" si="0"/>
        <v>19.5625</v>
      </c>
      <c r="D55" s="52">
        <f t="shared" si="1"/>
        <v>0.1015625</v>
      </c>
      <c r="E55" s="52">
        <f t="shared" si="2"/>
        <v>0.14252192813739226</v>
      </c>
      <c r="F55" s="52">
        <f t="shared" si="3"/>
        <v>0.14252192813739226</v>
      </c>
      <c r="G55" s="72"/>
      <c r="H55" s="28"/>
      <c r="I55" s="54"/>
    </row>
    <row r="56" spans="1:9">
      <c r="A56" s="27">
        <v>36224</v>
      </c>
      <c r="B56" s="55">
        <v>19.5625</v>
      </c>
      <c r="C56" s="55">
        <f t="shared" si="0"/>
        <v>19.512499999999999</v>
      </c>
      <c r="D56" s="55">
        <f t="shared" si="1"/>
        <v>2.6562500000000003E-2</v>
      </c>
      <c r="E56" s="55">
        <f t="shared" si="2"/>
        <v>7.2886898685566262E-2</v>
      </c>
      <c r="F56" s="55">
        <f t="shared" si="3"/>
        <v>7.2886898685566262E-2</v>
      </c>
      <c r="G56" s="73"/>
      <c r="H56" s="29"/>
      <c r="I56" s="57"/>
    </row>
    <row r="57" spans="1:9">
      <c r="A57" s="27">
        <v>36227</v>
      </c>
      <c r="B57" s="55">
        <v>19.5</v>
      </c>
      <c r="C57" s="55">
        <f t="shared" si="0"/>
        <v>19.524999999999999</v>
      </c>
      <c r="D57" s="55">
        <f t="shared" si="1"/>
        <v>2.0312500000000001E-2</v>
      </c>
      <c r="E57" s="55">
        <f t="shared" si="2"/>
        <v>6.3737743919909814E-2</v>
      </c>
      <c r="F57" s="55">
        <f t="shared" si="3"/>
        <v>6.3737743919909801E-2</v>
      </c>
      <c r="G57" s="73"/>
      <c r="H57" s="29"/>
      <c r="I57" s="57"/>
    </row>
    <row r="58" spans="1:9">
      <c r="A58" s="26">
        <v>36228</v>
      </c>
      <c r="B58" s="52">
        <v>20.125</v>
      </c>
      <c r="C58" s="52">
        <f t="shared" si="0"/>
        <v>19.662500000000001</v>
      </c>
      <c r="D58" s="52">
        <f t="shared" si="1"/>
        <v>0.27812500000000001</v>
      </c>
      <c r="E58" s="52">
        <f t="shared" si="2"/>
        <v>0.23584952830141509</v>
      </c>
      <c r="F58" s="52">
        <f t="shared" si="3"/>
        <v>0.23584952830141509</v>
      </c>
      <c r="G58" s="72"/>
      <c r="H58" s="28"/>
      <c r="I58" s="54"/>
    </row>
    <row r="59" spans="1:9">
      <c r="A59" s="26">
        <v>36229</v>
      </c>
      <c r="B59" s="52">
        <v>19.8125</v>
      </c>
      <c r="C59" s="52">
        <f t="shared" si="0"/>
        <v>19.7</v>
      </c>
      <c r="D59" s="52">
        <f t="shared" si="1"/>
        <v>0.29218749999999993</v>
      </c>
      <c r="E59" s="52">
        <f t="shared" si="2"/>
        <v>0.24173849507267142</v>
      </c>
      <c r="F59" s="52">
        <f t="shared" si="3"/>
        <v>0.24173849507267145</v>
      </c>
      <c r="G59" s="72"/>
      <c r="H59" s="28"/>
      <c r="I59" s="54"/>
    </row>
    <row r="60" spans="1:9">
      <c r="A60" s="27">
        <v>36230</v>
      </c>
      <c r="B60" s="55">
        <v>19.625</v>
      </c>
      <c r="C60" s="55">
        <f t="shared" si="0"/>
        <v>19.725000000000001</v>
      </c>
      <c r="D60" s="55">
        <f t="shared" si="1"/>
        <v>0.25468750000000001</v>
      </c>
      <c r="E60" s="55">
        <f t="shared" si="2"/>
        <v>0.22569337606584736</v>
      </c>
      <c r="F60" s="55">
        <f t="shared" si="3"/>
        <v>0.22569337606584736</v>
      </c>
      <c r="G60" s="73"/>
      <c r="H60" s="29"/>
      <c r="I60" s="57"/>
    </row>
    <row r="61" spans="1:9">
      <c r="A61" s="27">
        <v>36231</v>
      </c>
      <c r="B61" s="55">
        <v>19.625</v>
      </c>
      <c r="C61" s="55">
        <f t="shared" si="0"/>
        <v>19.737500000000001</v>
      </c>
      <c r="D61" s="55">
        <f t="shared" si="1"/>
        <v>0.23749999999999999</v>
      </c>
      <c r="E61" s="55">
        <f t="shared" si="2"/>
        <v>0.21794494717703367</v>
      </c>
      <c r="F61" s="55">
        <f t="shared" si="3"/>
        <v>0.21794494717703364</v>
      </c>
      <c r="G61" s="73"/>
      <c r="H61" s="29"/>
      <c r="I61" s="57"/>
    </row>
    <row r="62" spans="1:9">
      <c r="A62" s="26">
        <v>36234</v>
      </c>
      <c r="B62" s="52">
        <v>19.5</v>
      </c>
      <c r="C62" s="52">
        <f t="shared" si="0"/>
        <v>19.737500000000001</v>
      </c>
      <c r="D62" s="52">
        <f t="shared" si="1"/>
        <v>0.23749999999999999</v>
      </c>
      <c r="E62" s="52">
        <f t="shared" si="2"/>
        <v>0.21794494717703367</v>
      </c>
      <c r="F62" s="52">
        <f t="shared" si="3"/>
        <v>0.21794494717703364</v>
      </c>
      <c r="G62" s="72"/>
      <c r="H62" s="28"/>
      <c r="I62" s="54"/>
    </row>
    <row r="63" spans="1:9">
      <c r="A63" s="26">
        <v>36235</v>
      </c>
      <c r="B63" s="52">
        <v>19.75</v>
      </c>
      <c r="C63" s="52">
        <f t="shared" si="0"/>
        <v>19.662500000000001</v>
      </c>
      <c r="D63" s="52">
        <f t="shared" si="1"/>
        <v>5.9374999999999997E-2</v>
      </c>
      <c r="E63" s="52">
        <f t="shared" si="2"/>
        <v>0.10897247358851683</v>
      </c>
      <c r="F63" s="52">
        <f t="shared" si="3"/>
        <v>0.10897247358851683</v>
      </c>
      <c r="G63" s="72"/>
      <c r="H63" s="28"/>
      <c r="I63" s="54"/>
    </row>
    <row r="64" spans="1:9">
      <c r="A64" s="27">
        <v>36236</v>
      </c>
      <c r="B64" s="55">
        <v>20.25</v>
      </c>
      <c r="C64" s="55">
        <f t="shared" si="0"/>
        <v>19.75</v>
      </c>
      <c r="D64" s="55">
        <f t="shared" si="1"/>
        <v>0.34375</v>
      </c>
      <c r="E64" s="55">
        <f t="shared" si="2"/>
        <v>0.26220221204253791</v>
      </c>
      <c r="F64" s="55">
        <f t="shared" si="3"/>
        <v>0.26220221204253791</v>
      </c>
      <c r="G64" s="73"/>
      <c r="H64" s="29"/>
      <c r="I64" s="57"/>
    </row>
    <row r="65" spans="1:9">
      <c r="G65" s="2"/>
    </row>
    <row r="66" spans="1:9" ht="32.25" customHeight="1">
      <c r="A66" s="447" t="s">
        <v>517</v>
      </c>
      <c r="B66" s="447"/>
      <c r="C66" s="447"/>
      <c r="D66" s="447"/>
      <c r="E66" s="447"/>
      <c r="F66" s="447"/>
      <c r="G66" s="447"/>
      <c r="H66" s="447"/>
      <c r="I66" s="447"/>
    </row>
    <row r="67" spans="1:9" ht="49.5" customHeight="1">
      <c r="A67" s="447" t="s">
        <v>0</v>
      </c>
      <c r="B67" s="447"/>
      <c r="C67" s="447"/>
      <c r="D67" s="447"/>
      <c r="E67" s="447"/>
      <c r="F67" s="447"/>
      <c r="G67" s="447"/>
      <c r="H67" s="447"/>
      <c r="I67" s="447"/>
    </row>
    <row r="68" spans="1:9" ht="32.25" customHeight="1">
      <c r="A68" s="447" t="s">
        <v>1</v>
      </c>
      <c r="B68" s="447"/>
      <c r="C68" s="447"/>
      <c r="D68" s="447"/>
      <c r="E68" s="447"/>
      <c r="F68" s="447"/>
      <c r="G68" s="447"/>
      <c r="H68" s="447"/>
      <c r="I68" s="447"/>
    </row>
    <row r="69" spans="1:9">
      <c r="G69" s="2"/>
    </row>
    <row r="70" spans="1:9">
      <c r="G70" s="2"/>
    </row>
    <row r="71" spans="1:9">
      <c r="G71" s="2"/>
    </row>
    <row r="72" spans="1:9">
      <c r="G72" s="2"/>
    </row>
    <row r="73" spans="1:9">
      <c r="G73" s="2"/>
    </row>
    <row r="74" spans="1:9">
      <c r="G74" s="2"/>
    </row>
    <row r="75" spans="1:9">
      <c r="G75" s="2"/>
    </row>
    <row r="76" spans="1:9">
      <c r="G76" s="2"/>
    </row>
    <row r="77" spans="1:9">
      <c r="G77" s="2"/>
    </row>
    <row r="78" spans="1:9">
      <c r="G78" s="2"/>
    </row>
    <row r="79" spans="1:9">
      <c r="G79" s="2"/>
    </row>
    <row r="80" spans="1:9">
      <c r="G80" s="2"/>
    </row>
  </sheetData>
  <mergeCells count="5">
    <mergeCell ref="A66:I66"/>
    <mergeCell ref="A67:I67"/>
    <mergeCell ref="A68:I68"/>
    <mergeCell ref="B11:I11"/>
    <mergeCell ref="B12:I12"/>
  </mergeCells>
  <phoneticPr fontId="0" type="noConversion"/>
  <pageMargins left="0.75" right="0.75" top="1" bottom="1" header="0.5" footer="0.5"/>
  <pageSetup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47108" r:id="rId3" name="Button 4">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47109"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47110"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47111"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47112" r:id="rId7" name="Button 8">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47113" r:id="rId8" name="Button 9">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47114" r:id="rId9" name="Button 10">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47115" r:id="rId10" name="Button 11">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enableFormatConditionsCalculation="0"/>
  <dimension ref="A1:N117"/>
  <sheetViews>
    <sheetView workbookViewId="0"/>
  </sheetViews>
  <sheetFormatPr baseColWidth="10" defaultColWidth="8.83203125" defaultRowHeight="12" x14ac:dyDescent="0"/>
  <cols>
    <col min="1" max="1" width="11.1640625" customWidth="1"/>
    <col min="2" max="2" width="11.6640625" customWidth="1"/>
    <col min="4" max="4" width="12"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833</v>
      </c>
      <c r="C3" s="21"/>
      <c r="D3" s="21"/>
      <c r="E3" s="21"/>
      <c r="F3" s="21"/>
      <c r="G3" s="21"/>
      <c r="H3" s="21"/>
      <c r="I3" s="21"/>
      <c r="J3" s="21"/>
      <c r="K3" s="21"/>
    </row>
    <row r="4" spans="1:14">
      <c r="A4" s="19" t="s">
        <v>774</v>
      </c>
      <c r="B4" s="20" t="s">
        <v>418</v>
      </c>
      <c r="C4" s="21"/>
      <c r="D4" s="21"/>
      <c r="E4" s="21"/>
      <c r="F4" s="21"/>
      <c r="G4" s="21"/>
      <c r="H4" s="21"/>
      <c r="I4" s="21"/>
      <c r="J4" s="21"/>
      <c r="K4" s="21"/>
    </row>
    <row r="5" spans="1:14" ht="49.5" customHeight="1" thickBot="1">
      <c r="A5" s="118" t="s">
        <v>779</v>
      </c>
      <c r="B5" s="452" t="s">
        <v>5</v>
      </c>
      <c r="C5" s="462"/>
      <c r="D5" s="462"/>
      <c r="E5" s="462"/>
      <c r="F5" s="462"/>
      <c r="G5" s="462"/>
      <c r="H5" s="462"/>
      <c r="I5" s="462"/>
      <c r="J5" s="462"/>
      <c r="K5" s="462"/>
      <c r="L5" s="241"/>
    </row>
    <row r="6" spans="1:14" ht="39.75" customHeight="1" thickBot="1">
      <c r="A6" s="19"/>
      <c r="B6" s="164" t="s">
        <v>419</v>
      </c>
      <c r="C6" s="168"/>
      <c r="D6" s="169">
        <f>STDEVP(C10:C102)</f>
        <v>2.4360312352226168</v>
      </c>
      <c r="E6" s="98"/>
      <c r="F6" s="98"/>
      <c r="G6" s="98"/>
      <c r="H6" s="98"/>
      <c r="I6" s="98"/>
      <c r="J6" s="98"/>
      <c r="K6" s="98"/>
      <c r="L6" s="241"/>
    </row>
    <row r="7" spans="1:14" ht="15.75" customHeight="1">
      <c r="A7" s="19" t="s">
        <v>635</v>
      </c>
      <c r="B7" s="194" t="s">
        <v>220</v>
      </c>
      <c r="C7" s="155"/>
      <c r="D7" s="193"/>
      <c r="E7" s="98"/>
      <c r="F7" s="98"/>
      <c r="G7" s="98"/>
      <c r="H7" s="98"/>
      <c r="I7" s="98"/>
      <c r="J7" s="98"/>
      <c r="K7" s="98"/>
      <c r="L7" s="348"/>
    </row>
    <row r="8" spans="1:14" s="14" customFormat="1" ht="36">
      <c r="A8" s="22"/>
      <c r="B8" s="22" t="s">
        <v>1090</v>
      </c>
      <c r="C8" s="22" t="s">
        <v>1098</v>
      </c>
      <c r="D8" s="22"/>
      <c r="E8" s="22" t="s">
        <v>615</v>
      </c>
      <c r="F8" s="31" t="s">
        <v>216</v>
      </c>
      <c r="G8" s="31" t="s">
        <v>1264</v>
      </c>
      <c r="H8" s="31" t="s">
        <v>606</v>
      </c>
      <c r="I8" s="22"/>
      <c r="J8" s="22"/>
      <c r="K8" s="22"/>
    </row>
    <row r="9" spans="1:14">
      <c r="A9" s="103">
        <v>1</v>
      </c>
      <c r="B9" s="109">
        <v>35692</v>
      </c>
      <c r="C9" s="112">
        <v>49.5625</v>
      </c>
      <c r="D9" s="269"/>
      <c r="E9" s="269"/>
      <c r="F9" s="269"/>
      <c r="G9" s="269"/>
      <c r="H9" s="269"/>
      <c r="I9" s="28"/>
      <c r="J9" s="28"/>
      <c r="K9" s="54"/>
    </row>
    <row r="10" spans="1:14">
      <c r="A10" s="103">
        <v>2</v>
      </c>
      <c r="B10" s="109">
        <v>35695</v>
      </c>
      <c r="C10" s="112">
        <v>49</v>
      </c>
      <c r="D10" s="293" t="s">
        <v>420</v>
      </c>
      <c r="E10" s="269">
        <f>TREND(C$10:C$102,A$10:A$102,A10)</f>
        <v>48.670684625943721</v>
      </c>
      <c r="F10" s="269">
        <f>$D$6*2</f>
        <v>4.8720624704452336</v>
      </c>
      <c r="G10" s="269">
        <f>E10+F10</f>
        <v>53.542747096388958</v>
      </c>
      <c r="H10" s="269">
        <f>E10-F10</f>
        <v>43.798622155498485</v>
      </c>
      <c r="I10" s="28"/>
      <c r="J10" s="28"/>
      <c r="K10" s="54"/>
    </row>
    <row r="11" spans="1:14">
      <c r="A11" s="104">
        <v>3</v>
      </c>
      <c r="B11" s="110">
        <v>35696</v>
      </c>
      <c r="C11" s="111">
        <v>47.3125</v>
      </c>
      <c r="D11" s="188"/>
      <c r="E11" s="188">
        <f t="shared" ref="E11:E26" si="0">TREND(C$10:C$102,A$10:A$102,A11)</f>
        <v>48.59610277222405</v>
      </c>
      <c r="F11" s="188">
        <f t="shared" ref="F11:F74" si="1">$D$6*2</f>
        <v>4.8720624704452336</v>
      </c>
      <c r="G11" s="188">
        <f t="shared" ref="G11:G74" si="2">E11+F11</f>
        <v>53.468165242669286</v>
      </c>
      <c r="H11" s="188">
        <f t="shared" ref="H11:H74" si="3">E11-F11</f>
        <v>43.724040301778814</v>
      </c>
      <c r="I11" s="29"/>
      <c r="J11" s="29"/>
      <c r="K11" s="57"/>
    </row>
    <row r="12" spans="1:14">
      <c r="A12" s="104">
        <v>4</v>
      </c>
      <c r="B12" s="110">
        <v>35697</v>
      </c>
      <c r="C12" s="111">
        <v>47.75</v>
      </c>
      <c r="D12" s="188"/>
      <c r="E12" s="188">
        <f t="shared" si="0"/>
        <v>48.521520918504372</v>
      </c>
      <c r="F12" s="188">
        <f t="shared" si="1"/>
        <v>4.8720624704452336</v>
      </c>
      <c r="G12" s="188">
        <f t="shared" si="2"/>
        <v>53.393583388949608</v>
      </c>
      <c r="H12" s="188">
        <f t="shared" si="3"/>
        <v>43.649458448059136</v>
      </c>
      <c r="I12" s="29"/>
      <c r="J12" s="29"/>
      <c r="K12" s="57"/>
    </row>
    <row r="13" spans="1:14">
      <c r="A13" s="103">
        <v>5</v>
      </c>
      <c r="B13" s="109">
        <v>35698</v>
      </c>
      <c r="C13" s="112">
        <v>47.375</v>
      </c>
      <c r="D13" s="269"/>
      <c r="E13" s="269">
        <f t="shared" si="0"/>
        <v>48.446939064784701</v>
      </c>
      <c r="F13" s="269">
        <f t="shared" si="1"/>
        <v>4.8720624704452336</v>
      </c>
      <c r="G13" s="269">
        <f t="shared" si="2"/>
        <v>53.319001535229937</v>
      </c>
      <c r="H13" s="269">
        <f t="shared" si="3"/>
        <v>43.574876594339464</v>
      </c>
      <c r="I13" s="28"/>
      <c r="J13" s="28"/>
      <c r="K13" s="54"/>
    </row>
    <row r="14" spans="1:14">
      <c r="A14" s="103">
        <v>6</v>
      </c>
      <c r="B14" s="109">
        <v>35699</v>
      </c>
      <c r="C14" s="112">
        <v>47.75</v>
      </c>
      <c r="D14" s="269"/>
      <c r="E14" s="269">
        <f t="shared" si="0"/>
        <v>48.37235721106503</v>
      </c>
      <c r="F14" s="269">
        <f t="shared" si="1"/>
        <v>4.8720624704452336</v>
      </c>
      <c r="G14" s="269">
        <f t="shared" si="2"/>
        <v>53.244419681510266</v>
      </c>
      <c r="H14" s="269">
        <f t="shared" si="3"/>
        <v>43.500294740619793</v>
      </c>
      <c r="I14" s="28"/>
      <c r="J14" s="28"/>
      <c r="K14" s="54"/>
    </row>
    <row r="15" spans="1:14">
      <c r="A15" s="104">
        <v>7</v>
      </c>
      <c r="B15" s="110">
        <v>35702</v>
      </c>
      <c r="C15" s="111">
        <v>48.375</v>
      </c>
      <c r="D15" s="188"/>
      <c r="E15" s="188">
        <f t="shared" si="0"/>
        <v>48.297775357345351</v>
      </c>
      <c r="F15" s="188">
        <f t="shared" si="1"/>
        <v>4.8720624704452336</v>
      </c>
      <c r="G15" s="188">
        <f t="shared" si="2"/>
        <v>53.169837827790587</v>
      </c>
      <c r="H15" s="188">
        <f t="shared" si="3"/>
        <v>43.425712886900115</v>
      </c>
      <c r="I15" s="29"/>
      <c r="J15" s="29"/>
      <c r="K15" s="57"/>
    </row>
    <row r="16" spans="1:14">
      <c r="A16" s="104">
        <v>8</v>
      </c>
      <c r="B16" s="110">
        <v>35703</v>
      </c>
      <c r="C16" s="111">
        <v>48.6875</v>
      </c>
      <c r="D16" s="188"/>
      <c r="E16" s="188">
        <f t="shared" si="0"/>
        <v>48.22319350362568</v>
      </c>
      <c r="F16" s="188">
        <f t="shared" si="1"/>
        <v>4.8720624704452336</v>
      </c>
      <c r="G16" s="188">
        <f t="shared" si="2"/>
        <v>53.095255974070916</v>
      </c>
      <c r="H16" s="188">
        <f t="shared" si="3"/>
        <v>43.351131033180444</v>
      </c>
      <c r="I16" s="29"/>
      <c r="J16" s="29"/>
      <c r="K16" s="57"/>
    </row>
    <row r="17" spans="1:11">
      <c r="A17" s="103">
        <v>9</v>
      </c>
      <c r="B17" s="109">
        <v>35704</v>
      </c>
      <c r="C17" s="112">
        <v>49.125</v>
      </c>
      <c r="D17" s="269"/>
      <c r="E17" s="269">
        <f t="shared" si="0"/>
        <v>48.148611649906002</v>
      </c>
      <c r="F17" s="269">
        <f t="shared" si="1"/>
        <v>4.8720624704452336</v>
      </c>
      <c r="G17" s="269">
        <f t="shared" si="2"/>
        <v>53.020674120351238</v>
      </c>
      <c r="H17" s="269">
        <f t="shared" si="3"/>
        <v>43.276549179460766</v>
      </c>
      <c r="I17" s="28"/>
      <c r="J17" s="28"/>
      <c r="K17" s="54"/>
    </row>
    <row r="18" spans="1:11">
      <c r="A18" s="103">
        <v>10</v>
      </c>
      <c r="B18" s="109">
        <v>35705</v>
      </c>
      <c r="C18" s="112">
        <v>48.4375</v>
      </c>
      <c r="D18" s="269"/>
      <c r="E18" s="269">
        <f t="shared" si="0"/>
        <v>48.074029796186331</v>
      </c>
      <c r="F18" s="269">
        <f t="shared" si="1"/>
        <v>4.8720624704452336</v>
      </c>
      <c r="G18" s="269">
        <f t="shared" si="2"/>
        <v>52.946092266631567</v>
      </c>
      <c r="H18" s="269">
        <f t="shared" si="3"/>
        <v>43.201967325741094</v>
      </c>
      <c r="I18" s="28"/>
      <c r="J18" s="28"/>
      <c r="K18" s="54"/>
    </row>
    <row r="19" spans="1:11">
      <c r="A19" s="104">
        <v>11</v>
      </c>
      <c r="B19" s="110">
        <v>35706</v>
      </c>
      <c r="C19" s="111">
        <v>47.875</v>
      </c>
      <c r="D19" s="188"/>
      <c r="E19" s="188">
        <f t="shared" si="0"/>
        <v>47.999447942466659</v>
      </c>
      <c r="F19" s="188">
        <f t="shared" si="1"/>
        <v>4.8720624704452336</v>
      </c>
      <c r="G19" s="188">
        <f t="shared" si="2"/>
        <v>52.871510412911896</v>
      </c>
      <c r="H19" s="188">
        <f t="shared" si="3"/>
        <v>43.127385472021423</v>
      </c>
      <c r="I19" s="29"/>
      <c r="J19" s="29"/>
      <c r="K19" s="57"/>
    </row>
    <row r="20" spans="1:11">
      <c r="A20" s="104">
        <v>12</v>
      </c>
      <c r="B20" s="110">
        <v>35709</v>
      </c>
      <c r="C20" s="111">
        <v>47.75</v>
      </c>
      <c r="D20" s="188"/>
      <c r="E20" s="188">
        <f t="shared" si="0"/>
        <v>47.924866088746981</v>
      </c>
      <c r="F20" s="188">
        <f t="shared" si="1"/>
        <v>4.8720624704452336</v>
      </c>
      <c r="G20" s="188">
        <f t="shared" si="2"/>
        <v>52.796928559192217</v>
      </c>
      <c r="H20" s="188">
        <f t="shared" si="3"/>
        <v>43.052803618301745</v>
      </c>
      <c r="I20" s="29"/>
      <c r="J20" s="29"/>
      <c r="K20" s="57"/>
    </row>
    <row r="21" spans="1:11">
      <c r="A21" s="103">
        <v>13</v>
      </c>
      <c r="B21" s="109">
        <v>35710</v>
      </c>
      <c r="C21" s="112">
        <v>47.625</v>
      </c>
      <c r="D21" s="269"/>
      <c r="E21" s="269">
        <f t="shared" si="0"/>
        <v>47.85028423502731</v>
      </c>
      <c r="F21" s="269">
        <f t="shared" si="1"/>
        <v>4.8720624704452336</v>
      </c>
      <c r="G21" s="269">
        <f t="shared" si="2"/>
        <v>52.722346705472546</v>
      </c>
      <c r="H21" s="269">
        <f t="shared" si="3"/>
        <v>42.978221764582074</v>
      </c>
      <c r="I21" s="28"/>
      <c r="J21" s="28"/>
      <c r="K21" s="54"/>
    </row>
    <row r="22" spans="1:11">
      <c r="A22" s="103">
        <v>14</v>
      </c>
      <c r="B22" s="109">
        <v>35711</v>
      </c>
      <c r="C22" s="112">
        <v>47.375</v>
      </c>
      <c r="D22" s="269"/>
      <c r="E22" s="269">
        <f t="shared" si="0"/>
        <v>47.775702381307632</v>
      </c>
      <c r="F22" s="269">
        <f t="shared" si="1"/>
        <v>4.8720624704452336</v>
      </c>
      <c r="G22" s="269">
        <f t="shared" si="2"/>
        <v>52.647764851752868</v>
      </c>
      <c r="H22" s="269">
        <f t="shared" si="3"/>
        <v>42.903639910862395</v>
      </c>
      <c r="I22" s="28"/>
      <c r="J22" s="28"/>
      <c r="K22" s="54"/>
    </row>
    <row r="23" spans="1:11">
      <c r="A23" s="104">
        <v>15</v>
      </c>
      <c r="B23" s="110">
        <v>35712</v>
      </c>
      <c r="C23" s="111">
        <v>47.4375</v>
      </c>
      <c r="D23" s="188"/>
      <c r="E23" s="188">
        <f t="shared" si="0"/>
        <v>47.70112052758796</v>
      </c>
      <c r="F23" s="188">
        <f t="shared" si="1"/>
        <v>4.8720624704452336</v>
      </c>
      <c r="G23" s="188">
        <f t="shared" si="2"/>
        <v>52.573182998033197</v>
      </c>
      <c r="H23" s="188">
        <f t="shared" si="3"/>
        <v>42.829058057142724</v>
      </c>
      <c r="I23" s="29"/>
      <c r="J23" s="29"/>
      <c r="K23" s="57"/>
    </row>
    <row r="24" spans="1:11">
      <c r="A24" s="104">
        <v>16</v>
      </c>
      <c r="B24" s="110">
        <v>35713</v>
      </c>
      <c r="C24" s="111">
        <v>47.0625</v>
      </c>
      <c r="D24" s="188"/>
      <c r="E24" s="188">
        <f t="shared" si="0"/>
        <v>47.626538673868282</v>
      </c>
      <c r="F24" s="188">
        <f t="shared" si="1"/>
        <v>4.8720624704452336</v>
      </c>
      <c r="G24" s="188">
        <f t="shared" si="2"/>
        <v>52.498601144313518</v>
      </c>
      <c r="H24" s="188">
        <f t="shared" si="3"/>
        <v>42.754476203423046</v>
      </c>
      <c r="I24" s="29"/>
      <c r="J24" s="29"/>
      <c r="K24" s="57"/>
    </row>
    <row r="25" spans="1:11">
      <c r="A25" s="103">
        <v>17</v>
      </c>
      <c r="B25" s="109">
        <v>35716</v>
      </c>
      <c r="C25" s="112">
        <v>46.75</v>
      </c>
      <c r="D25" s="269"/>
      <c r="E25" s="269">
        <f t="shared" si="0"/>
        <v>47.551956820148611</v>
      </c>
      <c r="F25" s="269">
        <f t="shared" si="1"/>
        <v>4.8720624704452336</v>
      </c>
      <c r="G25" s="269">
        <f t="shared" si="2"/>
        <v>52.424019290593847</v>
      </c>
      <c r="H25" s="269">
        <f t="shared" si="3"/>
        <v>42.679894349703375</v>
      </c>
      <c r="I25" s="28"/>
      <c r="J25" s="28"/>
      <c r="K25" s="54"/>
    </row>
    <row r="26" spans="1:11">
      <c r="A26" s="103">
        <v>18</v>
      </c>
      <c r="B26" s="109">
        <v>35717</v>
      </c>
      <c r="C26" s="112">
        <v>47.125</v>
      </c>
      <c r="D26" s="269"/>
      <c r="E26" s="269">
        <f t="shared" si="0"/>
        <v>47.47737496642894</v>
      </c>
      <c r="F26" s="269">
        <f t="shared" si="1"/>
        <v>4.8720624704452336</v>
      </c>
      <c r="G26" s="269">
        <f t="shared" si="2"/>
        <v>52.349437436874176</v>
      </c>
      <c r="H26" s="269">
        <f t="shared" si="3"/>
        <v>42.605312495983704</v>
      </c>
      <c r="I26" s="28"/>
      <c r="J26" s="28"/>
      <c r="K26" s="54"/>
    </row>
    <row r="27" spans="1:11">
      <c r="A27" s="104">
        <v>19</v>
      </c>
      <c r="B27" s="110">
        <v>35718</v>
      </c>
      <c r="C27" s="111">
        <v>47.375</v>
      </c>
      <c r="D27" s="188"/>
      <c r="E27" s="188">
        <f t="shared" ref="E27:E42" si="4">TREND(C$10:C$102,A$10:A$102,A27)</f>
        <v>47.402793112709261</v>
      </c>
      <c r="F27" s="188">
        <f t="shared" si="1"/>
        <v>4.8720624704452336</v>
      </c>
      <c r="G27" s="188">
        <f t="shared" si="2"/>
        <v>52.274855583154498</v>
      </c>
      <c r="H27" s="188">
        <f t="shared" si="3"/>
        <v>42.530730642264025</v>
      </c>
      <c r="I27" s="29"/>
      <c r="J27" s="29"/>
      <c r="K27" s="57"/>
    </row>
    <row r="28" spans="1:11">
      <c r="A28" s="104">
        <v>20</v>
      </c>
      <c r="B28" s="110">
        <v>35719</v>
      </c>
      <c r="C28" s="111">
        <v>48.125</v>
      </c>
      <c r="D28" s="188"/>
      <c r="E28" s="188">
        <f t="shared" si="4"/>
        <v>47.32821125898959</v>
      </c>
      <c r="F28" s="188">
        <f t="shared" si="1"/>
        <v>4.8720624704452336</v>
      </c>
      <c r="G28" s="188">
        <f t="shared" si="2"/>
        <v>52.200273729434826</v>
      </c>
      <c r="H28" s="188">
        <f t="shared" si="3"/>
        <v>42.456148788544354</v>
      </c>
      <c r="I28" s="29"/>
      <c r="J28" s="29"/>
      <c r="K28" s="57"/>
    </row>
    <row r="29" spans="1:11">
      <c r="A29" s="103">
        <v>21</v>
      </c>
      <c r="B29" s="109">
        <v>35720</v>
      </c>
      <c r="C29" s="112">
        <v>49.1875</v>
      </c>
      <c r="D29" s="269"/>
      <c r="E29" s="269">
        <f t="shared" si="4"/>
        <v>47.253629405269912</v>
      </c>
      <c r="F29" s="269">
        <f t="shared" si="1"/>
        <v>4.8720624704452336</v>
      </c>
      <c r="G29" s="269">
        <f t="shared" si="2"/>
        <v>52.125691875715148</v>
      </c>
      <c r="H29" s="269">
        <f t="shared" si="3"/>
        <v>42.381566934824676</v>
      </c>
      <c r="I29" s="28"/>
      <c r="J29" s="28"/>
      <c r="K29" s="54"/>
    </row>
    <row r="30" spans="1:11">
      <c r="A30" s="103">
        <v>22</v>
      </c>
      <c r="B30" s="109">
        <v>35723</v>
      </c>
      <c r="C30" s="112">
        <v>49</v>
      </c>
      <c r="D30" s="269"/>
      <c r="E30" s="269">
        <f t="shared" si="4"/>
        <v>47.179047551550241</v>
      </c>
      <c r="F30" s="269">
        <f t="shared" si="1"/>
        <v>4.8720624704452336</v>
      </c>
      <c r="G30" s="269">
        <f t="shared" si="2"/>
        <v>52.051110021995477</v>
      </c>
      <c r="H30" s="269">
        <f t="shared" si="3"/>
        <v>42.306985081105005</v>
      </c>
      <c r="I30" s="28"/>
      <c r="J30" s="28"/>
      <c r="K30" s="54"/>
    </row>
    <row r="31" spans="1:11">
      <c r="A31" s="104">
        <v>23</v>
      </c>
      <c r="B31" s="110">
        <v>35724</v>
      </c>
      <c r="C31" s="111">
        <v>49.5</v>
      </c>
      <c r="D31" s="188"/>
      <c r="E31" s="188">
        <f t="shared" si="4"/>
        <v>47.10446569783057</v>
      </c>
      <c r="F31" s="188">
        <f t="shared" si="1"/>
        <v>4.8720624704452336</v>
      </c>
      <c r="G31" s="188">
        <f t="shared" si="2"/>
        <v>51.976528168275806</v>
      </c>
      <c r="H31" s="188">
        <f t="shared" si="3"/>
        <v>42.232403227385333</v>
      </c>
      <c r="I31" s="29"/>
      <c r="J31" s="29"/>
      <c r="K31" s="57"/>
    </row>
    <row r="32" spans="1:11">
      <c r="A32" s="104">
        <v>24</v>
      </c>
      <c r="B32" s="110">
        <v>35725</v>
      </c>
      <c r="C32" s="111">
        <v>49.75</v>
      </c>
      <c r="D32" s="188"/>
      <c r="E32" s="188">
        <f t="shared" si="4"/>
        <v>47.029883844110891</v>
      </c>
      <c r="F32" s="188">
        <f t="shared" si="1"/>
        <v>4.8720624704452336</v>
      </c>
      <c r="G32" s="188">
        <f t="shared" si="2"/>
        <v>51.901946314556128</v>
      </c>
      <c r="H32" s="188">
        <f t="shared" si="3"/>
        <v>42.157821373665655</v>
      </c>
      <c r="I32" s="29"/>
      <c r="J32" s="29"/>
      <c r="K32" s="57"/>
    </row>
    <row r="33" spans="1:11">
      <c r="A33" s="103">
        <v>25</v>
      </c>
      <c r="B33" s="109">
        <v>35726</v>
      </c>
      <c r="C33" s="112">
        <v>49</v>
      </c>
      <c r="D33" s="269"/>
      <c r="E33" s="269">
        <f t="shared" si="4"/>
        <v>46.95530199039122</v>
      </c>
      <c r="F33" s="269">
        <f t="shared" si="1"/>
        <v>4.8720624704452336</v>
      </c>
      <c r="G33" s="269">
        <f t="shared" si="2"/>
        <v>51.827364460836456</v>
      </c>
      <c r="H33" s="269">
        <f t="shared" si="3"/>
        <v>42.083239519945984</v>
      </c>
      <c r="I33" s="28"/>
      <c r="J33" s="28"/>
      <c r="K33" s="54"/>
    </row>
    <row r="34" spans="1:11">
      <c r="A34" s="103">
        <v>26</v>
      </c>
      <c r="B34" s="109">
        <v>35727</v>
      </c>
      <c r="C34" s="112">
        <v>49.6875</v>
      </c>
      <c r="D34" s="269"/>
      <c r="E34" s="269">
        <f t="shared" si="4"/>
        <v>46.880720136671542</v>
      </c>
      <c r="F34" s="269">
        <f t="shared" si="1"/>
        <v>4.8720624704452336</v>
      </c>
      <c r="G34" s="269">
        <f t="shared" si="2"/>
        <v>51.752782607116778</v>
      </c>
      <c r="H34" s="269">
        <f t="shared" si="3"/>
        <v>42.008657666226306</v>
      </c>
      <c r="I34" s="28"/>
      <c r="J34" s="28"/>
      <c r="K34" s="54"/>
    </row>
    <row r="35" spans="1:11">
      <c r="A35" s="104">
        <v>27</v>
      </c>
      <c r="B35" s="110">
        <v>35730</v>
      </c>
      <c r="C35" s="111">
        <v>47.25</v>
      </c>
      <c r="D35" s="188"/>
      <c r="E35" s="188">
        <f t="shared" si="4"/>
        <v>46.806138282951871</v>
      </c>
      <c r="F35" s="188">
        <f t="shared" si="1"/>
        <v>4.8720624704452336</v>
      </c>
      <c r="G35" s="188">
        <f t="shared" si="2"/>
        <v>51.678200753397107</v>
      </c>
      <c r="H35" s="188">
        <f t="shared" si="3"/>
        <v>41.934075812506634</v>
      </c>
      <c r="I35" s="29"/>
      <c r="J35" s="29"/>
      <c r="K35" s="57"/>
    </row>
    <row r="36" spans="1:11">
      <c r="A36" s="104">
        <v>28</v>
      </c>
      <c r="B36" s="110">
        <v>35731</v>
      </c>
      <c r="C36" s="111">
        <v>46.6875</v>
      </c>
      <c r="D36" s="188"/>
      <c r="E36" s="188">
        <f t="shared" si="4"/>
        <v>46.731556429232199</v>
      </c>
      <c r="F36" s="188">
        <f t="shared" si="1"/>
        <v>4.8720624704452336</v>
      </c>
      <c r="G36" s="188">
        <f t="shared" si="2"/>
        <v>51.603618899677436</v>
      </c>
      <c r="H36" s="188">
        <f t="shared" si="3"/>
        <v>41.859493958786963</v>
      </c>
      <c r="I36" s="29"/>
      <c r="J36" s="29"/>
      <c r="K36" s="57"/>
    </row>
    <row r="37" spans="1:11">
      <c r="A37" s="103">
        <v>29</v>
      </c>
      <c r="B37" s="109">
        <v>35732</v>
      </c>
      <c r="C37" s="112">
        <v>47.3125</v>
      </c>
      <c r="D37" s="269"/>
      <c r="E37" s="269">
        <f t="shared" si="4"/>
        <v>46.656974575512521</v>
      </c>
      <c r="F37" s="269">
        <f t="shared" si="1"/>
        <v>4.8720624704452336</v>
      </c>
      <c r="G37" s="269">
        <f t="shared" si="2"/>
        <v>51.529037045957757</v>
      </c>
      <c r="H37" s="269">
        <f t="shared" si="3"/>
        <v>41.784912105067285</v>
      </c>
      <c r="I37" s="28"/>
      <c r="J37" s="28"/>
      <c r="K37" s="54"/>
    </row>
    <row r="38" spans="1:11">
      <c r="A38" s="103">
        <v>30</v>
      </c>
      <c r="B38" s="109">
        <v>35733</v>
      </c>
      <c r="C38" s="112">
        <v>46.5</v>
      </c>
      <c r="D38" s="269"/>
      <c r="E38" s="269">
        <f t="shared" si="4"/>
        <v>46.58239272179285</v>
      </c>
      <c r="F38" s="269">
        <f t="shared" si="1"/>
        <v>4.8720624704452336</v>
      </c>
      <c r="G38" s="269">
        <f t="shared" si="2"/>
        <v>51.454455192238086</v>
      </c>
      <c r="H38" s="269">
        <f t="shared" si="3"/>
        <v>41.710330251347614</v>
      </c>
      <c r="I38" s="28"/>
      <c r="J38" s="28"/>
      <c r="K38" s="54"/>
    </row>
    <row r="39" spans="1:11">
      <c r="A39" s="104">
        <v>31</v>
      </c>
      <c r="B39" s="110">
        <v>35734</v>
      </c>
      <c r="C39" s="111">
        <v>45.6875</v>
      </c>
      <c r="D39" s="188"/>
      <c r="E39" s="188">
        <f t="shared" si="4"/>
        <v>46.507810868073172</v>
      </c>
      <c r="F39" s="188">
        <f t="shared" si="1"/>
        <v>4.8720624704452336</v>
      </c>
      <c r="G39" s="188">
        <f t="shared" si="2"/>
        <v>51.379873338518408</v>
      </c>
      <c r="H39" s="188">
        <f t="shared" si="3"/>
        <v>41.635748397627935</v>
      </c>
      <c r="I39" s="29"/>
      <c r="J39" s="29"/>
      <c r="K39" s="57"/>
    </row>
    <row r="40" spans="1:11">
      <c r="A40" s="104">
        <v>32</v>
      </c>
      <c r="B40" s="110">
        <v>35737</v>
      </c>
      <c r="C40" s="111">
        <v>46.4375</v>
      </c>
      <c r="D40" s="188"/>
      <c r="E40" s="188">
        <f t="shared" si="4"/>
        <v>46.4332290143535</v>
      </c>
      <c r="F40" s="188">
        <f t="shared" si="1"/>
        <v>4.8720624704452336</v>
      </c>
      <c r="G40" s="188">
        <f t="shared" si="2"/>
        <v>51.305291484798737</v>
      </c>
      <c r="H40" s="188">
        <f t="shared" si="3"/>
        <v>41.561166543908264</v>
      </c>
      <c r="I40" s="29"/>
      <c r="J40" s="29"/>
      <c r="K40" s="57"/>
    </row>
    <row r="41" spans="1:11">
      <c r="A41" s="103">
        <v>33</v>
      </c>
      <c r="B41" s="109">
        <v>35738</v>
      </c>
      <c r="C41" s="112">
        <v>46.1875</v>
      </c>
      <c r="D41" s="269"/>
      <c r="E41" s="269">
        <f t="shared" si="4"/>
        <v>46.358647160633822</v>
      </c>
      <c r="F41" s="269">
        <f t="shared" si="1"/>
        <v>4.8720624704452336</v>
      </c>
      <c r="G41" s="269">
        <f t="shared" si="2"/>
        <v>51.230709631079058</v>
      </c>
      <c r="H41" s="269">
        <f t="shared" si="3"/>
        <v>41.486584690188586</v>
      </c>
      <c r="I41" s="28"/>
      <c r="J41" s="28"/>
      <c r="K41" s="54"/>
    </row>
    <row r="42" spans="1:11">
      <c r="A42" s="103">
        <v>34</v>
      </c>
      <c r="B42" s="109">
        <v>35739</v>
      </c>
      <c r="C42" s="112">
        <v>45.625</v>
      </c>
      <c r="D42" s="269"/>
      <c r="E42" s="269">
        <f t="shared" si="4"/>
        <v>46.284065306914151</v>
      </c>
      <c r="F42" s="269">
        <f t="shared" si="1"/>
        <v>4.8720624704452336</v>
      </c>
      <c r="G42" s="269">
        <f t="shared" si="2"/>
        <v>51.156127777359387</v>
      </c>
      <c r="H42" s="269">
        <f t="shared" si="3"/>
        <v>41.412002836468915</v>
      </c>
      <c r="I42" s="28"/>
      <c r="J42" s="28"/>
      <c r="K42" s="54"/>
    </row>
    <row r="43" spans="1:11">
      <c r="A43" s="104">
        <v>35</v>
      </c>
      <c r="B43" s="110">
        <v>35740</v>
      </c>
      <c r="C43" s="111">
        <v>44.9375</v>
      </c>
      <c r="D43" s="188"/>
      <c r="E43" s="188">
        <f t="shared" ref="E43:E58" si="5">TREND(C$10:C$102,A$10:A$102,A43)</f>
        <v>46.20948345319448</v>
      </c>
      <c r="F43" s="188">
        <f t="shared" si="1"/>
        <v>4.8720624704452336</v>
      </c>
      <c r="G43" s="188">
        <f t="shared" si="2"/>
        <v>51.081545923639716</v>
      </c>
      <c r="H43" s="188">
        <f t="shared" si="3"/>
        <v>41.337420982749244</v>
      </c>
      <c r="I43" s="29"/>
      <c r="J43" s="29"/>
      <c r="K43" s="57"/>
    </row>
    <row r="44" spans="1:11">
      <c r="A44" s="104">
        <v>36</v>
      </c>
      <c r="B44" s="110">
        <v>35741</v>
      </c>
      <c r="C44" s="111">
        <v>43.875</v>
      </c>
      <c r="D44" s="188"/>
      <c r="E44" s="188">
        <f t="shared" si="5"/>
        <v>46.134901599474802</v>
      </c>
      <c r="F44" s="188">
        <f t="shared" si="1"/>
        <v>4.8720624704452336</v>
      </c>
      <c r="G44" s="188">
        <f t="shared" si="2"/>
        <v>51.006964069920038</v>
      </c>
      <c r="H44" s="188">
        <f t="shared" si="3"/>
        <v>41.262839129029565</v>
      </c>
      <c r="I44" s="29"/>
      <c r="J44" s="29"/>
      <c r="K44" s="57"/>
    </row>
    <row r="45" spans="1:11">
      <c r="A45" s="103">
        <v>37</v>
      </c>
      <c r="B45" s="109">
        <v>35744</v>
      </c>
      <c r="C45" s="112">
        <v>44.4375</v>
      </c>
      <c r="D45" s="269"/>
      <c r="E45" s="269">
        <f t="shared" si="5"/>
        <v>46.06031974575513</v>
      </c>
      <c r="F45" s="269">
        <f t="shared" si="1"/>
        <v>4.8720624704452336</v>
      </c>
      <c r="G45" s="269">
        <f t="shared" si="2"/>
        <v>50.932382216200367</v>
      </c>
      <c r="H45" s="269">
        <f t="shared" si="3"/>
        <v>41.188257275309894</v>
      </c>
      <c r="I45" s="28"/>
      <c r="J45" s="28"/>
      <c r="K45" s="54"/>
    </row>
    <row r="46" spans="1:11">
      <c r="A46" s="103">
        <v>38</v>
      </c>
      <c r="B46" s="109">
        <v>35745</v>
      </c>
      <c r="C46" s="112">
        <v>44.75</v>
      </c>
      <c r="D46" s="269"/>
      <c r="E46" s="269">
        <f t="shared" si="5"/>
        <v>45.985737892035459</v>
      </c>
      <c r="F46" s="269">
        <f t="shared" si="1"/>
        <v>4.8720624704452336</v>
      </c>
      <c r="G46" s="269">
        <f t="shared" si="2"/>
        <v>50.857800362480695</v>
      </c>
      <c r="H46" s="269">
        <f t="shared" si="3"/>
        <v>41.113675421590223</v>
      </c>
      <c r="I46" s="28"/>
      <c r="J46" s="28"/>
      <c r="K46" s="54"/>
    </row>
    <row r="47" spans="1:11">
      <c r="A47" s="104">
        <v>39</v>
      </c>
      <c r="B47" s="110">
        <v>35746</v>
      </c>
      <c r="C47" s="111">
        <v>43.9375</v>
      </c>
      <c r="D47" s="188"/>
      <c r="E47" s="188">
        <f t="shared" si="5"/>
        <v>45.911156038315781</v>
      </c>
      <c r="F47" s="188">
        <f t="shared" si="1"/>
        <v>4.8720624704452336</v>
      </c>
      <c r="G47" s="188">
        <f t="shared" si="2"/>
        <v>50.783218508761017</v>
      </c>
      <c r="H47" s="188">
        <f t="shared" si="3"/>
        <v>41.039093567870545</v>
      </c>
      <c r="I47" s="29"/>
      <c r="J47" s="29"/>
      <c r="K47" s="57"/>
    </row>
    <row r="48" spans="1:11">
      <c r="A48" s="104">
        <v>40</v>
      </c>
      <c r="B48" s="110">
        <v>35747</v>
      </c>
      <c r="C48" s="111">
        <v>44.5625</v>
      </c>
      <c r="D48" s="188"/>
      <c r="E48" s="188">
        <f t="shared" si="5"/>
        <v>45.83657418459611</v>
      </c>
      <c r="F48" s="188">
        <f t="shared" si="1"/>
        <v>4.8720624704452336</v>
      </c>
      <c r="G48" s="188">
        <f t="shared" si="2"/>
        <v>50.708636655041346</v>
      </c>
      <c r="H48" s="188">
        <f t="shared" si="3"/>
        <v>40.964511714150873</v>
      </c>
      <c r="I48" s="29"/>
      <c r="J48" s="29"/>
      <c r="K48" s="57"/>
    </row>
    <row r="49" spans="1:11">
      <c r="A49" s="103">
        <v>41</v>
      </c>
      <c r="B49" s="109">
        <v>35748</v>
      </c>
      <c r="C49" s="112">
        <v>44.4375</v>
      </c>
      <c r="D49" s="269"/>
      <c r="E49" s="269">
        <f t="shared" si="5"/>
        <v>45.761992330876431</v>
      </c>
      <c r="F49" s="269">
        <f t="shared" si="1"/>
        <v>4.8720624704452336</v>
      </c>
      <c r="G49" s="269">
        <f t="shared" si="2"/>
        <v>50.634054801321668</v>
      </c>
      <c r="H49" s="269">
        <f t="shared" si="3"/>
        <v>40.889929860431195</v>
      </c>
      <c r="I49" s="28"/>
      <c r="J49" s="28"/>
      <c r="K49" s="54"/>
    </row>
    <row r="50" spans="1:11">
      <c r="A50" s="103">
        <v>42</v>
      </c>
      <c r="B50" s="109">
        <v>35751</v>
      </c>
      <c r="C50" s="112">
        <v>44.9375</v>
      </c>
      <c r="D50" s="269"/>
      <c r="E50" s="269">
        <f t="shared" si="5"/>
        <v>45.68741047715676</v>
      </c>
      <c r="F50" s="269">
        <f t="shared" si="1"/>
        <v>4.8720624704452336</v>
      </c>
      <c r="G50" s="269">
        <f t="shared" si="2"/>
        <v>50.559472947601996</v>
      </c>
      <c r="H50" s="269">
        <f t="shared" si="3"/>
        <v>40.815348006711524</v>
      </c>
      <c r="I50" s="28"/>
      <c r="J50" s="28"/>
      <c r="K50" s="54"/>
    </row>
    <row r="51" spans="1:11">
      <c r="A51" s="104">
        <v>43</v>
      </c>
      <c r="B51" s="110">
        <v>35752</v>
      </c>
      <c r="C51" s="111">
        <v>44.875</v>
      </c>
      <c r="D51" s="188"/>
      <c r="E51" s="188">
        <f t="shared" si="5"/>
        <v>45.612828623437082</v>
      </c>
      <c r="F51" s="188">
        <f t="shared" si="1"/>
        <v>4.8720624704452336</v>
      </c>
      <c r="G51" s="188">
        <f t="shared" si="2"/>
        <v>50.484891093882318</v>
      </c>
      <c r="H51" s="188">
        <f t="shared" si="3"/>
        <v>40.740766152991846</v>
      </c>
      <c r="I51" s="29"/>
      <c r="J51" s="29"/>
      <c r="K51" s="57"/>
    </row>
    <row r="52" spans="1:11">
      <c r="A52" s="104">
        <v>44</v>
      </c>
      <c r="B52" s="110">
        <v>35753</v>
      </c>
      <c r="C52" s="111">
        <v>44.8125</v>
      </c>
      <c r="D52" s="188"/>
      <c r="E52" s="188">
        <f t="shared" si="5"/>
        <v>45.538246769717411</v>
      </c>
      <c r="F52" s="188">
        <f t="shared" si="1"/>
        <v>4.8720624704452336</v>
      </c>
      <c r="G52" s="188">
        <f t="shared" si="2"/>
        <v>50.410309240162647</v>
      </c>
      <c r="H52" s="188">
        <f t="shared" si="3"/>
        <v>40.666184299272174</v>
      </c>
      <c r="I52" s="29"/>
      <c r="J52" s="29"/>
      <c r="K52" s="57"/>
    </row>
    <row r="53" spans="1:11">
      <c r="A53" s="103">
        <v>45</v>
      </c>
      <c r="B53" s="109">
        <v>35754</v>
      </c>
      <c r="C53" s="112">
        <v>45.8125</v>
      </c>
      <c r="D53" s="269"/>
      <c r="E53" s="269">
        <f t="shared" si="5"/>
        <v>45.46366491599774</v>
      </c>
      <c r="F53" s="269">
        <f t="shared" si="1"/>
        <v>4.8720624704452336</v>
      </c>
      <c r="G53" s="269">
        <f t="shared" si="2"/>
        <v>50.335727386442976</v>
      </c>
      <c r="H53" s="269">
        <f t="shared" si="3"/>
        <v>40.591602445552503</v>
      </c>
      <c r="I53" s="28"/>
      <c r="J53" s="28"/>
      <c r="K53" s="54"/>
    </row>
    <row r="54" spans="1:11">
      <c r="A54" s="103">
        <v>46</v>
      </c>
      <c r="B54" s="109">
        <v>35755</v>
      </c>
      <c r="C54" s="112">
        <v>44.8125</v>
      </c>
      <c r="D54" s="269"/>
      <c r="E54" s="269">
        <f t="shared" si="5"/>
        <v>45.389083062278061</v>
      </c>
      <c r="F54" s="269">
        <f t="shared" si="1"/>
        <v>4.8720624704452336</v>
      </c>
      <c r="G54" s="269">
        <f t="shared" si="2"/>
        <v>50.261145532723297</v>
      </c>
      <c r="H54" s="269">
        <f t="shared" si="3"/>
        <v>40.517020591832825</v>
      </c>
      <c r="I54" s="28"/>
      <c r="J54" s="28"/>
      <c r="K54" s="54"/>
    </row>
    <row r="55" spans="1:11">
      <c r="A55" s="104">
        <v>47</v>
      </c>
      <c r="B55" s="110">
        <v>35758</v>
      </c>
      <c r="C55" s="111">
        <v>44.25</v>
      </c>
      <c r="D55" s="188"/>
      <c r="E55" s="188">
        <f t="shared" si="5"/>
        <v>45.31450120855839</v>
      </c>
      <c r="F55" s="188">
        <f t="shared" si="1"/>
        <v>4.8720624704452336</v>
      </c>
      <c r="G55" s="188">
        <f t="shared" si="2"/>
        <v>50.186563679003626</v>
      </c>
      <c r="H55" s="188">
        <f t="shared" si="3"/>
        <v>40.442438738113154</v>
      </c>
      <c r="I55" s="29"/>
      <c r="J55" s="29"/>
      <c r="K55" s="57"/>
    </row>
    <row r="56" spans="1:11">
      <c r="A56" s="104">
        <v>48</v>
      </c>
      <c r="B56" s="110">
        <v>35759</v>
      </c>
      <c r="C56" s="111">
        <v>44.3125</v>
      </c>
      <c r="D56" s="188"/>
      <c r="E56" s="188">
        <f t="shared" si="5"/>
        <v>45.239919354838712</v>
      </c>
      <c r="F56" s="188">
        <f t="shared" si="1"/>
        <v>4.8720624704452336</v>
      </c>
      <c r="G56" s="188">
        <f t="shared" si="2"/>
        <v>50.111981825283948</v>
      </c>
      <c r="H56" s="188">
        <f t="shared" si="3"/>
        <v>40.367856884393476</v>
      </c>
      <c r="I56" s="29"/>
      <c r="J56" s="29"/>
      <c r="K56" s="57"/>
    </row>
    <row r="57" spans="1:11">
      <c r="A57" s="103">
        <v>49</v>
      </c>
      <c r="B57" s="109">
        <v>35760</v>
      </c>
      <c r="C57" s="112">
        <v>44.125</v>
      </c>
      <c r="D57" s="269"/>
      <c r="E57" s="269">
        <f t="shared" si="5"/>
        <v>45.165337501119041</v>
      </c>
      <c r="F57" s="269">
        <f t="shared" si="1"/>
        <v>4.8720624704452336</v>
      </c>
      <c r="G57" s="269">
        <f t="shared" si="2"/>
        <v>50.037399971564277</v>
      </c>
      <c r="H57" s="269">
        <f t="shared" si="3"/>
        <v>40.293275030673804</v>
      </c>
      <c r="I57" s="28"/>
      <c r="J57" s="28"/>
      <c r="K57" s="54"/>
    </row>
    <row r="58" spans="1:11">
      <c r="A58" s="103">
        <v>50</v>
      </c>
      <c r="B58" s="109">
        <v>35762</v>
      </c>
      <c r="C58" s="112">
        <v>44.125</v>
      </c>
      <c r="D58" s="269"/>
      <c r="E58" s="269">
        <f t="shared" si="5"/>
        <v>45.090755647399369</v>
      </c>
      <c r="F58" s="269">
        <f t="shared" si="1"/>
        <v>4.8720624704452336</v>
      </c>
      <c r="G58" s="269">
        <f t="shared" si="2"/>
        <v>49.962818117844606</v>
      </c>
      <c r="H58" s="269">
        <f t="shared" si="3"/>
        <v>40.218693176954133</v>
      </c>
      <c r="I58" s="28"/>
      <c r="J58" s="28"/>
      <c r="K58" s="54"/>
    </row>
    <row r="59" spans="1:11">
      <c r="A59" s="104">
        <v>51</v>
      </c>
      <c r="B59" s="110">
        <v>35765</v>
      </c>
      <c r="C59" s="111">
        <v>45.25</v>
      </c>
      <c r="D59" s="188"/>
      <c r="E59" s="188">
        <f t="shared" ref="E59:E74" si="6">TREND(C$10:C$102,A$10:A$102,A59)</f>
        <v>45.016173793679691</v>
      </c>
      <c r="F59" s="188">
        <f t="shared" si="1"/>
        <v>4.8720624704452336</v>
      </c>
      <c r="G59" s="188">
        <f t="shared" si="2"/>
        <v>49.888236264124927</v>
      </c>
      <c r="H59" s="188">
        <f t="shared" si="3"/>
        <v>40.144111323234455</v>
      </c>
      <c r="I59" s="29"/>
      <c r="J59" s="29"/>
      <c r="K59" s="57"/>
    </row>
    <row r="60" spans="1:11">
      <c r="A60" s="104">
        <v>52</v>
      </c>
      <c r="B60" s="110">
        <v>35766</v>
      </c>
      <c r="C60" s="111">
        <v>45.6875</v>
      </c>
      <c r="D60" s="188"/>
      <c r="E60" s="188">
        <f t="shared" si="6"/>
        <v>44.94159193996002</v>
      </c>
      <c r="F60" s="188">
        <f t="shared" si="1"/>
        <v>4.8720624704452336</v>
      </c>
      <c r="G60" s="188">
        <f t="shared" si="2"/>
        <v>49.813654410405256</v>
      </c>
      <c r="H60" s="188">
        <f t="shared" si="3"/>
        <v>40.069529469514784</v>
      </c>
      <c r="I60" s="29"/>
      <c r="J60" s="29"/>
      <c r="K60" s="57"/>
    </row>
    <row r="61" spans="1:11">
      <c r="A61" s="103">
        <v>53</v>
      </c>
      <c r="B61" s="109">
        <v>35767</v>
      </c>
      <c r="C61" s="112">
        <v>46.3125</v>
      </c>
      <c r="D61" s="269"/>
      <c r="E61" s="269">
        <f t="shared" si="6"/>
        <v>44.867010086240342</v>
      </c>
      <c r="F61" s="269">
        <f t="shared" si="1"/>
        <v>4.8720624704452336</v>
      </c>
      <c r="G61" s="269">
        <f t="shared" si="2"/>
        <v>49.739072556685578</v>
      </c>
      <c r="H61" s="269">
        <f t="shared" si="3"/>
        <v>39.994947615795105</v>
      </c>
      <c r="I61" s="28"/>
      <c r="J61" s="28"/>
      <c r="K61" s="54"/>
    </row>
    <row r="62" spans="1:11">
      <c r="A62" s="103">
        <v>54</v>
      </c>
      <c r="B62" s="109">
        <v>35768</v>
      </c>
      <c r="C62" s="112">
        <v>46</v>
      </c>
      <c r="D62" s="269"/>
      <c r="E62" s="269">
        <f t="shared" si="6"/>
        <v>44.79242823252067</v>
      </c>
      <c r="F62" s="269">
        <f t="shared" si="1"/>
        <v>4.8720624704452336</v>
      </c>
      <c r="G62" s="269">
        <f t="shared" si="2"/>
        <v>49.664490702965907</v>
      </c>
      <c r="H62" s="269">
        <f t="shared" si="3"/>
        <v>39.920365762075434</v>
      </c>
      <c r="I62" s="28"/>
      <c r="J62" s="28"/>
      <c r="K62" s="54"/>
    </row>
    <row r="63" spans="1:11">
      <c r="A63" s="71">
        <v>55</v>
      </c>
      <c r="B63" s="110">
        <v>35769</v>
      </c>
      <c r="C63" s="111">
        <v>47</v>
      </c>
      <c r="D63" s="188"/>
      <c r="E63" s="188">
        <f t="shared" si="6"/>
        <v>44.717846378800999</v>
      </c>
      <c r="F63" s="188">
        <f t="shared" si="1"/>
        <v>4.8720624704452336</v>
      </c>
      <c r="G63" s="188">
        <f t="shared" si="2"/>
        <v>49.589908849246235</v>
      </c>
      <c r="H63" s="188">
        <f t="shared" si="3"/>
        <v>39.845783908355763</v>
      </c>
      <c r="I63" s="29"/>
      <c r="J63" s="29"/>
      <c r="K63" s="57"/>
    </row>
    <row r="64" spans="1:11">
      <c r="A64" s="71">
        <v>56</v>
      </c>
      <c r="B64" s="110">
        <v>35772</v>
      </c>
      <c r="C64" s="111">
        <v>47</v>
      </c>
      <c r="D64" s="188"/>
      <c r="E64" s="188">
        <f t="shared" si="6"/>
        <v>44.643264525081321</v>
      </c>
      <c r="F64" s="188">
        <f t="shared" si="1"/>
        <v>4.8720624704452336</v>
      </c>
      <c r="G64" s="188">
        <f t="shared" si="2"/>
        <v>49.515326995526557</v>
      </c>
      <c r="H64" s="188">
        <f t="shared" si="3"/>
        <v>39.771202054636085</v>
      </c>
      <c r="I64" s="29"/>
      <c r="J64" s="29"/>
      <c r="K64" s="57"/>
    </row>
    <row r="65" spans="1:11">
      <c r="A65" s="103">
        <v>57</v>
      </c>
      <c r="B65" s="109">
        <v>35773</v>
      </c>
      <c r="C65" s="112">
        <v>46.75</v>
      </c>
      <c r="D65" s="269"/>
      <c r="E65" s="269">
        <f t="shared" si="6"/>
        <v>44.56868267136165</v>
      </c>
      <c r="F65" s="269">
        <f t="shared" si="1"/>
        <v>4.8720624704452336</v>
      </c>
      <c r="G65" s="269">
        <f t="shared" si="2"/>
        <v>49.440745141806886</v>
      </c>
      <c r="H65" s="269">
        <f t="shared" si="3"/>
        <v>39.696620200916414</v>
      </c>
      <c r="I65" s="28"/>
      <c r="J65" s="28"/>
      <c r="K65" s="54"/>
    </row>
    <row r="66" spans="1:11">
      <c r="A66" s="103">
        <v>58</v>
      </c>
      <c r="B66" s="109">
        <v>35774</v>
      </c>
      <c r="C66" s="112">
        <v>46.8125</v>
      </c>
      <c r="D66" s="293"/>
      <c r="E66" s="269">
        <f t="shared" si="6"/>
        <v>44.494100817641971</v>
      </c>
      <c r="F66" s="269">
        <f t="shared" si="1"/>
        <v>4.8720624704452336</v>
      </c>
      <c r="G66" s="269">
        <f t="shared" si="2"/>
        <v>49.366163288087208</v>
      </c>
      <c r="H66" s="269">
        <f t="shared" si="3"/>
        <v>39.622038347196735</v>
      </c>
      <c r="I66" s="28"/>
      <c r="J66" s="28"/>
      <c r="K66" s="54"/>
    </row>
    <row r="67" spans="1:11">
      <c r="A67" s="104">
        <v>59</v>
      </c>
      <c r="B67" s="110">
        <v>35775</v>
      </c>
      <c r="C67" s="111">
        <v>46.375</v>
      </c>
      <c r="D67" s="188"/>
      <c r="E67" s="188">
        <f t="shared" si="6"/>
        <v>44.4195189639223</v>
      </c>
      <c r="F67" s="188">
        <f t="shared" si="1"/>
        <v>4.8720624704452336</v>
      </c>
      <c r="G67" s="188">
        <f t="shared" si="2"/>
        <v>49.291581434367536</v>
      </c>
      <c r="H67" s="188">
        <f t="shared" si="3"/>
        <v>39.547456493477064</v>
      </c>
      <c r="I67" s="29"/>
      <c r="J67" s="29"/>
      <c r="K67" s="57"/>
    </row>
    <row r="68" spans="1:11">
      <c r="A68" s="104">
        <v>60</v>
      </c>
      <c r="B68" s="110">
        <v>35776</v>
      </c>
      <c r="C68" s="111">
        <v>45.625</v>
      </c>
      <c r="D68" s="188"/>
      <c r="E68" s="188">
        <f t="shared" si="6"/>
        <v>44.344937110202622</v>
      </c>
      <c r="F68" s="188">
        <f t="shared" si="1"/>
        <v>4.8720624704452336</v>
      </c>
      <c r="G68" s="188">
        <f t="shared" si="2"/>
        <v>49.216999580647858</v>
      </c>
      <c r="H68" s="188">
        <f t="shared" si="3"/>
        <v>39.472874639757386</v>
      </c>
      <c r="I68" s="29"/>
      <c r="J68" s="29"/>
      <c r="K68" s="57"/>
    </row>
    <row r="69" spans="1:11">
      <c r="A69" s="103">
        <v>61</v>
      </c>
      <c r="B69" s="109">
        <v>35779</v>
      </c>
      <c r="C69" s="112">
        <v>45.25</v>
      </c>
      <c r="D69" s="269"/>
      <c r="E69" s="269">
        <f t="shared" si="6"/>
        <v>44.270355256482951</v>
      </c>
      <c r="F69" s="269">
        <f t="shared" si="1"/>
        <v>4.8720624704452336</v>
      </c>
      <c r="G69" s="269">
        <f t="shared" si="2"/>
        <v>49.142417726928187</v>
      </c>
      <c r="H69" s="269">
        <f t="shared" si="3"/>
        <v>39.398292786037715</v>
      </c>
      <c r="I69" s="28"/>
      <c r="J69" s="28"/>
      <c r="K69" s="54"/>
    </row>
    <row r="70" spans="1:11">
      <c r="A70" s="103">
        <v>62</v>
      </c>
      <c r="B70" s="109">
        <v>35780</v>
      </c>
      <c r="C70" s="112">
        <v>45.625</v>
      </c>
      <c r="D70" s="269"/>
      <c r="E70" s="269">
        <f t="shared" si="6"/>
        <v>44.19577340276328</v>
      </c>
      <c r="F70" s="269">
        <f t="shared" si="1"/>
        <v>4.8720624704452336</v>
      </c>
      <c r="G70" s="269">
        <f t="shared" si="2"/>
        <v>49.067835873208516</v>
      </c>
      <c r="H70" s="269">
        <f t="shared" si="3"/>
        <v>39.323710932318043</v>
      </c>
      <c r="I70" s="28"/>
      <c r="J70" s="28"/>
      <c r="K70" s="54"/>
    </row>
    <row r="71" spans="1:11">
      <c r="A71" s="104">
        <v>63</v>
      </c>
      <c r="B71" s="110">
        <v>35781</v>
      </c>
      <c r="C71" s="111">
        <v>44.625</v>
      </c>
      <c r="D71" s="188"/>
      <c r="E71" s="188">
        <f t="shared" si="6"/>
        <v>44.121191549043601</v>
      </c>
      <c r="F71" s="188">
        <f t="shared" si="1"/>
        <v>4.8720624704452336</v>
      </c>
      <c r="G71" s="188">
        <f t="shared" si="2"/>
        <v>48.993254019488838</v>
      </c>
      <c r="H71" s="188">
        <f t="shared" si="3"/>
        <v>39.249129078598365</v>
      </c>
      <c r="I71" s="29"/>
      <c r="J71" s="29"/>
      <c r="K71" s="57"/>
    </row>
    <row r="72" spans="1:11">
      <c r="A72" s="104">
        <v>64</v>
      </c>
      <c r="B72" s="110">
        <v>35782</v>
      </c>
      <c r="C72" s="111">
        <v>44.125</v>
      </c>
      <c r="D72" s="188"/>
      <c r="E72" s="188">
        <f t="shared" si="6"/>
        <v>44.04660969532393</v>
      </c>
      <c r="F72" s="188">
        <f t="shared" si="1"/>
        <v>4.8720624704452336</v>
      </c>
      <c r="G72" s="188">
        <f t="shared" si="2"/>
        <v>48.918672165769166</v>
      </c>
      <c r="H72" s="188">
        <f t="shared" si="3"/>
        <v>39.174547224878694</v>
      </c>
      <c r="I72" s="29"/>
      <c r="J72" s="29"/>
      <c r="K72" s="57"/>
    </row>
    <row r="73" spans="1:11">
      <c r="A73" s="103">
        <v>65</v>
      </c>
      <c r="B73" s="109">
        <v>35783</v>
      </c>
      <c r="C73" s="112">
        <v>42.9375</v>
      </c>
      <c r="D73" s="269"/>
      <c r="E73" s="269">
        <f t="shared" si="6"/>
        <v>43.972027841604259</v>
      </c>
      <c r="F73" s="269">
        <f t="shared" si="1"/>
        <v>4.8720624704452336</v>
      </c>
      <c r="G73" s="269">
        <f t="shared" si="2"/>
        <v>48.844090312049495</v>
      </c>
      <c r="H73" s="269">
        <f t="shared" si="3"/>
        <v>39.099965371159023</v>
      </c>
      <c r="I73" s="28"/>
      <c r="J73" s="28"/>
      <c r="K73" s="54"/>
    </row>
    <row r="74" spans="1:11">
      <c r="A74" s="103">
        <v>66</v>
      </c>
      <c r="B74" s="109">
        <v>35786</v>
      </c>
      <c r="C74" s="112">
        <v>42.375</v>
      </c>
      <c r="D74" s="269"/>
      <c r="E74" s="269">
        <f t="shared" si="6"/>
        <v>43.897445987884581</v>
      </c>
      <c r="F74" s="269">
        <f t="shared" si="1"/>
        <v>4.8720624704452336</v>
      </c>
      <c r="G74" s="269">
        <f t="shared" si="2"/>
        <v>48.769508458329817</v>
      </c>
      <c r="H74" s="269">
        <f t="shared" si="3"/>
        <v>39.025383517439344</v>
      </c>
      <c r="I74" s="28"/>
      <c r="J74" s="28"/>
      <c r="K74" s="54"/>
    </row>
    <row r="75" spans="1:11">
      <c r="A75" s="104">
        <v>67</v>
      </c>
      <c r="B75" s="110">
        <v>35787</v>
      </c>
      <c r="C75" s="111">
        <v>42</v>
      </c>
      <c r="D75" s="188"/>
      <c r="E75" s="188">
        <f t="shared" ref="E75:E90" si="7">TREND(C$10:C$102,A$10:A$102,A75)</f>
        <v>43.822864134164909</v>
      </c>
      <c r="F75" s="188">
        <f t="shared" ref="F75:F102" si="8">$D$6*2</f>
        <v>4.8720624704452336</v>
      </c>
      <c r="G75" s="188">
        <f t="shared" ref="G75:G102" si="9">E75+F75</f>
        <v>48.694926604610146</v>
      </c>
      <c r="H75" s="188">
        <f t="shared" ref="H75:H102" si="10">E75-F75</f>
        <v>38.950801663719673</v>
      </c>
      <c r="I75" s="29"/>
      <c r="J75" s="29"/>
      <c r="K75" s="57"/>
    </row>
    <row r="76" spans="1:11">
      <c r="A76" s="104">
        <v>68</v>
      </c>
      <c r="B76" s="110">
        <v>35788</v>
      </c>
      <c r="C76" s="111">
        <v>42.125</v>
      </c>
      <c r="D76" s="188"/>
      <c r="E76" s="188">
        <f t="shared" si="7"/>
        <v>43.748282280445231</v>
      </c>
      <c r="F76" s="188">
        <f t="shared" si="8"/>
        <v>4.8720624704452336</v>
      </c>
      <c r="G76" s="188">
        <f t="shared" si="9"/>
        <v>48.620344750890467</v>
      </c>
      <c r="H76" s="188">
        <f t="shared" si="10"/>
        <v>38.876219809999995</v>
      </c>
      <c r="I76" s="29"/>
      <c r="J76" s="29"/>
      <c r="K76" s="57"/>
    </row>
    <row r="77" spans="1:11">
      <c r="A77" s="103">
        <v>69</v>
      </c>
      <c r="B77" s="109">
        <v>35790</v>
      </c>
      <c r="C77" s="112">
        <v>42</v>
      </c>
      <c r="D77" s="269"/>
      <c r="E77" s="269">
        <f t="shared" si="7"/>
        <v>43.67370042672556</v>
      </c>
      <c r="F77" s="269">
        <f t="shared" si="8"/>
        <v>4.8720624704452336</v>
      </c>
      <c r="G77" s="269">
        <f t="shared" si="9"/>
        <v>48.545762897170796</v>
      </c>
      <c r="H77" s="269">
        <f t="shared" si="10"/>
        <v>38.801637956280324</v>
      </c>
      <c r="I77" s="28"/>
      <c r="J77" s="28"/>
      <c r="K77" s="54"/>
    </row>
    <row r="78" spans="1:11">
      <c r="A78" s="103">
        <v>70</v>
      </c>
      <c r="B78" s="109">
        <v>35793</v>
      </c>
      <c r="C78" s="112">
        <v>42.0625</v>
      </c>
      <c r="D78" s="269"/>
      <c r="E78" s="269">
        <f t="shared" si="7"/>
        <v>43.599118573005882</v>
      </c>
      <c r="F78" s="269">
        <f t="shared" si="8"/>
        <v>4.8720624704452336</v>
      </c>
      <c r="G78" s="269">
        <f t="shared" si="9"/>
        <v>48.471181043451118</v>
      </c>
      <c r="H78" s="269">
        <f t="shared" si="10"/>
        <v>38.727056102560645</v>
      </c>
      <c r="I78" s="28"/>
      <c r="J78" s="28"/>
      <c r="K78" s="54"/>
    </row>
    <row r="79" spans="1:11">
      <c r="A79" s="104">
        <v>71</v>
      </c>
      <c r="B79" s="110">
        <v>35794</v>
      </c>
      <c r="C79" s="111">
        <v>43.375</v>
      </c>
      <c r="D79" s="188"/>
      <c r="E79" s="188">
        <f t="shared" si="7"/>
        <v>43.52453671928621</v>
      </c>
      <c r="F79" s="188">
        <f t="shared" si="8"/>
        <v>4.8720624704452336</v>
      </c>
      <c r="G79" s="188">
        <f t="shared" si="9"/>
        <v>48.396599189731447</v>
      </c>
      <c r="H79" s="188">
        <f t="shared" si="10"/>
        <v>38.652474248840974</v>
      </c>
      <c r="I79" s="29"/>
      <c r="J79" s="29"/>
      <c r="K79" s="57"/>
    </row>
    <row r="80" spans="1:11">
      <c r="A80" s="104">
        <v>72</v>
      </c>
      <c r="B80" s="110">
        <v>35795</v>
      </c>
      <c r="C80" s="111">
        <v>42.9375</v>
      </c>
      <c r="D80" s="188"/>
      <c r="E80" s="188">
        <f t="shared" si="7"/>
        <v>43.449954865566539</v>
      </c>
      <c r="F80" s="188">
        <f t="shared" si="8"/>
        <v>4.8720624704452336</v>
      </c>
      <c r="G80" s="188">
        <f t="shared" si="9"/>
        <v>48.322017336011776</v>
      </c>
      <c r="H80" s="188">
        <f t="shared" si="10"/>
        <v>38.577892395121303</v>
      </c>
      <c r="I80" s="29"/>
      <c r="J80" s="29"/>
      <c r="K80" s="57"/>
    </row>
    <row r="81" spans="1:11">
      <c r="A81" s="103">
        <v>73</v>
      </c>
      <c r="B81" s="109">
        <v>35797</v>
      </c>
      <c r="C81" s="112">
        <v>44</v>
      </c>
      <c r="D81" s="269"/>
      <c r="E81" s="269">
        <f t="shared" si="7"/>
        <v>43.375373011846861</v>
      </c>
      <c r="F81" s="269">
        <f t="shared" si="8"/>
        <v>4.8720624704452336</v>
      </c>
      <c r="G81" s="269">
        <f t="shared" si="9"/>
        <v>48.247435482292097</v>
      </c>
      <c r="H81" s="269">
        <f t="shared" si="10"/>
        <v>38.503310541401625</v>
      </c>
      <c r="I81" s="28"/>
      <c r="J81" s="28"/>
      <c r="K81" s="54"/>
    </row>
    <row r="82" spans="1:11">
      <c r="A82" s="103">
        <v>74</v>
      </c>
      <c r="B82" s="109">
        <v>35800</v>
      </c>
      <c r="C82" s="112">
        <v>42.625</v>
      </c>
      <c r="D82" s="269"/>
      <c r="E82" s="269">
        <f t="shared" si="7"/>
        <v>43.30079115812719</v>
      </c>
      <c r="F82" s="269">
        <f t="shared" si="8"/>
        <v>4.8720624704452336</v>
      </c>
      <c r="G82" s="269">
        <f t="shared" si="9"/>
        <v>48.172853628572426</v>
      </c>
      <c r="H82" s="269">
        <f t="shared" si="10"/>
        <v>38.428728687681954</v>
      </c>
      <c r="I82" s="28"/>
      <c r="J82" s="28"/>
      <c r="K82" s="54"/>
    </row>
    <row r="83" spans="1:11">
      <c r="A83" s="104">
        <v>75</v>
      </c>
      <c r="B83" s="110">
        <v>35801</v>
      </c>
      <c r="C83" s="111">
        <v>43.875</v>
      </c>
      <c r="D83" s="188"/>
      <c r="E83" s="188">
        <f t="shared" si="7"/>
        <v>43.226209304407512</v>
      </c>
      <c r="F83" s="188">
        <f t="shared" si="8"/>
        <v>4.8720624704452336</v>
      </c>
      <c r="G83" s="188">
        <f t="shared" si="9"/>
        <v>48.098271774852748</v>
      </c>
      <c r="H83" s="188">
        <f t="shared" si="10"/>
        <v>38.354146833962275</v>
      </c>
      <c r="I83" s="29"/>
      <c r="J83" s="29"/>
      <c r="K83" s="57"/>
    </row>
    <row r="84" spans="1:11">
      <c r="A84" s="104">
        <v>76</v>
      </c>
      <c r="B84" s="110">
        <v>35802</v>
      </c>
      <c r="C84" s="111">
        <v>43.6875</v>
      </c>
      <c r="D84" s="188"/>
      <c r="E84" s="188">
        <f t="shared" si="7"/>
        <v>43.15162745068784</v>
      </c>
      <c r="F84" s="188">
        <f t="shared" si="8"/>
        <v>4.8720624704452336</v>
      </c>
      <c r="G84" s="188">
        <f t="shared" si="9"/>
        <v>48.023689921133077</v>
      </c>
      <c r="H84" s="188">
        <f t="shared" si="10"/>
        <v>38.279564980242604</v>
      </c>
      <c r="I84" s="29"/>
      <c r="J84" s="29"/>
      <c r="K84" s="57"/>
    </row>
    <row r="85" spans="1:11">
      <c r="A85" s="103">
        <v>77</v>
      </c>
      <c r="B85" s="109">
        <v>35803</v>
      </c>
      <c r="C85" s="112">
        <v>42.9375</v>
      </c>
      <c r="D85" s="269"/>
      <c r="E85" s="269">
        <f t="shared" si="7"/>
        <v>43.077045596968169</v>
      </c>
      <c r="F85" s="269">
        <f t="shared" si="8"/>
        <v>4.8720624704452336</v>
      </c>
      <c r="G85" s="269">
        <f t="shared" si="9"/>
        <v>47.949108067413405</v>
      </c>
      <c r="H85" s="269">
        <f t="shared" si="10"/>
        <v>38.204983126522933</v>
      </c>
      <c r="I85" s="28"/>
      <c r="J85" s="28"/>
      <c r="K85" s="54"/>
    </row>
    <row r="86" spans="1:11">
      <c r="A86" s="103">
        <v>78</v>
      </c>
      <c r="B86" s="109">
        <v>35804</v>
      </c>
      <c r="C86" s="112">
        <v>41.375</v>
      </c>
      <c r="D86" s="269"/>
      <c r="E86" s="269">
        <f t="shared" si="7"/>
        <v>43.002463743248491</v>
      </c>
      <c r="F86" s="269">
        <f t="shared" si="8"/>
        <v>4.8720624704452336</v>
      </c>
      <c r="G86" s="269">
        <f t="shared" si="9"/>
        <v>47.874526213693727</v>
      </c>
      <c r="H86" s="269">
        <f t="shared" si="10"/>
        <v>38.130401272803255</v>
      </c>
      <c r="I86" s="28"/>
      <c r="J86" s="28"/>
      <c r="K86" s="54"/>
    </row>
    <row r="87" spans="1:11">
      <c r="A87" s="104">
        <v>79</v>
      </c>
      <c r="B87" s="110">
        <v>35807</v>
      </c>
      <c r="C87" s="111">
        <v>41.75</v>
      </c>
      <c r="D87" s="188"/>
      <c r="E87" s="188">
        <f t="shared" si="7"/>
        <v>42.92788188952882</v>
      </c>
      <c r="F87" s="188">
        <f t="shared" si="8"/>
        <v>4.8720624704452336</v>
      </c>
      <c r="G87" s="188">
        <f t="shared" si="9"/>
        <v>47.799944359974056</v>
      </c>
      <c r="H87" s="188">
        <f t="shared" si="10"/>
        <v>38.055819419083583</v>
      </c>
      <c r="I87" s="29"/>
      <c r="J87" s="29"/>
      <c r="K87" s="57"/>
    </row>
    <row r="88" spans="1:11">
      <c r="A88" s="104">
        <v>80</v>
      </c>
      <c r="B88" s="110">
        <v>35808</v>
      </c>
      <c r="C88" s="111">
        <v>41.25</v>
      </c>
      <c r="D88" s="188"/>
      <c r="E88" s="188">
        <f t="shared" si="7"/>
        <v>42.853300035809141</v>
      </c>
      <c r="F88" s="188">
        <f t="shared" si="8"/>
        <v>4.8720624704452336</v>
      </c>
      <c r="G88" s="188">
        <f t="shared" si="9"/>
        <v>47.725362506254378</v>
      </c>
      <c r="H88" s="188">
        <f t="shared" si="10"/>
        <v>37.981237565363905</v>
      </c>
      <c r="I88" s="29"/>
      <c r="J88" s="29"/>
      <c r="K88" s="57"/>
    </row>
    <row r="89" spans="1:11">
      <c r="A89" s="103">
        <v>81</v>
      </c>
      <c r="B89" s="109">
        <v>35809</v>
      </c>
      <c r="C89" s="112">
        <v>41.5625</v>
      </c>
      <c r="D89" s="269"/>
      <c r="E89" s="269">
        <f t="shared" si="7"/>
        <v>42.77871818208947</v>
      </c>
      <c r="F89" s="269">
        <f t="shared" si="8"/>
        <v>4.8720624704452336</v>
      </c>
      <c r="G89" s="269">
        <f t="shared" si="9"/>
        <v>47.650780652534706</v>
      </c>
      <c r="H89" s="269">
        <f t="shared" si="10"/>
        <v>37.906655711644234</v>
      </c>
      <c r="I89" s="28"/>
      <c r="J89" s="28"/>
      <c r="K89" s="54"/>
    </row>
    <row r="90" spans="1:11">
      <c r="A90" s="103">
        <v>82</v>
      </c>
      <c r="B90" s="109">
        <v>35810</v>
      </c>
      <c r="C90" s="112">
        <v>41.5</v>
      </c>
      <c r="D90" s="269"/>
      <c r="E90" s="269">
        <f t="shared" si="7"/>
        <v>42.704136328369799</v>
      </c>
      <c r="F90" s="269">
        <f t="shared" si="8"/>
        <v>4.8720624704452336</v>
      </c>
      <c r="G90" s="269">
        <f t="shared" si="9"/>
        <v>47.576198798815035</v>
      </c>
      <c r="H90" s="269">
        <f t="shared" si="10"/>
        <v>37.832073857924563</v>
      </c>
      <c r="I90" s="28"/>
      <c r="J90" s="28"/>
      <c r="K90" s="54"/>
    </row>
    <row r="91" spans="1:11">
      <c r="A91" s="104">
        <v>83</v>
      </c>
      <c r="B91" s="110">
        <v>35811</v>
      </c>
      <c r="C91" s="111">
        <v>40.75</v>
      </c>
      <c r="D91" s="188"/>
      <c r="E91" s="188">
        <f t="shared" ref="E91:E102" si="11">TREND(C$10:C$102,A$10:A$102,A91)</f>
        <v>42.629554474650121</v>
      </c>
      <c r="F91" s="188">
        <f t="shared" si="8"/>
        <v>4.8720624704452336</v>
      </c>
      <c r="G91" s="188">
        <f t="shared" si="9"/>
        <v>47.501616945095357</v>
      </c>
      <c r="H91" s="188">
        <f t="shared" si="10"/>
        <v>37.757492004204884</v>
      </c>
      <c r="I91" s="29"/>
      <c r="J91" s="29"/>
      <c r="K91" s="57"/>
    </row>
    <row r="92" spans="1:11">
      <c r="A92" s="104">
        <v>84</v>
      </c>
      <c r="B92" s="110">
        <v>35815</v>
      </c>
      <c r="C92" s="111">
        <v>41.25</v>
      </c>
      <c r="D92" s="188"/>
      <c r="E92" s="188">
        <f t="shared" si="11"/>
        <v>42.55497262093045</v>
      </c>
      <c r="F92" s="188">
        <f t="shared" si="8"/>
        <v>4.8720624704452336</v>
      </c>
      <c r="G92" s="188">
        <f t="shared" si="9"/>
        <v>47.427035091375686</v>
      </c>
      <c r="H92" s="188">
        <f t="shared" si="10"/>
        <v>37.682910150485213</v>
      </c>
      <c r="I92" s="29"/>
      <c r="J92" s="29"/>
      <c r="K92" s="57"/>
    </row>
    <row r="93" spans="1:11">
      <c r="A93" s="103">
        <v>85</v>
      </c>
      <c r="B93" s="109">
        <v>35816</v>
      </c>
      <c r="C93" s="112">
        <v>40.875</v>
      </c>
      <c r="D93" s="269"/>
      <c r="E93" s="269">
        <f t="shared" si="11"/>
        <v>42.480390767210771</v>
      </c>
      <c r="F93" s="269">
        <f t="shared" si="8"/>
        <v>4.8720624704452336</v>
      </c>
      <c r="G93" s="269">
        <f t="shared" si="9"/>
        <v>47.352453237656007</v>
      </c>
      <c r="H93" s="269">
        <f t="shared" si="10"/>
        <v>37.608328296765535</v>
      </c>
      <c r="I93" s="28"/>
      <c r="J93" s="28"/>
      <c r="K93" s="54"/>
    </row>
    <row r="94" spans="1:11">
      <c r="A94" s="103">
        <v>86</v>
      </c>
      <c r="B94" s="109">
        <v>35817</v>
      </c>
      <c r="C94" s="112">
        <v>41.0625</v>
      </c>
      <c r="D94" s="269"/>
      <c r="E94" s="269">
        <f t="shared" si="11"/>
        <v>42.4058089134911</v>
      </c>
      <c r="F94" s="269">
        <f t="shared" si="8"/>
        <v>4.8720624704452336</v>
      </c>
      <c r="G94" s="269">
        <f t="shared" si="9"/>
        <v>47.277871383936336</v>
      </c>
      <c r="H94" s="269">
        <f t="shared" si="10"/>
        <v>37.533746443045864</v>
      </c>
      <c r="I94" s="28"/>
      <c r="J94" s="28"/>
      <c r="K94" s="54"/>
    </row>
    <row r="95" spans="1:11">
      <c r="A95" s="104">
        <v>87</v>
      </c>
      <c r="B95" s="110">
        <v>35818</v>
      </c>
      <c r="C95" s="111">
        <v>41.5625</v>
      </c>
      <c r="D95" s="188"/>
      <c r="E95" s="188">
        <f t="shared" si="11"/>
        <v>42.331227059771422</v>
      </c>
      <c r="F95" s="188">
        <f t="shared" si="8"/>
        <v>4.8720624704452336</v>
      </c>
      <c r="G95" s="188">
        <f t="shared" si="9"/>
        <v>47.203289530216658</v>
      </c>
      <c r="H95" s="188">
        <f t="shared" si="10"/>
        <v>37.459164589326186</v>
      </c>
      <c r="I95" s="29"/>
      <c r="J95" s="29"/>
      <c r="K95" s="57"/>
    </row>
    <row r="96" spans="1:11">
      <c r="A96" s="104">
        <v>88</v>
      </c>
      <c r="B96" s="110">
        <v>35821</v>
      </c>
      <c r="C96" s="111">
        <v>41.375</v>
      </c>
      <c r="D96" s="188"/>
      <c r="E96" s="188">
        <f t="shared" si="11"/>
        <v>42.256645206051751</v>
      </c>
      <c r="F96" s="188">
        <f t="shared" si="8"/>
        <v>4.8720624704452336</v>
      </c>
      <c r="G96" s="188">
        <f t="shared" si="9"/>
        <v>47.128707676496987</v>
      </c>
      <c r="H96" s="188">
        <f t="shared" si="10"/>
        <v>37.384582735606514</v>
      </c>
      <c r="I96" s="29"/>
      <c r="J96" s="29"/>
      <c r="K96" s="57"/>
    </row>
    <row r="97" spans="1:11">
      <c r="A97" s="103">
        <v>89</v>
      </c>
      <c r="B97" s="109">
        <v>35822</v>
      </c>
      <c r="C97" s="112">
        <v>42.125</v>
      </c>
      <c r="D97" s="269"/>
      <c r="E97" s="269">
        <f t="shared" si="11"/>
        <v>42.182063352332079</v>
      </c>
      <c r="F97" s="269">
        <f t="shared" si="8"/>
        <v>4.8720624704452336</v>
      </c>
      <c r="G97" s="269">
        <f t="shared" si="9"/>
        <v>47.054125822777316</v>
      </c>
      <c r="H97" s="269">
        <f t="shared" si="10"/>
        <v>37.310000881886843</v>
      </c>
      <c r="I97" s="28"/>
      <c r="J97" s="28"/>
      <c r="K97" s="54"/>
    </row>
    <row r="98" spans="1:11">
      <c r="A98" s="103">
        <v>90</v>
      </c>
      <c r="B98" s="109">
        <v>35823</v>
      </c>
      <c r="C98" s="112">
        <v>43.5625</v>
      </c>
      <c r="D98" s="269"/>
      <c r="E98" s="269">
        <f t="shared" si="11"/>
        <v>42.107481498612401</v>
      </c>
      <c r="F98" s="269">
        <f t="shared" si="8"/>
        <v>4.8720624704452336</v>
      </c>
      <c r="G98" s="269">
        <f t="shared" si="9"/>
        <v>46.979543969057637</v>
      </c>
      <c r="H98" s="269">
        <f t="shared" si="10"/>
        <v>37.235419028167165</v>
      </c>
      <c r="I98" s="28"/>
      <c r="J98" s="28"/>
      <c r="K98" s="54"/>
    </row>
    <row r="99" spans="1:11">
      <c r="A99" s="104">
        <v>91</v>
      </c>
      <c r="B99" s="110">
        <v>35824</v>
      </c>
      <c r="C99" s="111">
        <v>43.0625</v>
      </c>
      <c r="D99" s="188"/>
      <c r="E99" s="188">
        <f t="shared" si="11"/>
        <v>42.03289964489273</v>
      </c>
      <c r="F99" s="188">
        <f t="shared" si="8"/>
        <v>4.8720624704452336</v>
      </c>
      <c r="G99" s="188">
        <f t="shared" si="9"/>
        <v>46.904962115337966</v>
      </c>
      <c r="H99" s="188">
        <f t="shared" si="10"/>
        <v>37.160837174447494</v>
      </c>
      <c r="I99" s="29"/>
      <c r="J99" s="29"/>
      <c r="K99" s="57"/>
    </row>
    <row r="100" spans="1:11">
      <c r="A100" s="104">
        <v>92</v>
      </c>
      <c r="B100" s="110">
        <v>35825</v>
      </c>
      <c r="C100" s="111">
        <v>43.8125</v>
      </c>
      <c r="D100" s="188"/>
      <c r="E100" s="188">
        <f t="shared" si="11"/>
        <v>41.958317791173059</v>
      </c>
      <c r="F100" s="188">
        <f t="shared" si="8"/>
        <v>4.8720624704452336</v>
      </c>
      <c r="G100" s="188">
        <f t="shared" si="9"/>
        <v>46.830380261618295</v>
      </c>
      <c r="H100" s="188">
        <f t="shared" si="10"/>
        <v>37.086255320727822</v>
      </c>
      <c r="I100" s="29"/>
      <c r="J100" s="29"/>
      <c r="K100" s="57"/>
    </row>
    <row r="101" spans="1:11">
      <c r="A101" s="103">
        <v>93</v>
      </c>
      <c r="B101" s="109">
        <v>35828</v>
      </c>
      <c r="C101" s="112">
        <v>44.9375</v>
      </c>
      <c r="D101" s="269"/>
      <c r="E101" s="269">
        <f t="shared" si="11"/>
        <v>41.88373593745338</v>
      </c>
      <c r="F101" s="269">
        <f t="shared" si="8"/>
        <v>4.8720624704452336</v>
      </c>
      <c r="G101" s="269">
        <f t="shared" si="9"/>
        <v>46.755798407898617</v>
      </c>
      <c r="H101" s="269">
        <f t="shared" si="10"/>
        <v>37.011673467008144</v>
      </c>
      <c r="I101" s="28"/>
      <c r="J101" s="28"/>
      <c r="K101" s="54"/>
    </row>
    <row r="102" spans="1:11">
      <c r="A102" s="103">
        <v>94</v>
      </c>
      <c r="B102" s="109">
        <v>35829</v>
      </c>
      <c r="C102" s="112">
        <v>47</v>
      </c>
      <c r="D102" s="269" t="s">
        <v>421</v>
      </c>
      <c r="E102" s="269">
        <f t="shared" si="11"/>
        <v>41.809154083733709</v>
      </c>
      <c r="F102" s="269">
        <f t="shared" si="8"/>
        <v>4.8720624704452336</v>
      </c>
      <c r="G102" s="269">
        <f t="shared" si="9"/>
        <v>46.681216554178945</v>
      </c>
      <c r="H102" s="269">
        <f t="shared" si="10"/>
        <v>36.937091613288473</v>
      </c>
      <c r="I102" s="28"/>
      <c r="J102" s="28"/>
      <c r="K102" s="54"/>
    </row>
    <row r="103" spans="1:11">
      <c r="A103" s="104">
        <v>95</v>
      </c>
      <c r="B103" s="110">
        <v>35830</v>
      </c>
      <c r="C103" s="111">
        <v>47.25</v>
      </c>
      <c r="D103" s="188"/>
      <c r="E103" s="188"/>
      <c r="F103" s="188"/>
      <c r="G103" s="188"/>
      <c r="H103" s="188"/>
      <c r="I103" s="29"/>
      <c r="J103" s="29"/>
      <c r="K103" s="57"/>
    </row>
    <row r="104" spans="1:11">
      <c r="A104" s="104">
        <v>96</v>
      </c>
      <c r="B104" s="110">
        <v>35831</v>
      </c>
      <c r="C104" s="111">
        <v>46.4375</v>
      </c>
      <c r="D104" s="188"/>
      <c r="E104" s="188"/>
      <c r="F104" s="188"/>
      <c r="G104" s="188"/>
      <c r="H104" s="188"/>
      <c r="I104" s="29"/>
      <c r="J104" s="29"/>
      <c r="K104" s="57"/>
    </row>
    <row r="105" spans="1:11">
      <c r="A105" s="103">
        <v>97</v>
      </c>
      <c r="B105" s="109">
        <v>35832</v>
      </c>
      <c r="C105" s="112">
        <v>46.75</v>
      </c>
      <c r="D105" s="269"/>
      <c r="E105" s="269"/>
      <c r="F105" s="269"/>
      <c r="G105" s="269"/>
      <c r="H105" s="269"/>
      <c r="I105" s="28"/>
      <c r="J105" s="28"/>
      <c r="K105" s="54"/>
    </row>
    <row r="106" spans="1:11">
      <c r="A106" s="103">
        <v>98</v>
      </c>
      <c r="B106" s="109">
        <v>35835</v>
      </c>
      <c r="C106" s="112">
        <v>46.9375</v>
      </c>
      <c r="D106" s="269"/>
      <c r="E106" s="269"/>
      <c r="F106" s="269"/>
      <c r="G106" s="269"/>
      <c r="H106" s="269"/>
      <c r="I106" s="28"/>
      <c r="J106" s="28"/>
      <c r="K106" s="54"/>
    </row>
    <row r="107" spans="1:11">
      <c r="A107" s="104">
        <v>99</v>
      </c>
      <c r="B107" s="110">
        <v>35836</v>
      </c>
      <c r="C107" s="111">
        <v>49.375</v>
      </c>
      <c r="D107" s="188"/>
      <c r="E107" s="188"/>
      <c r="F107" s="188"/>
      <c r="G107" s="188"/>
      <c r="H107" s="188"/>
      <c r="I107" s="29"/>
      <c r="J107" s="29"/>
      <c r="K107" s="57"/>
    </row>
    <row r="108" spans="1:11">
      <c r="A108" s="104">
        <v>100</v>
      </c>
      <c r="B108" s="110">
        <v>35837</v>
      </c>
      <c r="C108" s="111">
        <v>48.5</v>
      </c>
      <c r="D108" s="188"/>
      <c r="E108" s="188"/>
      <c r="F108" s="188"/>
      <c r="G108" s="188"/>
      <c r="H108" s="188"/>
      <c r="I108" s="29"/>
      <c r="J108" s="29"/>
      <c r="K108" s="57"/>
    </row>
    <row r="109" spans="1:11">
      <c r="A109" s="103">
        <v>101</v>
      </c>
      <c r="B109" s="109">
        <v>35838</v>
      </c>
      <c r="C109" s="112">
        <v>47.9375</v>
      </c>
      <c r="D109" s="269"/>
      <c r="E109" s="269"/>
      <c r="F109" s="269"/>
      <c r="G109" s="269"/>
      <c r="H109" s="269"/>
      <c r="I109" s="28"/>
      <c r="J109" s="28"/>
      <c r="K109" s="54"/>
    </row>
    <row r="110" spans="1:11">
      <c r="A110" s="103">
        <v>102</v>
      </c>
      <c r="B110" s="109">
        <v>35839</v>
      </c>
      <c r="C110" s="112">
        <v>47.1875</v>
      </c>
      <c r="D110" s="269"/>
      <c r="E110" s="269"/>
      <c r="F110" s="269"/>
      <c r="G110" s="269"/>
      <c r="H110" s="269"/>
      <c r="I110" s="28"/>
      <c r="J110" s="28"/>
      <c r="K110" s="54"/>
    </row>
    <row r="113" spans="1:1">
      <c r="A113" t="s">
        <v>1171</v>
      </c>
    </row>
    <row r="114" spans="1:1">
      <c r="A114" t="s">
        <v>584</v>
      </c>
    </row>
    <row r="115" spans="1:1">
      <c r="A115" t="s">
        <v>585</v>
      </c>
    </row>
    <row r="116" spans="1:1">
      <c r="A116" t="s">
        <v>586</v>
      </c>
    </row>
    <row r="117" spans="1:1">
      <c r="A117" t="s">
        <v>587</v>
      </c>
    </row>
  </sheetData>
  <mergeCells count="1">
    <mergeCell ref="B5:K5"/>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5233"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5234"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5235"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5236"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95237" r:id="rId7" name="Button 5">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5238" r:id="rId8"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5239" r:id="rId9"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5240" r:id="rId10"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enableFormatConditionsCalculation="0"/>
  <dimension ref="A1:N52"/>
  <sheetViews>
    <sheetView workbookViewId="0"/>
  </sheetViews>
  <sheetFormatPr baseColWidth="10" defaultColWidth="8.83203125" defaultRowHeight="12" x14ac:dyDescent="0"/>
  <cols>
    <col min="1" max="1" width="10.83203125" customWidth="1"/>
    <col min="4" max="4" width="11.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832</v>
      </c>
      <c r="C3" s="21"/>
      <c r="D3" s="21"/>
      <c r="E3" s="21"/>
      <c r="F3" s="21"/>
      <c r="G3" s="21"/>
      <c r="H3" s="21"/>
      <c r="I3" s="21"/>
      <c r="J3" s="21"/>
    </row>
    <row r="4" spans="1:14">
      <c r="A4" s="19" t="s">
        <v>774</v>
      </c>
      <c r="B4" s="20" t="s">
        <v>422</v>
      </c>
      <c r="C4" s="21"/>
      <c r="D4" s="21"/>
      <c r="E4" s="21"/>
      <c r="F4" s="21"/>
      <c r="G4" s="21"/>
      <c r="H4" s="21"/>
      <c r="I4" s="21"/>
      <c r="J4" s="21"/>
    </row>
    <row r="5" spans="1:14" ht="57.75" customHeight="1">
      <c r="A5" s="118" t="s">
        <v>779</v>
      </c>
      <c r="B5" s="20"/>
      <c r="C5" s="21"/>
      <c r="D5" s="21"/>
      <c r="E5" s="21"/>
      <c r="F5" s="21"/>
      <c r="G5" s="21"/>
      <c r="H5" s="21"/>
      <c r="I5" s="21"/>
      <c r="J5" s="21"/>
    </row>
    <row r="6" spans="1:14" ht="13.5" customHeight="1">
      <c r="A6" s="19"/>
      <c r="B6" s="457" t="s">
        <v>842</v>
      </c>
      <c r="C6" s="453"/>
      <c r="D6" s="453"/>
      <c r="E6" s="453"/>
      <c r="F6" s="453"/>
      <c r="G6" s="453"/>
      <c r="H6" s="453"/>
      <c r="I6" s="453"/>
      <c r="J6" s="453"/>
    </row>
    <row r="7" spans="1:14" ht="13.5" customHeight="1">
      <c r="A7" s="19"/>
      <c r="B7" s="457" t="s">
        <v>843</v>
      </c>
      <c r="C7" s="453"/>
      <c r="D7" s="453"/>
      <c r="E7" s="453"/>
      <c r="F7" s="453"/>
      <c r="G7" s="453"/>
      <c r="H7" s="453"/>
      <c r="I7" s="453"/>
      <c r="J7" s="453"/>
    </row>
    <row r="8" spans="1:14" ht="13.5" customHeight="1">
      <c r="A8" s="19"/>
      <c r="B8" s="452" t="s">
        <v>800</v>
      </c>
      <c r="C8" s="453"/>
      <c r="D8" s="453"/>
      <c r="E8" s="453"/>
      <c r="F8" s="453"/>
      <c r="G8" s="453"/>
      <c r="H8" s="453"/>
      <c r="I8" s="453"/>
      <c r="J8" s="453"/>
    </row>
    <row r="9" spans="1:14">
      <c r="A9" s="19" t="s">
        <v>635</v>
      </c>
      <c r="B9" s="187" t="s">
        <v>640</v>
      </c>
      <c r="C9" s="21"/>
      <c r="D9" s="21"/>
      <c r="E9" s="21"/>
      <c r="F9" s="21"/>
      <c r="G9" s="21"/>
      <c r="H9" s="21"/>
      <c r="I9" s="21"/>
      <c r="J9" s="21"/>
    </row>
    <row r="10" spans="1:14" ht="36">
      <c r="A10" s="22"/>
      <c r="B10" s="22" t="s">
        <v>1090</v>
      </c>
      <c r="C10" s="22" t="s">
        <v>1098</v>
      </c>
      <c r="D10" s="22" t="s">
        <v>423</v>
      </c>
      <c r="E10" s="22"/>
      <c r="F10" s="22"/>
      <c r="G10" s="22"/>
      <c r="H10" s="22"/>
      <c r="I10" s="22"/>
      <c r="J10" s="22"/>
    </row>
    <row r="11" spans="1:14">
      <c r="A11" s="103">
        <v>1</v>
      </c>
      <c r="B11" s="109">
        <v>34702</v>
      </c>
      <c r="C11" s="112">
        <v>3.2968999999999999</v>
      </c>
      <c r="D11" s="28"/>
      <c r="E11" s="28"/>
      <c r="F11" s="28"/>
      <c r="G11" s="28"/>
      <c r="H11" s="28"/>
      <c r="I11" s="28"/>
      <c r="J11" s="54"/>
    </row>
    <row r="12" spans="1:14">
      <c r="A12" s="103">
        <v>2</v>
      </c>
      <c r="B12" s="105">
        <v>34703</v>
      </c>
      <c r="C12" s="167">
        <v>3.4531999999999998</v>
      </c>
      <c r="D12" s="101"/>
      <c r="E12" s="101"/>
      <c r="F12" s="101"/>
      <c r="G12" s="101"/>
      <c r="H12" s="101"/>
      <c r="I12" s="101"/>
      <c r="J12" s="102"/>
    </row>
    <row r="13" spans="1:14">
      <c r="A13" s="104">
        <v>3</v>
      </c>
      <c r="B13" s="110">
        <v>34704</v>
      </c>
      <c r="C13" s="111">
        <v>3.3906999999999998</v>
      </c>
      <c r="D13" s="29"/>
      <c r="E13" s="29"/>
      <c r="F13" s="29"/>
      <c r="G13" s="29"/>
      <c r="H13" s="29"/>
      <c r="I13" s="29"/>
      <c r="J13" s="57"/>
    </row>
    <row r="14" spans="1:14">
      <c r="A14" s="104">
        <v>4</v>
      </c>
      <c r="B14" s="110">
        <v>34705</v>
      </c>
      <c r="C14" s="111">
        <v>3.3515999999999999</v>
      </c>
      <c r="D14" s="29"/>
      <c r="E14" s="29"/>
      <c r="F14" s="29"/>
      <c r="G14" s="29"/>
      <c r="H14" s="29"/>
      <c r="I14" s="29"/>
      <c r="J14" s="57"/>
    </row>
    <row r="15" spans="1:14">
      <c r="A15" s="103">
        <v>5</v>
      </c>
      <c r="B15" s="109">
        <v>34708</v>
      </c>
      <c r="C15" s="112">
        <v>3.2812999999999999</v>
      </c>
      <c r="D15" s="28"/>
      <c r="E15" s="28"/>
      <c r="F15" s="28"/>
      <c r="G15" s="28"/>
      <c r="H15" s="28"/>
      <c r="I15" s="28"/>
      <c r="J15" s="54"/>
    </row>
    <row r="16" spans="1:14">
      <c r="A16" s="103">
        <v>6</v>
      </c>
      <c r="B16" s="109">
        <v>34709</v>
      </c>
      <c r="C16" s="112">
        <v>3.2031999999999998</v>
      </c>
      <c r="D16" s="28"/>
      <c r="E16" s="28"/>
      <c r="F16" s="28"/>
      <c r="G16" s="28"/>
      <c r="H16" s="28"/>
      <c r="I16" s="28"/>
      <c r="J16" s="54"/>
    </row>
    <row r="17" spans="1:10">
      <c r="A17" s="104">
        <v>7</v>
      </c>
      <c r="B17" s="110">
        <v>34710</v>
      </c>
      <c r="C17" s="111">
        <v>3.125</v>
      </c>
      <c r="D17" s="29"/>
      <c r="E17" s="29"/>
      <c r="F17" s="29"/>
      <c r="G17" s="29"/>
      <c r="H17" s="29"/>
      <c r="I17" s="29"/>
      <c r="J17" s="57"/>
    </row>
    <row r="18" spans="1:10">
      <c r="A18" s="104">
        <v>8</v>
      </c>
      <c r="B18" s="110">
        <v>34711</v>
      </c>
      <c r="C18" s="111">
        <v>3.2422</v>
      </c>
      <c r="D18" s="29"/>
      <c r="E18" s="29"/>
      <c r="F18" s="29"/>
      <c r="G18" s="29"/>
      <c r="H18" s="29"/>
      <c r="I18" s="29"/>
      <c r="J18" s="57"/>
    </row>
    <row r="19" spans="1:10">
      <c r="A19" s="103">
        <v>9</v>
      </c>
      <c r="B19" s="109">
        <v>34712</v>
      </c>
      <c r="C19" s="112">
        <v>3.125</v>
      </c>
      <c r="D19" s="28"/>
      <c r="E19" s="28"/>
      <c r="F19" s="28"/>
      <c r="G19" s="28"/>
      <c r="H19" s="28"/>
      <c r="I19" s="28"/>
      <c r="J19" s="54"/>
    </row>
    <row r="20" spans="1:10">
      <c r="A20" s="103">
        <v>10</v>
      </c>
      <c r="B20" s="109">
        <v>34715</v>
      </c>
      <c r="C20" s="112">
        <v>3.375</v>
      </c>
      <c r="D20" s="28"/>
      <c r="E20" s="28"/>
      <c r="F20" s="28"/>
      <c r="G20" s="28"/>
      <c r="H20" s="28"/>
      <c r="I20" s="28"/>
      <c r="J20" s="54"/>
    </row>
    <row r="21" spans="1:10">
      <c r="A21" s="104">
        <v>11</v>
      </c>
      <c r="B21" s="110">
        <v>34716</v>
      </c>
      <c r="C21" s="111">
        <v>3.6093999999999999</v>
      </c>
      <c r="D21" s="29"/>
      <c r="E21" s="29"/>
      <c r="F21" s="29"/>
      <c r="G21" s="29"/>
      <c r="H21" s="29"/>
      <c r="I21" s="29"/>
      <c r="J21" s="57"/>
    </row>
    <row r="22" spans="1:10">
      <c r="A22" s="104">
        <v>12</v>
      </c>
      <c r="B22" s="110">
        <v>34717</v>
      </c>
      <c r="C22" s="111">
        <v>3.5038999999999998</v>
      </c>
      <c r="D22" s="29"/>
      <c r="E22" s="29"/>
      <c r="F22" s="29"/>
      <c r="G22" s="29"/>
      <c r="H22" s="29"/>
      <c r="I22" s="29"/>
      <c r="J22" s="57"/>
    </row>
    <row r="23" spans="1:10">
      <c r="A23" s="103">
        <v>13</v>
      </c>
      <c r="B23" s="109">
        <v>34718</v>
      </c>
      <c r="C23" s="112">
        <v>3.4765999999999999</v>
      </c>
      <c r="D23" s="28"/>
      <c r="E23" s="28"/>
      <c r="F23" s="28"/>
      <c r="G23" s="28"/>
      <c r="H23" s="28"/>
      <c r="I23" s="28"/>
      <c r="J23" s="54"/>
    </row>
    <row r="24" spans="1:10">
      <c r="A24" s="103">
        <v>14</v>
      </c>
      <c r="B24" s="109">
        <v>34719</v>
      </c>
      <c r="C24" s="112">
        <v>3.5390999999999999</v>
      </c>
      <c r="D24" s="108">
        <f>STEYX(C11:C24,A11:A24)</f>
        <v>0.14424725040389588</v>
      </c>
      <c r="E24" s="52"/>
      <c r="F24" s="52"/>
      <c r="G24" s="52"/>
      <c r="H24" s="28"/>
      <c r="I24" s="28"/>
      <c r="J24" s="54"/>
    </row>
    <row r="25" spans="1:10">
      <c r="A25" s="104">
        <v>15</v>
      </c>
      <c r="B25" s="110">
        <v>34722</v>
      </c>
      <c r="C25" s="111">
        <v>3.5156999999999998</v>
      </c>
      <c r="D25" s="107">
        <f t="shared" ref="D25:D49" si="0">STEYX(C12:C25,A12:A25)</f>
        <v>0.14418940587147086</v>
      </c>
      <c r="E25" s="55"/>
      <c r="F25" s="55"/>
      <c r="G25" s="55"/>
      <c r="H25" s="29"/>
      <c r="I25" s="29"/>
      <c r="J25" s="57"/>
    </row>
    <row r="26" spans="1:10">
      <c r="A26" s="104">
        <v>16</v>
      </c>
      <c r="B26" s="110">
        <v>34723</v>
      </c>
      <c r="C26" s="111">
        <v>3.4571000000000001</v>
      </c>
      <c r="D26" s="107">
        <f t="shared" si="0"/>
        <v>0.13028365835245653</v>
      </c>
      <c r="E26" s="55"/>
      <c r="F26" s="55"/>
      <c r="G26" s="55"/>
      <c r="H26" s="29"/>
      <c r="I26" s="29"/>
      <c r="J26" s="57"/>
    </row>
    <row r="27" spans="1:10">
      <c r="A27" s="103">
        <v>17</v>
      </c>
      <c r="B27" s="109">
        <v>34724</v>
      </c>
      <c r="C27" s="112">
        <v>3.3984000000000001</v>
      </c>
      <c r="D27" s="108">
        <f t="shared" si="0"/>
        <v>0.12554067164905253</v>
      </c>
      <c r="E27" s="52"/>
      <c r="F27" s="52"/>
      <c r="G27" s="52"/>
      <c r="H27" s="28"/>
      <c r="I27" s="28"/>
      <c r="J27" s="54"/>
    </row>
    <row r="28" spans="1:10">
      <c r="A28" s="103">
        <v>18</v>
      </c>
      <c r="B28" s="109">
        <v>34725</v>
      </c>
      <c r="C28" s="112">
        <v>3.375</v>
      </c>
      <c r="D28" s="108">
        <f t="shared" si="0"/>
        <v>0.12739149581164427</v>
      </c>
      <c r="E28" s="52"/>
      <c r="F28" s="52"/>
      <c r="G28" s="52"/>
      <c r="H28" s="28"/>
      <c r="I28" s="28"/>
      <c r="J28" s="54"/>
    </row>
    <row r="29" spans="1:10">
      <c r="A29" s="104">
        <v>19</v>
      </c>
      <c r="B29" s="110">
        <v>34726</v>
      </c>
      <c r="C29" s="111">
        <v>3.2968999999999999</v>
      </c>
      <c r="D29" s="107">
        <f t="shared" si="0"/>
        <v>0.14168630948931971</v>
      </c>
      <c r="E29" s="55"/>
      <c r="F29" s="55"/>
      <c r="G29" s="55"/>
      <c r="H29" s="29"/>
      <c r="I29" s="29"/>
      <c r="J29" s="57"/>
    </row>
    <row r="30" spans="1:10">
      <c r="A30" s="104">
        <v>20</v>
      </c>
      <c r="B30" s="110">
        <v>34729</v>
      </c>
      <c r="C30" s="111">
        <v>3.3515999999999999</v>
      </c>
      <c r="D30" s="107">
        <f t="shared" si="0"/>
        <v>0.14517747921949692</v>
      </c>
      <c r="E30" s="55"/>
      <c r="F30" s="55"/>
      <c r="G30" s="55"/>
      <c r="H30" s="29"/>
      <c r="I30" s="29"/>
      <c r="J30" s="57"/>
    </row>
    <row r="31" spans="1:10">
      <c r="A31" s="103">
        <v>21</v>
      </c>
      <c r="B31" s="109">
        <v>34730</v>
      </c>
      <c r="C31" s="112">
        <v>3.4062999999999999</v>
      </c>
      <c r="D31" s="108">
        <f t="shared" si="0"/>
        <v>0.13160855578587566</v>
      </c>
      <c r="E31" s="52"/>
      <c r="F31" s="52"/>
      <c r="G31" s="52"/>
      <c r="H31" s="28"/>
      <c r="I31" s="28"/>
      <c r="J31" s="54"/>
    </row>
    <row r="32" spans="1:10">
      <c r="A32" s="103">
        <v>22</v>
      </c>
      <c r="B32" s="109">
        <v>34731</v>
      </c>
      <c r="C32" s="112">
        <v>3.375</v>
      </c>
      <c r="D32" s="108">
        <f t="shared" si="0"/>
        <v>0.12333274798395891</v>
      </c>
      <c r="E32" s="52"/>
      <c r="F32" s="52"/>
      <c r="G32" s="52"/>
      <c r="H32" s="28"/>
      <c r="I32" s="28"/>
      <c r="J32" s="54"/>
    </row>
    <row r="33" spans="1:10">
      <c r="A33" s="104">
        <v>23</v>
      </c>
      <c r="B33" s="110">
        <v>34732</v>
      </c>
      <c r="C33" s="111">
        <v>3.5312999999999999</v>
      </c>
      <c r="D33" s="107">
        <f t="shared" si="0"/>
        <v>8.3882082855493159E-2</v>
      </c>
      <c r="E33" s="55"/>
      <c r="F33" s="55"/>
      <c r="G33" s="55"/>
      <c r="H33" s="29"/>
      <c r="I33" s="29"/>
      <c r="J33" s="57"/>
    </row>
    <row r="34" spans="1:10">
      <c r="A34" s="104">
        <v>24</v>
      </c>
      <c r="B34" s="110">
        <v>34733</v>
      </c>
      <c r="C34" s="111">
        <v>3.6640999999999999</v>
      </c>
      <c r="D34" s="107">
        <f t="shared" si="0"/>
        <v>0.10596505540522763</v>
      </c>
      <c r="E34" s="55"/>
      <c r="F34" s="55"/>
      <c r="G34" s="55"/>
      <c r="H34" s="29"/>
      <c r="I34" s="29"/>
      <c r="J34" s="57"/>
    </row>
    <row r="35" spans="1:10">
      <c r="A35" s="103">
        <v>25</v>
      </c>
      <c r="B35" s="109">
        <v>34736</v>
      </c>
      <c r="C35" s="112">
        <v>3.8984000000000001</v>
      </c>
      <c r="D35" s="108">
        <f t="shared" si="0"/>
        <v>0.14889024789896055</v>
      </c>
      <c r="E35" s="52"/>
      <c r="F35" s="52"/>
      <c r="G35" s="52"/>
      <c r="H35" s="28"/>
      <c r="I35" s="28"/>
      <c r="J35" s="54"/>
    </row>
    <row r="36" spans="1:10">
      <c r="A36" s="103">
        <v>26</v>
      </c>
      <c r="B36" s="109">
        <v>34737</v>
      </c>
      <c r="C36" s="112">
        <v>3.9375</v>
      </c>
      <c r="D36" s="108">
        <f t="shared" si="0"/>
        <v>0.16794526096713383</v>
      </c>
      <c r="E36" s="52"/>
      <c r="F36" s="52"/>
      <c r="G36" s="52"/>
      <c r="H36" s="28"/>
      <c r="I36" s="28"/>
      <c r="J36" s="54"/>
    </row>
    <row r="37" spans="1:10">
      <c r="A37" s="104">
        <v>27</v>
      </c>
      <c r="B37" s="110">
        <v>34738</v>
      </c>
      <c r="C37" s="111">
        <v>3.9218999999999999</v>
      </c>
      <c r="D37" s="107">
        <f t="shared" si="0"/>
        <v>0.16870473555456231</v>
      </c>
      <c r="E37" s="55"/>
      <c r="F37" s="55"/>
      <c r="G37" s="55"/>
      <c r="H37" s="29"/>
      <c r="I37" s="29"/>
      <c r="J37" s="57"/>
    </row>
    <row r="38" spans="1:10">
      <c r="A38" s="104">
        <v>28</v>
      </c>
      <c r="B38" s="110">
        <v>34739</v>
      </c>
      <c r="C38" s="111">
        <v>4.1172000000000004</v>
      </c>
      <c r="D38" s="107">
        <f t="shared" si="0"/>
        <v>0.16321922356570606</v>
      </c>
      <c r="E38" s="55"/>
      <c r="F38" s="55"/>
      <c r="G38" s="55"/>
      <c r="H38" s="29"/>
      <c r="I38" s="29"/>
      <c r="J38" s="57"/>
    </row>
    <row r="39" spans="1:10">
      <c r="A39" s="103">
        <v>29</v>
      </c>
      <c r="B39" s="109">
        <v>34740</v>
      </c>
      <c r="C39" s="112">
        <v>4.2656000000000001</v>
      </c>
      <c r="D39" s="108">
        <f t="shared" si="0"/>
        <v>0.14844114081249282</v>
      </c>
      <c r="E39" s="52"/>
      <c r="F39" s="52"/>
      <c r="G39" s="52"/>
      <c r="H39" s="28"/>
      <c r="I39" s="28"/>
      <c r="J39" s="54"/>
    </row>
    <row r="40" spans="1:10">
      <c r="A40" s="103">
        <v>30</v>
      </c>
      <c r="B40" s="109">
        <v>34743</v>
      </c>
      <c r="C40" s="112">
        <v>4.2812999999999999</v>
      </c>
      <c r="D40" s="108">
        <f t="shared" si="0"/>
        <v>0.12037644230000288</v>
      </c>
      <c r="E40" s="52"/>
      <c r="F40" s="52"/>
      <c r="G40" s="52"/>
      <c r="H40" s="28"/>
      <c r="I40" s="28"/>
      <c r="J40" s="54"/>
    </row>
    <row r="41" spans="1:10">
      <c r="A41" s="104">
        <v>31</v>
      </c>
      <c r="B41" s="110">
        <v>34744</v>
      </c>
      <c r="C41" s="111">
        <v>4.2266000000000004</v>
      </c>
      <c r="D41" s="107">
        <f t="shared" si="0"/>
        <v>9.8987657979338714E-2</v>
      </c>
      <c r="E41" s="55"/>
      <c r="F41" s="55"/>
      <c r="G41" s="55"/>
      <c r="H41" s="29"/>
      <c r="I41" s="29"/>
      <c r="J41" s="57"/>
    </row>
    <row r="42" spans="1:10">
      <c r="A42" s="104">
        <v>32</v>
      </c>
      <c r="B42" s="110">
        <v>34745</v>
      </c>
      <c r="C42" s="111">
        <v>4.2812999999999999</v>
      </c>
      <c r="D42" s="107">
        <f t="shared" si="0"/>
        <v>8.908753702256729E-2</v>
      </c>
      <c r="E42" s="55"/>
      <c r="F42" s="55"/>
      <c r="G42" s="55"/>
      <c r="H42" s="29"/>
      <c r="I42" s="29"/>
      <c r="J42" s="57"/>
    </row>
    <row r="43" spans="1:10">
      <c r="A43" s="103">
        <v>33</v>
      </c>
      <c r="B43" s="109">
        <v>34746</v>
      </c>
      <c r="C43" s="112">
        <v>4.25</v>
      </c>
      <c r="D43" s="108">
        <f t="shared" si="0"/>
        <v>0.10725764991459331</v>
      </c>
      <c r="E43" s="52"/>
      <c r="F43" s="52"/>
      <c r="G43" s="52"/>
      <c r="H43" s="28"/>
      <c r="I43" s="28"/>
      <c r="J43" s="54"/>
    </row>
    <row r="44" spans="1:10">
      <c r="A44" s="103">
        <v>34</v>
      </c>
      <c r="B44" s="109">
        <v>34747</v>
      </c>
      <c r="C44" s="112">
        <v>4.0625</v>
      </c>
      <c r="D44" s="108">
        <f t="shared" si="0"/>
        <v>0.15593882381528279</v>
      </c>
      <c r="E44" s="52"/>
      <c r="F44" s="52"/>
      <c r="G44" s="52"/>
      <c r="H44" s="28"/>
      <c r="I44" s="28"/>
      <c r="J44" s="54"/>
    </row>
    <row r="45" spans="1:10">
      <c r="A45" s="104">
        <v>35</v>
      </c>
      <c r="B45" s="110">
        <v>34751</v>
      </c>
      <c r="C45" s="111">
        <v>4.1562999999999999</v>
      </c>
      <c r="D45" s="107">
        <f t="shared" si="0"/>
        <v>0.17055780057504352</v>
      </c>
      <c r="E45" s="55"/>
      <c r="F45" s="55"/>
      <c r="G45" s="55"/>
      <c r="H45" s="29"/>
      <c r="I45" s="29"/>
      <c r="J45" s="57"/>
    </row>
    <row r="46" spans="1:10">
      <c r="A46" s="104">
        <v>36</v>
      </c>
      <c r="B46" s="110">
        <v>34752</v>
      </c>
      <c r="C46" s="111">
        <v>4.2305000000000001</v>
      </c>
      <c r="D46" s="107">
        <f t="shared" si="0"/>
        <v>0.15515579386527401</v>
      </c>
      <c r="E46" s="55"/>
      <c r="F46" s="55"/>
      <c r="G46" s="55"/>
      <c r="H46" s="29"/>
      <c r="I46" s="29"/>
      <c r="J46" s="57"/>
    </row>
    <row r="47" spans="1:10">
      <c r="A47" s="103">
        <v>37</v>
      </c>
      <c r="B47" s="109">
        <v>34753</v>
      </c>
      <c r="C47" s="112">
        <v>4.3906000000000001</v>
      </c>
      <c r="D47" s="108">
        <f t="shared" si="0"/>
        <v>0.13364152814135302</v>
      </c>
      <c r="E47" s="52"/>
      <c r="F47" s="52"/>
      <c r="G47" s="52"/>
      <c r="H47" s="28"/>
      <c r="I47" s="28"/>
      <c r="J47" s="54"/>
    </row>
    <row r="48" spans="1:10">
      <c r="A48" s="103">
        <v>38</v>
      </c>
      <c r="B48" s="109">
        <v>34754</v>
      </c>
      <c r="C48" s="112">
        <v>4.375</v>
      </c>
      <c r="D48" s="108">
        <f t="shared" si="0"/>
        <v>0.11216620507282737</v>
      </c>
      <c r="E48" s="52"/>
      <c r="F48" s="52"/>
      <c r="G48" s="52"/>
      <c r="H48" s="28"/>
      <c r="I48" s="28"/>
      <c r="J48" s="54"/>
    </row>
    <row r="49" spans="1:10">
      <c r="A49" s="104">
        <v>39</v>
      </c>
      <c r="B49" s="110">
        <v>34757</v>
      </c>
      <c r="C49" s="111">
        <v>4.2656000000000001</v>
      </c>
      <c r="D49" s="107">
        <f t="shared" si="0"/>
        <v>0.11172627582902202</v>
      </c>
      <c r="E49" s="55"/>
      <c r="F49" s="55"/>
      <c r="G49" s="55"/>
      <c r="H49" s="29"/>
      <c r="I49" s="29"/>
      <c r="J49" s="57"/>
    </row>
    <row r="51" spans="1:10">
      <c r="A51" t="s">
        <v>8</v>
      </c>
    </row>
    <row r="52" spans="1:10">
      <c r="A52" t="s">
        <v>588</v>
      </c>
    </row>
  </sheetData>
  <mergeCells count="3">
    <mergeCell ref="B6:J6"/>
    <mergeCell ref="B7:J7"/>
    <mergeCell ref="B8:J8"/>
  </mergeCells>
  <phoneticPr fontId="0"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55298" r:id="rId3" name="Button 2">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55299" r:id="rId4" name="Button 3">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55300" r:id="rId5" name="Button 4">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55301" r:id="rId6" name="Button 5">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55302" r:id="rId7" name="Button 6">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55303" r:id="rId8" name="Button 7">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55304" r:id="rId9" name="Button 8">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55305" r:id="rId10" name="Button 9">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enableFormatConditionsCalculation="0"/>
  <dimension ref="A1:N1130"/>
  <sheetViews>
    <sheetView workbookViewId="0"/>
  </sheetViews>
  <sheetFormatPr baseColWidth="10" defaultColWidth="8.83203125" defaultRowHeight="12" x14ac:dyDescent="0"/>
  <cols>
    <col min="1" max="1" width="11.5" customWidth="1"/>
    <col min="2" max="2" width="11" customWidth="1"/>
    <col min="4" max="4" width="15.33203125" customWidth="1"/>
    <col min="5" max="5" width="13.5" customWidth="1"/>
    <col min="6" max="7" width="11.5" customWidth="1"/>
    <col min="8" max="8" width="12.8320312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831</v>
      </c>
      <c r="C3" s="21"/>
      <c r="D3" s="21"/>
      <c r="E3" s="21"/>
      <c r="F3" s="21"/>
      <c r="G3" s="21"/>
      <c r="H3" s="21"/>
      <c r="I3" s="21"/>
      <c r="J3" s="21"/>
      <c r="K3" s="21"/>
    </row>
    <row r="4" spans="1:14">
      <c r="A4" s="19" t="s">
        <v>774</v>
      </c>
      <c r="B4" s="20" t="s">
        <v>422</v>
      </c>
      <c r="C4" s="21"/>
      <c r="D4" s="21"/>
      <c r="E4" s="21"/>
      <c r="F4" s="21"/>
      <c r="G4" s="21"/>
      <c r="H4" s="21"/>
      <c r="I4" s="21"/>
      <c r="J4" s="21"/>
      <c r="K4" s="21"/>
    </row>
    <row r="5" spans="1:14" ht="47.25" customHeight="1">
      <c r="A5" s="118" t="s">
        <v>779</v>
      </c>
      <c r="B5" s="452" t="s">
        <v>6</v>
      </c>
      <c r="C5" s="453"/>
      <c r="D5" s="453"/>
      <c r="E5" s="453"/>
      <c r="F5" s="453"/>
      <c r="G5" s="453"/>
      <c r="H5" s="453"/>
      <c r="I5" s="453"/>
      <c r="J5" s="453"/>
      <c r="K5" s="453"/>
      <c r="L5" s="241"/>
    </row>
    <row r="6" spans="1:14">
      <c r="A6" s="19" t="s">
        <v>635</v>
      </c>
      <c r="B6" s="187" t="s">
        <v>219</v>
      </c>
      <c r="C6" s="21"/>
      <c r="D6" s="21"/>
      <c r="E6" s="21"/>
      <c r="F6" s="21"/>
      <c r="G6" s="21"/>
      <c r="H6" s="21"/>
      <c r="I6" s="21"/>
      <c r="J6" s="21"/>
      <c r="K6" s="21"/>
    </row>
    <row r="7" spans="1:14" s="11" customFormat="1" ht="79.5" customHeight="1">
      <c r="A7" s="22"/>
      <c r="B7" s="22" t="s">
        <v>1090</v>
      </c>
      <c r="C7" s="22" t="s">
        <v>1098</v>
      </c>
      <c r="D7" s="31" t="s">
        <v>217</v>
      </c>
      <c r="E7" s="31" t="s">
        <v>218</v>
      </c>
      <c r="F7" s="31" t="s">
        <v>594</v>
      </c>
      <c r="G7" s="31" t="s">
        <v>529</v>
      </c>
      <c r="H7" s="31" t="s">
        <v>595</v>
      </c>
      <c r="I7" s="22"/>
      <c r="J7" s="22"/>
      <c r="K7" s="22"/>
    </row>
    <row r="8" spans="1:14">
      <c r="A8" s="103">
        <v>1</v>
      </c>
      <c r="B8" s="109">
        <v>34702</v>
      </c>
      <c r="C8" s="112">
        <v>3.2968999999999999</v>
      </c>
      <c r="D8" s="28"/>
      <c r="E8" s="28"/>
      <c r="F8" s="28"/>
      <c r="G8" s="28"/>
      <c r="H8" s="28"/>
      <c r="I8" s="28"/>
      <c r="J8" s="28"/>
      <c r="K8" s="54"/>
    </row>
    <row r="9" spans="1:14">
      <c r="A9" s="103">
        <v>2</v>
      </c>
      <c r="B9" s="105">
        <v>34703</v>
      </c>
      <c r="C9" s="167">
        <v>3.4531999999999998</v>
      </c>
      <c r="D9" s="101"/>
      <c r="E9" s="101"/>
      <c r="F9" s="101"/>
      <c r="G9" s="101"/>
      <c r="H9" s="101"/>
      <c r="I9" s="101"/>
      <c r="J9" s="101"/>
      <c r="K9" s="102"/>
    </row>
    <row r="10" spans="1:14">
      <c r="A10" s="104">
        <v>3</v>
      </c>
      <c r="B10" s="110">
        <v>34704</v>
      </c>
      <c r="C10" s="111">
        <v>3.3906999999999998</v>
      </c>
      <c r="D10" s="29"/>
      <c r="E10" s="29"/>
      <c r="F10" s="29"/>
      <c r="G10" s="29"/>
      <c r="H10" s="29"/>
      <c r="I10" s="29"/>
      <c r="J10" s="29"/>
      <c r="K10" s="57"/>
    </row>
    <row r="11" spans="1:14">
      <c r="A11" s="104">
        <v>4</v>
      </c>
      <c r="B11" s="110">
        <v>34705</v>
      </c>
      <c r="C11" s="111">
        <v>3.3515999999999999</v>
      </c>
      <c r="D11" s="29"/>
      <c r="E11" s="29"/>
      <c r="F11" s="29"/>
      <c r="G11" s="29"/>
      <c r="H11" s="29"/>
      <c r="I11" s="29"/>
      <c r="J11" s="29"/>
      <c r="K11" s="57"/>
    </row>
    <row r="12" spans="1:14">
      <c r="A12" s="103">
        <v>5</v>
      </c>
      <c r="B12" s="109">
        <v>34708</v>
      </c>
      <c r="C12" s="112">
        <v>3.2812999999999999</v>
      </c>
      <c r="D12" s="28"/>
      <c r="E12" s="28"/>
      <c r="F12" s="28"/>
      <c r="G12" s="28"/>
      <c r="H12" s="28"/>
      <c r="I12" s="28"/>
      <c r="J12" s="28"/>
      <c r="K12" s="54"/>
    </row>
    <row r="13" spans="1:14">
      <c r="A13" s="103">
        <v>6</v>
      </c>
      <c r="B13" s="109">
        <v>34709</v>
      </c>
      <c r="C13" s="112">
        <v>3.2031999999999998</v>
      </c>
      <c r="D13" s="28"/>
      <c r="E13" s="28"/>
      <c r="F13" s="28"/>
      <c r="G13" s="28"/>
      <c r="H13" s="28"/>
      <c r="I13" s="28"/>
      <c r="J13" s="28"/>
      <c r="K13" s="54"/>
    </row>
    <row r="14" spans="1:14">
      <c r="A14" s="104">
        <v>7</v>
      </c>
      <c r="B14" s="110">
        <v>34710</v>
      </c>
      <c r="C14" s="111">
        <v>3.125</v>
      </c>
      <c r="D14" s="29"/>
      <c r="E14" s="29"/>
      <c r="F14" s="29"/>
      <c r="G14" s="29"/>
      <c r="H14" s="29"/>
      <c r="I14" s="29"/>
      <c r="J14" s="29"/>
      <c r="K14" s="57"/>
    </row>
    <row r="15" spans="1:14">
      <c r="A15" s="104">
        <v>8</v>
      </c>
      <c r="B15" s="110">
        <v>34711</v>
      </c>
      <c r="C15" s="111">
        <v>3.2422</v>
      </c>
      <c r="D15" s="29"/>
      <c r="E15" s="29"/>
      <c r="F15" s="29"/>
      <c r="G15" s="29"/>
      <c r="H15" s="29"/>
      <c r="I15" s="29"/>
      <c r="J15" s="29"/>
      <c r="K15" s="57"/>
    </row>
    <row r="16" spans="1:14">
      <c r="A16" s="103">
        <v>9</v>
      </c>
      <c r="B16" s="109">
        <v>34712</v>
      </c>
      <c r="C16" s="112">
        <v>3.125</v>
      </c>
      <c r="D16" s="28"/>
      <c r="E16" s="28"/>
      <c r="F16" s="28"/>
      <c r="G16" s="28"/>
      <c r="H16" s="28"/>
      <c r="I16" s="28"/>
      <c r="J16" s="28"/>
      <c r="K16" s="54"/>
    </row>
    <row r="17" spans="1:11">
      <c r="A17" s="103">
        <v>10</v>
      </c>
      <c r="B17" s="109">
        <v>34715</v>
      </c>
      <c r="C17" s="112">
        <v>3.375</v>
      </c>
      <c r="D17" s="28"/>
      <c r="E17" s="28"/>
      <c r="F17" s="28"/>
      <c r="G17" s="28"/>
      <c r="H17" s="28"/>
      <c r="I17" s="28"/>
      <c r="J17" s="28"/>
      <c r="K17" s="54"/>
    </row>
    <row r="18" spans="1:11">
      <c r="A18" s="104">
        <v>11</v>
      </c>
      <c r="B18" s="110">
        <v>34716</v>
      </c>
      <c r="C18" s="111">
        <v>3.6093999999999999</v>
      </c>
      <c r="D18" s="29"/>
      <c r="E18" s="29"/>
      <c r="F18" s="29"/>
      <c r="G18" s="29"/>
      <c r="H18" s="29"/>
      <c r="I18" s="29"/>
      <c r="J18" s="29"/>
      <c r="K18" s="57"/>
    </row>
    <row r="19" spans="1:11">
      <c r="A19" s="104">
        <v>12</v>
      </c>
      <c r="B19" s="110">
        <v>34717</v>
      </c>
      <c r="C19" s="111">
        <v>3.5038999999999998</v>
      </c>
      <c r="D19" s="29"/>
      <c r="E19" s="29"/>
      <c r="F19" s="29"/>
      <c r="G19" s="29"/>
      <c r="H19" s="29"/>
      <c r="I19" s="29"/>
      <c r="J19" s="29"/>
      <c r="K19" s="57"/>
    </row>
    <row r="20" spans="1:11">
      <c r="A20" s="103">
        <v>13</v>
      </c>
      <c r="B20" s="109">
        <v>34718</v>
      </c>
      <c r="C20" s="112">
        <v>3.4765999999999999</v>
      </c>
      <c r="D20" s="28"/>
      <c r="E20" s="28"/>
      <c r="F20" s="28"/>
      <c r="G20" s="28"/>
      <c r="H20" s="28"/>
      <c r="I20" s="28"/>
      <c r="J20" s="28"/>
      <c r="K20" s="54"/>
    </row>
    <row r="21" spans="1:11">
      <c r="A21" s="103">
        <v>14</v>
      </c>
      <c r="B21" s="109">
        <v>34719</v>
      </c>
      <c r="C21" s="112">
        <v>3.5390999999999999</v>
      </c>
      <c r="D21" s="108">
        <f>STEYX(C8:C21,A8:A21)</f>
        <v>0.14424725040389588</v>
      </c>
      <c r="E21" s="52">
        <f>FORECAST(A21,C8:C21,A8:A21)</f>
        <v>3.4492285714285713</v>
      </c>
      <c r="F21" s="52">
        <f>2*D21</f>
        <v>0.28849450080779176</v>
      </c>
      <c r="G21" s="52">
        <f>E21+F21</f>
        <v>3.737723072236363</v>
      </c>
      <c r="H21" s="52">
        <f>E21-F21</f>
        <v>3.1607340706207796</v>
      </c>
      <c r="I21" s="28"/>
      <c r="J21" s="28"/>
      <c r="K21" s="54"/>
    </row>
    <row r="22" spans="1:11">
      <c r="A22" s="104">
        <v>15</v>
      </c>
      <c r="B22" s="110">
        <v>34722</v>
      </c>
      <c r="C22" s="111">
        <v>3.5156999999999998</v>
      </c>
      <c r="D22" s="107">
        <f t="shared" ref="D22:D37" si="0">STEYX(C9:C22,A9:A22)</f>
        <v>0.14418940587147086</v>
      </c>
      <c r="E22" s="55">
        <f t="shared" ref="E22:E37" si="1">FORECAST(A22,C9:C22,A9:A22)</f>
        <v>3.4821628571428569</v>
      </c>
      <c r="F22" s="55">
        <f t="shared" ref="F22:F46" si="2">2*D22</f>
        <v>0.28837881174294172</v>
      </c>
      <c r="G22" s="55">
        <f t="shared" ref="G22:G46" si="3">E22+F22</f>
        <v>3.7705416688857984</v>
      </c>
      <c r="H22" s="55">
        <f t="shared" ref="H22:H46" si="4">E22-F22</f>
        <v>3.1937840453999153</v>
      </c>
      <c r="I22" s="29"/>
      <c r="J22" s="29"/>
      <c r="K22" s="57"/>
    </row>
    <row r="23" spans="1:11">
      <c r="A23" s="104">
        <v>16</v>
      </c>
      <c r="B23" s="110">
        <v>34723</v>
      </c>
      <c r="C23" s="111">
        <v>3.4571000000000001</v>
      </c>
      <c r="D23" s="107">
        <f t="shared" si="0"/>
        <v>0.13028365835245653</v>
      </c>
      <c r="E23" s="55">
        <f t="shared" si="1"/>
        <v>3.5161057142857142</v>
      </c>
      <c r="F23" s="55">
        <f t="shared" si="2"/>
        <v>0.26056731670491307</v>
      </c>
      <c r="G23" s="55">
        <f t="shared" si="3"/>
        <v>3.7766730309906271</v>
      </c>
      <c r="H23" s="55">
        <f t="shared" si="4"/>
        <v>3.2555383975808012</v>
      </c>
      <c r="I23" s="29"/>
      <c r="J23" s="29"/>
      <c r="K23" s="57"/>
    </row>
    <row r="24" spans="1:11">
      <c r="A24" s="103">
        <v>17</v>
      </c>
      <c r="B24" s="109">
        <v>34724</v>
      </c>
      <c r="C24" s="112">
        <v>3.3984000000000001</v>
      </c>
      <c r="D24" s="108">
        <f t="shared" si="0"/>
        <v>0.12554067164905253</v>
      </c>
      <c r="E24" s="52">
        <f t="shared" si="1"/>
        <v>3.5259142857142853</v>
      </c>
      <c r="F24" s="52">
        <f t="shared" si="2"/>
        <v>0.25108134329810505</v>
      </c>
      <c r="G24" s="52">
        <f t="shared" si="3"/>
        <v>3.7769956290123905</v>
      </c>
      <c r="H24" s="52">
        <f t="shared" si="4"/>
        <v>3.2748329424161802</v>
      </c>
      <c r="I24" s="28"/>
      <c r="J24" s="28"/>
      <c r="K24" s="54"/>
    </row>
    <row r="25" spans="1:11">
      <c r="A25" s="103">
        <v>18</v>
      </c>
      <c r="B25" s="109">
        <v>34725</v>
      </c>
      <c r="C25" s="112">
        <v>3.375</v>
      </c>
      <c r="D25" s="108">
        <f t="shared" si="0"/>
        <v>0.12739149581164427</v>
      </c>
      <c r="E25" s="52">
        <f t="shared" si="1"/>
        <v>3.5239000000000007</v>
      </c>
      <c r="F25" s="52">
        <f t="shared" si="2"/>
        <v>0.25478299162328855</v>
      </c>
      <c r="G25" s="52">
        <f t="shared" si="3"/>
        <v>3.7786829916232891</v>
      </c>
      <c r="H25" s="52">
        <f t="shared" si="4"/>
        <v>3.2691170083767123</v>
      </c>
      <c r="I25" s="28"/>
      <c r="J25" s="28"/>
      <c r="K25" s="54"/>
    </row>
    <row r="26" spans="1:11">
      <c r="A26" s="104">
        <v>19</v>
      </c>
      <c r="B26" s="110">
        <v>34726</v>
      </c>
      <c r="C26" s="111">
        <v>3.2968999999999999</v>
      </c>
      <c r="D26" s="107">
        <f t="shared" si="0"/>
        <v>0.14168630948931971</v>
      </c>
      <c r="E26" s="55">
        <f t="shared" si="1"/>
        <v>3.491091428571429</v>
      </c>
      <c r="F26" s="55">
        <f t="shared" si="2"/>
        <v>0.28337261897863941</v>
      </c>
      <c r="G26" s="55">
        <f t="shared" si="3"/>
        <v>3.7744640475500684</v>
      </c>
      <c r="H26" s="55">
        <f t="shared" si="4"/>
        <v>3.2077188095927895</v>
      </c>
      <c r="I26" s="29"/>
      <c r="J26" s="29"/>
      <c r="K26" s="57"/>
    </row>
    <row r="27" spans="1:11">
      <c r="A27" s="104">
        <v>20</v>
      </c>
      <c r="B27" s="110">
        <v>34729</v>
      </c>
      <c r="C27" s="111">
        <v>3.3515999999999999</v>
      </c>
      <c r="D27" s="107">
        <f t="shared" si="0"/>
        <v>0.14517747921949692</v>
      </c>
      <c r="E27" s="55">
        <f t="shared" si="1"/>
        <v>3.4607457142857143</v>
      </c>
      <c r="F27" s="55">
        <f t="shared" si="2"/>
        <v>0.29035495843899384</v>
      </c>
      <c r="G27" s="55">
        <f t="shared" si="3"/>
        <v>3.751100672724708</v>
      </c>
      <c r="H27" s="55">
        <f t="shared" si="4"/>
        <v>3.1703907558467206</v>
      </c>
      <c r="I27" s="29"/>
      <c r="J27" s="29"/>
      <c r="K27" s="57"/>
    </row>
    <row r="28" spans="1:11">
      <c r="A28" s="103">
        <v>21</v>
      </c>
      <c r="B28" s="109">
        <v>34730</v>
      </c>
      <c r="C28" s="112">
        <v>3.4062999999999999</v>
      </c>
      <c r="D28" s="108">
        <f t="shared" si="0"/>
        <v>0.13160855578587566</v>
      </c>
      <c r="E28" s="52">
        <f t="shared" si="1"/>
        <v>3.4290542857142858</v>
      </c>
      <c r="F28" s="52">
        <f t="shared" si="2"/>
        <v>0.26321711157175132</v>
      </c>
      <c r="G28" s="52">
        <f t="shared" si="3"/>
        <v>3.6922713972860373</v>
      </c>
      <c r="H28" s="52">
        <f t="shared" si="4"/>
        <v>3.1658371741425344</v>
      </c>
      <c r="I28" s="28"/>
      <c r="J28" s="28"/>
      <c r="K28" s="54"/>
    </row>
    <row r="29" spans="1:11">
      <c r="A29" s="103">
        <v>22</v>
      </c>
      <c r="B29" s="109">
        <v>34731</v>
      </c>
      <c r="C29" s="112">
        <v>3.375</v>
      </c>
      <c r="D29" s="108">
        <f t="shared" si="0"/>
        <v>0.12333274798395891</v>
      </c>
      <c r="E29" s="52">
        <f t="shared" si="1"/>
        <v>3.3980199999999998</v>
      </c>
      <c r="F29" s="52">
        <f t="shared" si="2"/>
        <v>0.24666549596791781</v>
      </c>
      <c r="G29" s="52">
        <f t="shared" si="3"/>
        <v>3.6446854959679178</v>
      </c>
      <c r="H29" s="52">
        <f t="shared" si="4"/>
        <v>3.1513545040320818</v>
      </c>
      <c r="I29" s="28"/>
      <c r="J29" s="28"/>
      <c r="K29" s="54"/>
    </row>
    <row r="30" spans="1:11">
      <c r="A30" s="104">
        <v>23</v>
      </c>
      <c r="B30" s="110">
        <v>34732</v>
      </c>
      <c r="C30" s="111">
        <v>3.5312999999999999</v>
      </c>
      <c r="D30" s="107">
        <f t="shared" si="0"/>
        <v>8.3882082855493159E-2</v>
      </c>
      <c r="E30" s="55">
        <f t="shared" si="1"/>
        <v>3.3866399999999994</v>
      </c>
      <c r="F30" s="55">
        <f t="shared" si="2"/>
        <v>0.16776416571098632</v>
      </c>
      <c r="G30" s="55">
        <f t="shared" si="3"/>
        <v>3.5544041657109857</v>
      </c>
      <c r="H30" s="55">
        <f t="shared" si="4"/>
        <v>3.2188758342890131</v>
      </c>
      <c r="I30" s="29"/>
      <c r="J30" s="29"/>
      <c r="K30" s="57"/>
    </row>
    <row r="31" spans="1:11">
      <c r="A31" s="104">
        <v>24</v>
      </c>
      <c r="B31" s="110">
        <v>34733</v>
      </c>
      <c r="C31" s="111">
        <v>3.6640999999999999</v>
      </c>
      <c r="D31" s="107">
        <f t="shared" si="0"/>
        <v>0.10596505540522763</v>
      </c>
      <c r="E31" s="55">
        <f t="shared" si="1"/>
        <v>3.4335142857142857</v>
      </c>
      <c r="F31" s="55">
        <f t="shared" si="2"/>
        <v>0.21193011081045526</v>
      </c>
      <c r="G31" s="55">
        <f t="shared" si="3"/>
        <v>3.6454443965247409</v>
      </c>
      <c r="H31" s="55">
        <f t="shared" si="4"/>
        <v>3.2215841749038305</v>
      </c>
      <c r="I31" s="29"/>
      <c r="J31" s="29"/>
      <c r="K31" s="57"/>
    </row>
    <row r="32" spans="1:11">
      <c r="A32" s="103">
        <v>25</v>
      </c>
      <c r="B32" s="109">
        <v>34736</v>
      </c>
      <c r="C32" s="112">
        <v>3.8984000000000001</v>
      </c>
      <c r="D32" s="108">
        <f t="shared" si="0"/>
        <v>0.14889024789896055</v>
      </c>
      <c r="E32" s="52">
        <f t="shared" si="1"/>
        <v>3.5658628571428577</v>
      </c>
      <c r="F32" s="52">
        <f t="shared" si="2"/>
        <v>0.2977804957979211</v>
      </c>
      <c r="G32" s="52">
        <f t="shared" si="3"/>
        <v>3.8636433529407785</v>
      </c>
      <c r="H32" s="52">
        <f t="shared" si="4"/>
        <v>3.2680823613449368</v>
      </c>
      <c r="I32" s="28"/>
      <c r="J32" s="28"/>
      <c r="K32" s="54"/>
    </row>
    <row r="33" spans="1:11">
      <c r="A33" s="103">
        <v>26</v>
      </c>
      <c r="B33" s="109">
        <v>34737</v>
      </c>
      <c r="C33" s="112">
        <v>3.9375</v>
      </c>
      <c r="D33" s="108">
        <f t="shared" si="0"/>
        <v>0.16794526096713383</v>
      </c>
      <c r="E33" s="52">
        <f t="shared" si="1"/>
        <v>3.6849371428571431</v>
      </c>
      <c r="F33" s="52">
        <f t="shared" si="2"/>
        <v>0.33589052193426766</v>
      </c>
      <c r="G33" s="52">
        <f t="shared" si="3"/>
        <v>4.020827664791411</v>
      </c>
      <c r="H33" s="52">
        <f t="shared" si="4"/>
        <v>3.3490466209228753</v>
      </c>
      <c r="I33" s="28"/>
      <c r="J33" s="28"/>
      <c r="K33" s="54"/>
    </row>
    <row r="34" spans="1:11">
      <c r="A34" s="104">
        <v>27</v>
      </c>
      <c r="B34" s="110">
        <v>34738</v>
      </c>
      <c r="C34" s="111">
        <v>3.9218999999999999</v>
      </c>
      <c r="D34" s="107">
        <f t="shared" si="0"/>
        <v>0.16870473555456231</v>
      </c>
      <c r="E34" s="55">
        <f t="shared" si="1"/>
        <v>3.7837114285714288</v>
      </c>
      <c r="F34" s="55">
        <f t="shared" si="2"/>
        <v>0.33740947110912461</v>
      </c>
      <c r="G34" s="55">
        <f t="shared" si="3"/>
        <v>4.1211208996805535</v>
      </c>
      <c r="H34" s="55">
        <f t="shared" si="4"/>
        <v>3.4463019574623042</v>
      </c>
      <c r="I34" s="29"/>
      <c r="J34" s="29"/>
      <c r="K34" s="57"/>
    </row>
    <row r="35" spans="1:11">
      <c r="A35" s="104">
        <v>28</v>
      </c>
      <c r="B35" s="110">
        <v>34739</v>
      </c>
      <c r="C35" s="111">
        <v>4.1172000000000004</v>
      </c>
      <c r="D35" s="107">
        <f t="shared" si="0"/>
        <v>0.16321922356570606</v>
      </c>
      <c r="E35" s="55">
        <f t="shared" si="1"/>
        <v>3.9289114285714293</v>
      </c>
      <c r="F35" s="55">
        <f t="shared" si="2"/>
        <v>0.32643844713141212</v>
      </c>
      <c r="G35" s="55">
        <f t="shared" si="3"/>
        <v>4.2553498757028416</v>
      </c>
      <c r="H35" s="55">
        <f t="shared" si="4"/>
        <v>3.6024729814400169</v>
      </c>
      <c r="I35" s="29"/>
      <c r="J35" s="29"/>
      <c r="K35" s="57"/>
    </row>
    <row r="36" spans="1:11">
      <c r="A36" s="103">
        <v>29</v>
      </c>
      <c r="B36" s="109">
        <v>34740</v>
      </c>
      <c r="C36" s="112">
        <v>4.2656000000000001</v>
      </c>
      <c r="D36" s="108">
        <f t="shared" si="0"/>
        <v>0.14844114081249282</v>
      </c>
      <c r="E36" s="52">
        <f t="shared" si="1"/>
        <v>4.0924114285714284</v>
      </c>
      <c r="F36" s="52">
        <f t="shared" si="2"/>
        <v>0.29688228162498564</v>
      </c>
      <c r="G36" s="52">
        <f t="shared" si="3"/>
        <v>4.389293710196414</v>
      </c>
      <c r="H36" s="52">
        <f t="shared" si="4"/>
        <v>3.7955291469464427</v>
      </c>
      <c r="I36" s="28"/>
      <c r="J36" s="28"/>
      <c r="K36" s="54"/>
    </row>
    <row r="37" spans="1:11">
      <c r="A37" s="103">
        <v>30</v>
      </c>
      <c r="B37" s="109">
        <v>34743</v>
      </c>
      <c r="C37" s="112">
        <v>4.2812999999999999</v>
      </c>
      <c r="D37" s="108">
        <f t="shared" si="0"/>
        <v>0.12037644230000288</v>
      </c>
      <c r="E37" s="52">
        <f t="shared" si="1"/>
        <v>4.2301514285714283</v>
      </c>
      <c r="F37" s="52">
        <f t="shared" si="2"/>
        <v>0.24075288460000577</v>
      </c>
      <c r="G37" s="52">
        <f t="shared" si="3"/>
        <v>4.4709043131714346</v>
      </c>
      <c r="H37" s="52">
        <f t="shared" si="4"/>
        <v>3.9893985439714226</v>
      </c>
      <c r="I37" s="28"/>
      <c r="J37" s="28"/>
      <c r="K37" s="54"/>
    </row>
    <row r="38" spans="1:11">
      <c r="A38" s="104">
        <v>31</v>
      </c>
      <c r="B38" s="110">
        <v>34744</v>
      </c>
      <c r="C38" s="111">
        <v>4.2266000000000004</v>
      </c>
      <c r="D38" s="107">
        <f t="shared" ref="D38:D46" si="5">STEYX(C25:C38,A25:A38)</f>
        <v>9.8987657979338714E-2</v>
      </c>
      <c r="E38" s="55">
        <f t="shared" ref="E38:E46" si="6">FORECAST(A38,C25:C38,A25:A38)</f>
        <v>4.3218914285714289</v>
      </c>
      <c r="F38" s="55">
        <f t="shared" si="2"/>
        <v>0.19797531595867743</v>
      </c>
      <c r="G38" s="55">
        <f t="shared" si="3"/>
        <v>4.5198667445301064</v>
      </c>
      <c r="H38" s="55">
        <f t="shared" si="4"/>
        <v>4.1239161126127515</v>
      </c>
      <c r="I38" s="29"/>
      <c r="J38" s="29"/>
      <c r="K38" s="57"/>
    </row>
    <row r="39" spans="1:11">
      <c r="A39" s="104">
        <v>32</v>
      </c>
      <c r="B39" s="110">
        <v>34745</v>
      </c>
      <c r="C39" s="111">
        <v>4.2812999999999999</v>
      </c>
      <c r="D39" s="107">
        <f t="shared" si="5"/>
        <v>8.908753702256729E-2</v>
      </c>
      <c r="E39" s="55">
        <f t="shared" si="6"/>
        <v>4.4006914285714291</v>
      </c>
      <c r="F39" s="55">
        <f t="shared" si="2"/>
        <v>0.17817507404513458</v>
      </c>
      <c r="G39" s="55">
        <f t="shared" si="3"/>
        <v>4.578866502616564</v>
      </c>
      <c r="H39" s="55">
        <f t="shared" si="4"/>
        <v>4.2225163545262943</v>
      </c>
      <c r="I39" s="29"/>
      <c r="J39" s="29"/>
      <c r="K39" s="57"/>
    </row>
    <row r="40" spans="1:11">
      <c r="A40" s="103">
        <v>33</v>
      </c>
      <c r="B40" s="109">
        <v>34746</v>
      </c>
      <c r="C40" s="112">
        <v>4.25</v>
      </c>
      <c r="D40" s="108">
        <f t="shared" si="5"/>
        <v>0.10725764991459331</v>
      </c>
      <c r="E40" s="52">
        <f t="shared" si="6"/>
        <v>4.4343914285714288</v>
      </c>
      <c r="F40" s="52">
        <f t="shared" si="2"/>
        <v>0.21451529982918663</v>
      </c>
      <c r="G40" s="52">
        <f t="shared" si="3"/>
        <v>4.6489067284006156</v>
      </c>
      <c r="H40" s="52">
        <f t="shared" si="4"/>
        <v>4.2198761287422419</v>
      </c>
      <c r="I40" s="28"/>
      <c r="J40" s="28"/>
      <c r="K40" s="54"/>
    </row>
    <row r="41" spans="1:11">
      <c r="A41" s="103">
        <v>34</v>
      </c>
      <c r="B41" s="109">
        <v>34747</v>
      </c>
      <c r="C41" s="112">
        <v>4.0625</v>
      </c>
      <c r="D41" s="108">
        <f t="shared" si="5"/>
        <v>0.15593882381528279</v>
      </c>
      <c r="E41" s="52">
        <f t="shared" si="6"/>
        <v>4.4004599999999998</v>
      </c>
      <c r="F41" s="52">
        <f t="shared" si="2"/>
        <v>0.31187764763056558</v>
      </c>
      <c r="G41" s="52">
        <f t="shared" si="3"/>
        <v>4.7123376476305658</v>
      </c>
      <c r="H41" s="52">
        <f t="shared" si="4"/>
        <v>4.0885823523694338</v>
      </c>
      <c r="I41" s="28"/>
      <c r="J41" s="28"/>
      <c r="K41" s="54"/>
    </row>
    <row r="42" spans="1:11">
      <c r="A42" s="104">
        <v>35</v>
      </c>
      <c r="B42" s="110">
        <v>34751</v>
      </c>
      <c r="C42" s="111">
        <v>4.1562999999999999</v>
      </c>
      <c r="D42" s="107">
        <f t="shared" si="5"/>
        <v>0.17055780057504352</v>
      </c>
      <c r="E42" s="55">
        <f t="shared" si="6"/>
        <v>4.3781514285714298</v>
      </c>
      <c r="F42" s="55">
        <f t="shared" si="2"/>
        <v>0.34111560115008704</v>
      </c>
      <c r="G42" s="55">
        <f t="shared" si="3"/>
        <v>4.7192670297215171</v>
      </c>
      <c r="H42" s="55">
        <f t="shared" si="4"/>
        <v>4.0370358274213425</v>
      </c>
      <c r="I42" s="29"/>
      <c r="J42" s="29"/>
      <c r="K42" s="57"/>
    </row>
    <row r="43" spans="1:11">
      <c r="A43" s="104">
        <v>36</v>
      </c>
      <c r="B43" s="110">
        <v>34752</v>
      </c>
      <c r="C43" s="111">
        <v>4.2305000000000001</v>
      </c>
      <c r="D43" s="107">
        <f t="shared" si="5"/>
        <v>0.15515579386527401</v>
      </c>
      <c r="E43" s="55">
        <f t="shared" si="6"/>
        <v>4.3490228571428577</v>
      </c>
      <c r="F43" s="55">
        <f t="shared" si="2"/>
        <v>0.31031158773054801</v>
      </c>
      <c r="G43" s="55">
        <f t="shared" si="3"/>
        <v>4.659334444873406</v>
      </c>
      <c r="H43" s="55">
        <f t="shared" si="4"/>
        <v>4.0387112694123095</v>
      </c>
      <c r="I43" s="29"/>
      <c r="J43" s="29"/>
      <c r="K43" s="57"/>
    </row>
    <row r="44" spans="1:11">
      <c r="A44" s="103">
        <v>37</v>
      </c>
      <c r="B44" s="109">
        <v>34753</v>
      </c>
      <c r="C44" s="112">
        <v>4.3906000000000001</v>
      </c>
      <c r="D44" s="108">
        <f t="shared" si="5"/>
        <v>0.13364152814135302</v>
      </c>
      <c r="E44" s="52">
        <f t="shared" si="6"/>
        <v>4.3589485714285718</v>
      </c>
      <c r="F44" s="52">
        <f t="shared" si="2"/>
        <v>0.26728305628270604</v>
      </c>
      <c r="G44" s="52">
        <f t="shared" si="3"/>
        <v>4.6262316277112783</v>
      </c>
      <c r="H44" s="52">
        <f t="shared" si="4"/>
        <v>4.0916655151458654</v>
      </c>
      <c r="I44" s="28"/>
      <c r="J44" s="28"/>
      <c r="K44" s="54"/>
    </row>
    <row r="45" spans="1:11">
      <c r="A45" s="103">
        <v>38</v>
      </c>
      <c r="B45" s="109">
        <v>34754</v>
      </c>
      <c r="C45" s="112">
        <v>4.375</v>
      </c>
      <c r="D45" s="108">
        <f t="shared" si="5"/>
        <v>0.11216620507282737</v>
      </c>
      <c r="E45" s="52">
        <f t="shared" si="6"/>
        <v>4.3592828571428575</v>
      </c>
      <c r="F45" s="52">
        <f t="shared" si="2"/>
        <v>0.22433241014565475</v>
      </c>
      <c r="G45" s="52">
        <f t="shared" si="3"/>
        <v>4.5836152672885122</v>
      </c>
      <c r="H45" s="52">
        <f t="shared" si="4"/>
        <v>4.1349504469972027</v>
      </c>
      <c r="I45" s="28"/>
      <c r="J45" s="28"/>
      <c r="K45" s="54"/>
    </row>
    <row r="46" spans="1:11">
      <c r="A46" s="104">
        <v>39</v>
      </c>
      <c r="B46" s="110">
        <v>34757</v>
      </c>
      <c r="C46" s="111">
        <v>4.2656000000000001</v>
      </c>
      <c r="D46" s="107">
        <f t="shared" si="5"/>
        <v>0.11172627582902202</v>
      </c>
      <c r="E46" s="55">
        <f t="shared" si="6"/>
        <v>4.344645714285714</v>
      </c>
      <c r="F46" s="55">
        <f t="shared" si="2"/>
        <v>0.22345255165804404</v>
      </c>
      <c r="G46" s="55">
        <f t="shared" si="3"/>
        <v>4.5680982659437577</v>
      </c>
      <c r="H46" s="55">
        <f t="shared" si="4"/>
        <v>4.1211931626276703</v>
      </c>
      <c r="I46" s="29"/>
      <c r="J46" s="29"/>
      <c r="K46" s="57"/>
    </row>
    <row r="47" spans="1:11">
      <c r="B47" s="8"/>
    </row>
    <row r="48" spans="1:11">
      <c r="B48" s="8"/>
    </row>
    <row r="49" spans="1:2">
      <c r="A49" t="s">
        <v>589</v>
      </c>
      <c r="B49" s="8"/>
    </row>
    <row r="50" spans="1:2">
      <c r="A50" t="s">
        <v>590</v>
      </c>
      <c r="B50" s="8"/>
    </row>
    <row r="51" spans="1:2">
      <c r="A51" t="s">
        <v>591</v>
      </c>
      <c r="B51" s="8"/>
    </row>
    <row r="52" spans="1:2">
      <c r="A52" t="s">
        <v>592</v>
      </c>
      <c r="B52" s="8"/>
    </row>
    <row r="53" spans="1:2">
      <c r="A53" t="s">
        <v>593</v>
      </c>
      <c r="B53" s="8"/>
    </row>
    <row r="54" spans="1:2">
      <c r="B54" s="8"/>
    </row>
    <row r="55" spans="1:2">
      <c r="B55" s="8"/>
    </row>
    <row r="56" spans="1:2">
      <c r="B56" s="8"/>
    </row>
    <row r="57" spans="1:2">
      <c r="B57" s="8"/>
    </row>
    <row r="58" spans="1:2">
      <c r="B58" s="8"/>
    </row>
    <row r="59" spans="1:2">
      <c r="B59" s="8"/>
    </row>
    <row r="60" spans="1:2">
      <c r="B60" s="8"/>
    </row>
    <row r="61" spans="1:2">
      <c r="B61" s="8"/>
    </row>
    <row r="62" spans="1:2">
      <c r="B62" s="8"/>
    </row>
    <row r="63" spans="1:2">
      <c r="B63" s="8"/>
    </row>
    <row r="64" spans="1:2">
      <c r="B64" s="8"/>
    </row>
    <row r="65" spans="2:2">
      <c r="B65" s="8"/>
    </row>
    <row r="66" spans="2:2">
      <c r="B66" s="8"/>
    </row>
    <row r="67" spans="2:2">
      <c r="B67" s="8"/>
    </row>
    <row r="68" spans="2:2">
      <c r="B68" s="8"/>
    </row>
    <row r="69" spans="2:2">
      <c r="B69" s="8"/>
    </row>
    <row r="70" spans="2:2">
      <c r="B70" s="8"/>
    </row>
    <row r="71" spans="2:2">
      <c r="B71" s="8"/>
    </row>
    <row r="72" spans="2:2">
      <c r="B72" s="8"/>
    </row>
    <row r="73" spans="2:2">
      <c r="B73" s="8"/>
    </row>
    <row r="74" spans="2:2">
      <c r="B74" s="8"/>
    </row>
    <row r="75" spans="2:2">
      <c r="B75" s="8"/>
    </row>
    <row r="76" spans="2:2">
      <c r="B76" s="8"/>
    </row>
    <row r="77" spans="2:2">
      <c r="B77" s="8"/>
    </row>
    <row r="78" spans="2:2">
      <c r="B78" s="8"/>
    </row>
    <row r="79" spans="2:2">
      <c r="B79" s="8"/>
    </row>
    <row r="80" spans="2:2">
      <c r="B80" s="8"/>
    </row>
    <row r="81" spans="2:2">
      <c r="B81" s="8"/>
    </row>
    <row r="82" spans="2:2">
      <c r="B82" s="8"/>
    </row>
    <row r="83" spans="2:2">
      <c r="B83" s="8"/>
    </row>
    <row r="84" spans="2:2">
      <c r="B84" s="8"/>
    </row>
    <row r="85" spans="2:2">
      <c r="B85" s="8"/>
    </row>
    <row r="86" spans="2:2">
      <c r="B86" s="8"/>
    </row>
    <row r="87" spans="2:2">
      <c r="B87" s="8"/>
    </row>
    <row r="88" spans="2:2">
      <c r="B88" s="8"/>
    </row>
    <row r="89" spans="2:2">
      <c r="B89" s="8"/>
    </row>
    <row r="90" spans="2:2">
      <c r="B90" s="8"/>
    </row>
    <row r="91" spans="2:2">
      <c r="B91" s="8"/>
    </row>
    <row r="92" spans="2:2">
      <c r="B92" s="8"/>
    </row>
    <row r="93" spans="2:2">
      <c r="B93" s="8"/>
    </row>
    <row r="94" spans="2:2">
      <c r="B94" s="8"/>
    </row>
    <row r="95" spans="2:2">
      <c r="B95" s="8"/>
    </row>
    <row r="96" spans="2:2">
      <c r="B96" s="8"/>
    </row>
    <row r="97" spans="2:2">
      <c r="B97" s="8"/>
    </row>
    <row r="98" spans="2:2">
      <c r="B98" s="8"/>
    </row>
    <row r="99" spans="2:2">
      <c r="B99" s="8"/>
    </row>
    <row r="100" spans="2:2">
      <c r="B100" s="8"/>
    </row>
    <row r="101" spans="2:2">
      <c r="B101" s="8"/>
    </row>
    <row r="102" spans="2:2">
      <c r="B102" s="8"/>
    </row>
    <row r="103" spans="2:2">
      <c r="B103" s="8"/>
    </row>
    <row r="104" spans="2:2">
      <c r="B104" s="8"/>
    </row>
    <row r="105" spans="2:2">
      <c r="B105" s="8"/>
    </row>
    <row r="106" spans="2:2">
      <c r="B106" s="8"/>
    </row>
    <row r="107" spans="2:2">
      <c r="B107" s="8"/>
    </row>
    <row r="108" spans="2:2">
      <c r="B108" s="8"/>
    </row>
    <row r="109" spans="2:2">
      <c r="B109" s="8"/>
    </row>
    <row r="110" spans="2:2">
      <c r="B110" s="8"/>
    </row>
    <row r="111" spans="2:2">
      <c r="B111" s="8"/>
    </row>
    <row r="112" spans="2:2">
      <c r="B112" s="8"/>
    </row>
    <row r="113" spans="2:2">
      <c r="B113" s="8"/>
    </row>
    <row r="114" spans="2:2">
      <c r="B114" s="8"/>
    </row>
    <row r="115" spans="2:2">
      <c r="B115" s="8"/>
    </row>
    <row r="116" spans="2:2">
      <c r="B116" s="8"/>
    </row>
    <row r="117" spans="2:2">
      <c r="B117" s="8"/>
    </row>
    <row r="118" spans="2:2">
      <c r="B118" s="8"/>
    </row>
    <row r="119" spans="2:2">
      <c r="B119" s="8"/>
    </row>
    <row r="120" spans="2:2">
      <c r="B120" s="8"/>
    </row>
    <row r="121" spans="2:2">
      <c r="B121" s="8"/>
    </row>
    <row r="122" spans="2:2">
      <c r="B122" s="8"/>
    </row>
    <row r="123" spans="2:2">
      <c r="B123" s="8"/>
    </row>
    <row r="124" spans="2:2">
      <c r="B124" s="8"/>
    </row>
    <row r="125" spans="2:2">
      <c r="B125" s="8"/>
    </row>
    <row r="126" spans="2:2">
      <c r="B126" s="8"/>
    </row>
    <row r="127" spans="2:2">
      <c r="B127" s="8"/>
    </row>
    <row r="128" spans="2:2">
      <c r="B128" s="8"/>
    </row>
    <row r="129" spans="2:2">
      <c r="B129" s="8"/>
    </row>
    <row r="130" spans="2:2">
      <c r="B130" s="8"/>
    </row>
    <row r="131" spans="2:2">
      <c r="B131" s="8"/>
    </row>
    <row r="132" spans="2:2">
      <c r="B132" s="8"/>
    </row>
    <row r="133" spans="2:2">
      <c r="B133" s="8"/>
    </row>
    <row r="134" spans="2:2">
      <c r="B134" s="8"/>
    </row>
    <row r="135" spans="2:2">
      <c r="B135" s="8"/>
    </row>
    <row r="136" spans="2:2">
      <c r="B136" s="8"/>
    </row>
    <row r="137" spans="2:2">
      <c r="B137" s="8"/>
    </row>
    <row r="138" spans="2:2">
      <c r="B138" s="8"/>
    </row>
    <row r="139" spans="2:2">
      <c r="B139" s="8"/>
    </row>
    <row r="140" spans="2:2">
      <c r="B140" s="8"/>
    </row>
    <row r="141" spans="2:2">
      <c r="B141" s="8"/>
    </row>
    <row r="142" spans="2:2">
      <c r="B142" s="8"/>
    </row>
    <row r="143" spans="2:2">
      <c r="B143" s="8"/>
    </row>
    <row r="144" spans="2:2">
      <c r="B144" s="8"/>
    </row>
    <row r="145" spans="2:2">
      <c r="B145" s="8"/>
    </row>
    <row r="146" spans="2:2">
      <c r="B146" s="8"/>
    </row>
    <row r="147" spans="2:2">
      <c r="B147" s="8"/>
    </row>
    <row r="148" spans="2:2">
      <c r="B148" s="8"/>
    </row>
    <row r="149" spans="2:2">
      <c r="B149" s="8"/>
    </row>
    <row r="150" spans="2:2">
      <c r="B150" s="8"/>
    </row>
    <row r="151" spans="2:2">
      <c r="B151" s="8"/>
    </row>
    <row r="152" spans="2:2">
      <c r="B152" s="8"/>
    </row>
    <row r="153" spans="2:2">
      <c r="B153" s="8"/>
    </row>
    <row r="154" spans="2:2">
      <c r="B154" s="8"/>
    </row>
    <row r="155" spans="2:2">
      <c r="B155" s="8"/>
    </row>
    <row r="156" spans="2:2">
      <c r="B156" s="8"/>
    </row>
    <row r="157" spans="2:2">
      <c r="B157" s="8"/>
    </row>
    <row r="158" spans="2:2">
      <c r="B158" s="8"/>
    </row>
    <row r="159" spans="2:2">
      <c r="B159" s="8"/>
    </row>
    <row r="160" spans="2:2">
      <c r="B160" s="8"/>
    </row>
    <row r="161" spans="2:2">
      <c r="B161" s="8"/>
    </row>
    <row r="162" spans="2:2">
      <c r="B162" s="8"/>
    </row>
    <row r="163" spans="2:2">
      <c r="B163" s="8"/>
    </row>
    <row r="164" spans="2:2">
      <c r="B164" s="8"/>
    </row>
    <row r="165" spans="2:2">
      <c r="B165" s="8"/>
    </row>
    <row r="166" spans="2:2">
      <c r="B166" s="8"/>
    </row>
    <row r="167" spans="2:2">
      <c r="B167" s="8"/>
    </row>
    <row r="168" spans="2:2">
      <c r="B168" s="8"/>
    </row>
    <row r="169" spans="2:2">
      <c r="B169" s="8"/>
    </row>
    <row r="170" spans="2:2">
      <c r="B170" s="8"/>
    </row>
    <row r="171" spans="2:2">
      <c r="B171" s="8"/>
    </row>
    <row r="172" spans="2:2">
      <c r="B172" s="8"/>
    </row>
    <row r="173" spans="2:2">
      <c r="B173" s="8"/>
    </row>
    <row r="174" spans="2:2">
      <c r="B174" s="8"/>
    </row>
    <row r="175" spans="2:2">
      <c r="B175" s="8"/>
    </row>
    <row r="176" spans="2:2">
      <c r="B176" s="8"/>
    </row>
    <row r="177" spans="2:2">
      <c r="B177" s="8"/>
    </row>
    <row r="178" spans="2:2">
      <c r="B178" s="8"/>
    </row>
    <row r="179" spans="2:2">
      <c r="B179" s="8"/>
    </row>
    <row r="180" spans="2:2">
      <c r="B180" s="8"/>
    </row>
    <row r="181" spans="2:2">
      <c r="B181" s="8"/>
    </row>
    <row r="182" spans="2:2">
      <c r="B182" s="8"/>
    </row>
    <row r="183" spans="2:2">
      <c r="B183" s="8"/>
    </row>
    <row r="184" spans="2:2">
      <c r="B184" s="8"/>
    </row>
    <row r="185" spans="2:2">
      <c r="B185" s="8"/>
    </row>
    <row r="186" spans="2:2">
      <c r="B186" s="8"/>
    </row>
    <row r="187" spans="2:2">
      <c r="B187" s="8"/>
    </row>
    <row r="188" spans="2:2">
      <c r="B188" s="8"/>
    </row>
    <row r="189" spans="2:2">
      <c r="B189" s="8"/>
    </row>
    <row r="190" spans="2:2">
      <c r="B190" s="8"/>
    </row>
    <row r="191" spans="2:2">
      <c r="B191" s="8"/>
    </row>
    <row r="192" spans="2:2">
      <c r="B192" s="8"/>
    </row>
    <row r="193" spans="2:2">
      <c r="B193" s="8"/>
    </row>
    <row r="194" spans="2:2">
      <c r="B194" s="8"/>
    </row>
    <row r="195" spans="2:2">
      <c r="B195" s="8"/>
    </row>
    <row r="196" spans="2:2">
      <c r="B196" s="8"/>
    </row>
    <row r="197" spans="2:2">
      <c r="B197" s="8"/>
    </row>
    <row r="198" spans="2:2">
      <c r="B198" s="8"/>
    </row>
    <row r="199" spans="2:2">
      <c r="B199" s="8"/>
    </row>
    <row r="200" spans="2:2">
      <c r="B200" s="8"/>
    </row>
    <row r="201" spans="2:2">
      <c r="B201" s="8"/>
    </row>
    <row r="202" spans="2:2">
      <c r="B202" s="8"/>
    </row>
    <row r="203" spans="2:2">
      <c r="B203" s="8"/>
    </row>
    <row r="204" spans="2:2">
      <c r="B204" s="8"/>
    </row>
    <row r="205" spans="2:2">
      <c r="B205" s="8"/>
    </row>
    <row r="206" spans="2:2">
      <c r="B206" s="8"/>
    </row>
    <row r="207" spans="2:2">
      <c r="B207" s="8"/>
    </row>
    <row r="208" spans="2:2">
      <c r="B208" s="8"/>
    </row>
    <row r="209" spans="2:2">
      <c r="B209" s="8"/>
    </row>
    <row r="210" spans="2:2">
      <c r="B210" s="8"/>
    </row>
    <row r="211" spans="2:2">
      <c r="B211" s="8"/>
    </row>
    <row r="212" spans="2:2">
      <c r="B212" s="8"/>
    </row>
    <row r="213" spans="2:2">
      <c r="B213" s="8"/>
    </row>
    <row r="214" spans="2:2">
      <c r="B214" s="8"/>
    </row>
    <row r="215" spans="2:2">
      <c r="B215" s="8"/>
    </row>
    <row r="216" spans="2:2">
      <c r="B216" s="8"/>
    </row>
    <row r="217" spans="2:2">
      <c r="B217" s="8"/>
    </row>
    <row r="218" spans="2:2">
      <c r="B218" s="8"/>
    </row>
    <row r="219" spans="2:2">
      <c r="B219" s="8"/>
    </row>
    <row r="220" spans="2:2">
      <c r="B220" s="8"/>
    </row>
    <row r="221" spans="2:2">
      <c r="B221" s="8"/>
    </row>
    <row r="222" spans="2:2">
      <c r="B222" s="8"/>
    </row>
    <row r="223" spans="2:2">
      <c r="B223" s="8"/>
    </row>
    <row r="224" spans="2:2">
      <c r="B224" s="8"/>
    </row>
    <row r="225" spans="2:2">
      <c r="B225" s="8"/>
    </row>
    <row r="226" spans="2:2">
      <c r="B226" s="8"/>
    </row>
    <row r="227" spans="2:2">
      <c r="B227" s="8"/>
    </row>
    <row r="228" spans="2:2">
      <c r="B228" s="8"/>
    </row>
    <row r="229" spans="2:2">
      <c r="B229" s="8"/>
    </row>
    <row r="230" spans="2:2">
      <c r="B230" s="8"/>
    </row>
    <row r="231" spans="2:2">
      <c r="B231" s="8"/>
    </row>
    <row r="232" spans="2:2">
      <c r="B232" s="8"/>
    </row>
    <row r="233" spans="2:2">
      <c r="B233" s="8"/>
    </row>
    <row r="234" spans="2:2">
      <c r="B234" s="8"/>
    </row>
    <row r="235" spans="2:2">
      <c r="B235" s="8"/>
    </row>
    <row r="236" spans="2:2">
      <c r="B236" s="8"/>
    </row>
    <row r="237" spans="2:2">
      <c r="B237" s="8"/>
    </row>
    <row r="238" spans="2:2">
      <c r="B238" s="8"/>
    </row>
    <row r="239" spans="2:2">
      <c r="B239" s="8"/>
    </row>
    <row r="240" spans="2:2">
      <c r="B240" s="8"/>
    </row>
    <row r="241" spans="2:2">
      <c r="B241" s="8"/>
    </row>
    <row r="242" spans="2:2">
      <c r="B242" s="8"/>
    </row>
    <row r="243" spans="2:2">
      <c r="B243" s="8"/>
    </row>
    <row r="244" spans="2:2">
      <c r="B244" s="8"/>
    </row>
    <row r="245" spans="2:2">
      <c r="B245" s="8"/>
    </row>
    <row r="246" spans="2:2">
      <c r="B246" s="8"/>
    </row>
    <row r="247" spans="2:2">
      <c r="B247" s="8"/>
    </row>
    <row r="248" spans="2:2">
      <c r="B248" s="8"/>
    </row>
    <row r="249" spans="2:2">
      <c r="B249" s="8"/>
    </row>
    <row r="250" spans="2:2">
      <c r="B250" s="8"/>
    </row>
    <row r="251" spans="2:2">
      <c r="B251" s="8"/>
    </row>
    <row r="252" spans="2:2">
      <c r="B252" s="8"/>
    </row>
    <row r="253" spans="2:2">
      <c r="B253" s="8"/>
    </row>
    <row r="254" spans="2:2">
      <c r="B254" s="8"/>
    </row>
    <row r="255" spans="2:2">
      <c r="B255" s="8"/>
    </row>
    <row r="256" spans="2:2">
      <c r="B256" s="8"/>
    </row>
    <row r="257" spans="2:2">
      <c r="B257" s="8"/>
    </row>
    <row r="258" spans="2:2">
      <c r="B258" s="8"/>
    </row>
    <row r="259" spans="2:2">
      <c r="B259" s="8"/>
    </row>
    <row r="260" spans="2:2">
      <c r="B260" s="8"/>
    </row>
    <row r="261" spans="2:2">
      <c r="B261" s="8"/>
    </row>
    <row r="262" spans="2:2">
      <c r="B262" s="8"/>
    </row>
    <row r="263" spans="2:2">
      <c r="B263" s="8"/>
    </row>
    <row r="264" spans="2:2">
      <c r="B264" s="8"/>
    </row>
    <row r="265" spans="2:2">
      <c r="B265" s="8"/>
    </row>
    <row r="266" spans="2:2">
      <c r="B266" s="8"/>
    </row>
    <row r="267" spans="2:2">
      <c r="B267" s="8"/>
    </row>
    <row r="268" spans="2:2">
      <c r="B268" s="8"/>
    </row>
    <row r="269" spans="2:2">
      <c r="B269" s="8"/>
    </row>
    <row r="270" spans="2:2">
      <c r="B270" s="8"/>
    </row>
    <row r="271" spans="2:2">
      <c r="B271" s="8"/>
    </row>
    <row r="272" spans="2:2">
      <c r="B272" s="8"/>
    </row>
    <row r="273" spans="2:2">
      <c r="B273" s="8"/>
    </row>
    <row r="274" spans="2:2">
      <c r="B274" s="8"/>
    </row>
    <row r="275" spans="2:2">
      <c r="B275" s="8"/>
    </row>
    <row r="276" spans="2:2">
      <c r="B276" s="8"/>
    </row>
    <row r="277" spans="2:2">
      <c r="B277" s="8"/>
    </row>
    <row r="278" spans="2:2">
      <c r="B278" s="8"/>
    </row>
    <row r="279" spans="2:2">
      <c r="B279" s="8"/>
    </row>
    <row r="280" spans="2:2">
      <c r="B280" s="8"/>
    </row>
    <row r="281" spans="2:2">
      <c r="B281" s="8"/>
    </row>
    <row r="282" spans="2:2">
      <c r="B282" s="8"/>
    </row>
    <row r="283" spans="2:2">
      <c r="B283" s="8"/>
    </row>
    <row r="284" spans="2:2">
      <c r="B284" s="8"/>
    </row>
    <row r="285" spans="2:2">
      <c r="B285" s="8"/>
    </row>
    <row r="286" spans="2:2">
      <c r="B286" s="8"/>
    </row>
    <row r="287" spans="2:2">
      <c r="B287" s="8"/>
    </row>
    <row r="288" spans="2:2">
      <c r="B288" s="8"/>
    </row>
    <row r="289" spans="2:2">
      <c r="B289" s="8"/>
    </row>
    <row r="290" spans="2:2">
      <c r="B290" s="8"/>
    </row>
    <row r="291" spans="2:2">
      <c r="B291" s="8"/>
    </row>
    <row r="292" spans="2:2">
      <c r="B292" s="8"/>
    </row>
    <row r="293" spans="2:2">
      <c r="B293" s="8"/>
    </row>
    <row r="294" spans="2:2">
      <c r="B294" s="8"/>
    </row>
    <row r="295" spans="2:2">
      <c r="B295" s="8"/>
    </row>
    <row r="296" spans="2:2">
      <c r="B296" s="8"/>
    </row>
    <row r="297" spans="2:2">
      <c r="B297" s="8"/>
    </row>
    <row r="298" spans="2:2">
      <c r="B298" s="8"/>
    </row>
    <row r="299" spans="2:2">
      <c r="B299" s="8"/>
    </row>
    <row r="300" spans="2:2">
      <c r="B300" s="8"/>
    </row>
    <row r="301" spans="2:2">
      <c r="B301" s="8"/>
    </row>
    <row r="302" spans="2:2">
      <c r="B302" s="8"/>
    </row>
    <row r="303" spans="2:2">
      <c r="B303" s="8"/>
    </row>
    <row r="304" spans="2:2">
      <c r="B304" s="8"/>
    </row>
    <row r="305" spans="2:2">
      <c r="B305" s="8"/>
    </row>
    <row r="306" spans="2:2">
      <c r="B306" s="8"/>
    </row>
    <row r="307" spans="2:2">
      <c r="B307" s="8"/>
    </row>
    <row r="308" spans="2:2">
      <c r="B308" s="8"/>
    </row>
    <row r="309" spans="2:2">
      <c r="B309" s="8"/>
    </row>
    <row r="310" spans="2:2">
      <c r="B310" s="8"/>
    </row>
    <row r="311" spans="2:2">
      <c r="B311" s="8"/>
    </row>
    <row r="312" spans="2:2">
      <c r="B312" s="8"/>
    </row>
    <row r="313" spans="2:2">
      <c r="B313" s="8"/>
    </row>
    <row r="314" spans="2:2">
      <c r="B314" s="8"/>
    </row>
    <row r="315" spans="2:2">
      <c r="B315" s="8"/>
    </row>
    <row r="316" spans="2:2">
      <c r="B316" s="8"/>
    </row>
    <row r="317" spans="2:2">
      <c r="B317" s="8"/>
    </row>
    <row r="318" spans="2:2">
      <c r="B318" s="8"/>
    </row>
    <row r="319" spans="2:2">
      <c r="B319" s="8"/>
    </row>
    <row r="320" spans="2:2">
      <c r="B320" s="8"/>
    </row>
    <row r="321" spans="2:2">
      <c r="B321" s="8"/>
    </row>
    <row r="322" spans="2:2">
      <c r="B322" s="8"/>
    </row>
    <row r="323" spans="2:2">
      <c r="B323" s="8"/>
    </row>
    <row r="324" spans="2:2">
      <c r="B324" s="8"/>
    </row>
    <row r="325" spans="2:2">
      <c r="B325" s="8"/>
    </row>
    <row r="326" spans="2:2">
      <c r="B326" s="8"/>
    </row>
    <row r="327" spans="2:2">
      <c r="B327" s="8"/>
    </row>
    <row r="328" spans="2:2">
      <c r="B328" s="8"/>
    </row>
    <row r="329" spans="2:2">
      <c r="B329" s="8"/>
    </row>
    <row r="330" spans="2:2">
      <c r="B330" s="8"/>
    </row>
    <row r="331" spans="2:2">
      <c r="B331" s="8"/>
    </row>
    <row r="332" spans="2:2">
      <c r="B332" s="8"/>
    </row>
    <row r="333" spans="2:2">
      <c r="B333" s="8"/>
    </row>
    <row r="334" spans="2:2">
      <c r="B334" s="8"/>
    </row>
    <row r="335" spans="2:2">
      <c r="B335" s="8"/>
    </row>
    <row r="336" spans="2:2">
      <c r="B336" s="8"/>
    </row>
    <row r="337" spans="2:2">
      <c r="B337" s="8"/>
    </row>
    <row r="338" spans="2:2">
      <c r="B338" s="8"/>
    </row>
    <row r="339" spans="2:2">
      <c r="B339" s="8"/>
    </row>
    <row r="340" spans="2:2">
      <c r="B340" s="8"/>
    </row>
    <row r="341" spans="2:2">
      <c r="B341" s="8"/>
    </row>
    <row r="342" spans="2:2">
      <c r="B342" s="8"/>
    </row>
    <row r="343" spans="2:2">
      <c r="B343" s="8"/>
    </row>
    <row r="344" spans="2:2">
      <c r="B344" s="8"/>
    </row>
    <row r="345" spans="2:2">
      <c r="B345" s="8"/>
    </row>
    <row r="346" spans="2:2">
      <c r="B346" s="8"/>
    </row>
    <row r="347" spans="2:2">
      <c r="B347" s="8"/>
    </row>
    <row r="348" spans="2:2">
      <c r="B348" s="8"/>
    </row>
    <row r="349" spans="2:2">
      <c r="B349" s="8"/>
    </row>
    <row r="350" spans="2:2">
      <c r="B350" s="8"/>
    </row>
    <row r="351" spans="2:2">
      <c r="B351" s="8"/>
    </row>
    <row r="352" spans="2:2">
      <c r="B352" s="8"/>
    </row>
    <row r="353" spans="2:2">
      <c r="B353" s="8"/>
    </row>
    <row r="354" spans="2:2">
      <c r="B354" s="8"/>
    </row>
    <row r="355" spans="2:2">
      <c r="B355" s="8"/>
    </row>
    <row r="356" spans="2:2">
      <c r="B356" s="8"/>
    </row>
    <row r="357" spans="2:2">
      <c r="B357" s="8"/>
    </row>
    <row r="358" spans="2:2">
      <c r="B358" s="8"/>
    </row>
    <row r="359" spans="2:2">
      <c r="B359" s="8"/>
    </row>
    <row r="360" spans="2:2">
      <c r="B360" s="8"/>
    </row>
    <row r="361" spans="2:2">
      <c r="B361" s="8"/>
    </row>
    <row r="362" spans="2:2">
      <c r="B362" s="8"/>
    </row>
    <row r="363" spans="2:2">
      <c r="B363" s="8"/>
    </row>
    <row r="364" spans="2:2">
      <c r="B364" s="8"/>
    </row>
    <row r="365" spans="2:2">
      <c r="B365" s="8"/>
    </row>
    <row r="366" spans="2:2">
      <c r="B366" s="8"/>
    </row>
    <row r="367" spans="2:2">
      <c r="B367" s="8"/>
    </row>
    <row r="368" spans="2:2">
      <c r="B368" s="8"/>
    </row>
    <row r="369" spans="2:2">
      <c r="B369" s="8"/>
    </row>
    <row r="370" spans="2:2">
      <c r="B370" s="8"/>
    </row>
    <row r="371" spans="2:2">
      <c r="B371" s="8"/>
    </row>
    <row r="372" spans="2:2">
      <c r="B372" s="8"/>
    </row>
    <row r="373" spans="2:2">
      <c r="B373" s="8"/>
    </row>
    <row r="374" spans="2:2">
      <c r="B374" s="8"/>
    </row>
    <row r="375" spans="2:2">
      <c r="B375" s="8"/>
    </row>
    <row r="376" spans="2:2">
      <c r="B376" s="8"/>
    </row>
    <row r="377" spans="2:2">
      <c r="B377" s="8"/>
    </row>
    <row r="378" spans="2:2">
      <c r="B378" s="8"/>
    </row>
    <row r="379" spans="2:2">
      <c r="B379" s="8"/>
    </row>
    <row r="380" spans="2:2">
      <c r="B380" s="8"/>
    </row>
    <row r="381" spans="2:2">
      <c r="B381" s="8"/>
    </row>
    <row r="382" spans="2:2">
      <c r="B382" s="8"/>
    </row>
    <row r="383" spans="2:2">
      <c r="B383" s="8"/>
    </row>
    <row r="384" spans="2:2">
      <c r="B384" s="8"/>
    </row>
    <row r="385" spans="2:2">
      <c r="B385" s="8"/>
    </row>
    <row r="386" spans="2:2">
      <c r="B386" s="8"/>
    </row>
    <row r="387" spans="2:2">
      <c r="B387" s="8"/>
    </row>
    <row r="388" spans="2:2">
      <c r="B388" s="8"/>
    </row>
    <row r="389" spans="2:2">
      <c r="B389" s="8"/>
    </row>
    <row r="390" spans="2:2">
      <c r="B390" s="8"/>
    </row>
    <row r="391" spans="2:2">
      <c r="B391" s="8"/>
    </row>
    <row r="392" spans="2:2">
      <c r="B392" s="8"/>
    </row>
    <row r="393" spans="2:2">
      <c r="B393" s="8"/>
    </row>
    <row r="394" spans="2:2">
      <c r="B394" s="8"/>
    </row>
    <row r="395" spans="2:2">
      <c r="B395" s="8"/>
    </row>
    <row r="396" spans="2:2">
      <c r="B396" s="8"/>
    </row>
    <row r="397" spans="2:2">
      <c r="B397" s="8"/>
    </row>
    <row r="398" spans="2:2">
      <c r="B398" s="8"/>
    </row>
    <row r="399" spans="2:2">
      <c r="B399" s="8"/>
    </row>
    <row r="400" spans="2:2">
      <c r="B400" s="8"/>
    </row>
    <row r="401" spans="2:2">
      <c r="B401" s="8"/>
    </row>
    <row r="402" spans="2:2">
      <c r="B402" s="8"/>
    </row>
    <row r="403" spans="2:2">
      <c r="B403" s="8"/>
    </row>
    <row r="404" spans="2:2">
      <c r="B404" s="8"/>
    </row>
    <row r="405" spans="2:2">
      <c r="B405" s="8"/>
    </row>
    <row r="406" spans="2:2">
      <c r="B406" s="8"/>
    </row>
    <row r="407" spans="2:2">
      <c r="B407" s="8"/>
    </row>
    <row r="408" spans="2:2">
      <c r="B408" s="8"/>
    </row>
    <row r="409" spans="2:2">
      <c r="B409" s="8"/>
    </row>
    <row r="410" spans="2:2">
      <c r="B410" s="8"/>
    </row>
    <row r="411" spans="2:2">
      <c r="B411" s="8"/>
    </row>
    <row r="412" spans="2:2">
      <c r="B412" s="8"/>
    </row>
    <row r="413" spans="2:2">
      <c r="B413" s="8"/>
    </row>
    <row r="414" spans="2:2">
      <c r="B414" s="8"/>
    </row>
    <row r="415" spans="2:2">
      <c r="B415" s="8"/>
    </row>
    <row r="416" spans="2:2">
      <c r="B416" s="8"/>
    </row>
    <row r="417" spans="2:2">
      <c r="B417" s="8"/>
    </row>
    <row r="418" spans="2:2">
      <c r="B418" s="8"/>
    </row>
    <row r="419" spans="2:2">
      <c r="B419" s="8"/>
    </row>
    <row r="420" spans="2:2">
      <c r="B420" s="8"/>
    </row>
    <row r="421" spans="2:2">
      <c r="B421" s="8"/>
    </row>
    <row r="422" spans="2:2">
      <c r="B422" s="8"/>
    </row>
    <row r="423" spans="2:2">
      <c r="B423" s="8"/>
    </row>
    <row r="424" spans="2:2">
      <c r="B424" s="8"/>
    </row>
    <row r="425" spans="2:2">
      <c r="B425" s="8"/>
    </row>
    <row r="426" spans="2:2">
      <c r="B426" s="8"/>
    </row>
    <row r="427" spans="2:2">
      <c r="B427" s="8"/>
    </row>
    <row r="428" spans="2:2">
      <c r="B428" s="8"/>
    </row>
    <row r="429" spans="2:2">
      <c r="B429" s="8"/>
    </row>
    <row r="430" spans="2:2">
      <c r="B430" s="8"/>
    </row>
    <row r="431" spans="2:2">
      <c r="B431" s="8"/>
    </row>
    <row r="432" spans="2:2">
      <c r="B432" s="8"/>
    </row>
    <row r="433" spans="2:2">
      <c r="B433" s="8"/>
    </row>
    <row r="434" spans="2:2">
      <c r="B434" s="8"/>
    </row>
    <row r="435" spans="2:2">
      <c r="B435" s="8"/>
    </row>
    <row r="436" spans="2:2">
      <c r="B436" s="8"/>
    </row>
    <row r="437" spans="2:2">
      <c r="B437" s="8"/>
    </row>
    <row r="438" spans="2:2">
      <c r="B438" s="8"/>
    </row>
    <row r="439" spans="2:2">
      <c r="B439" s="8"/>
    </row>
    <row r="440" spans="2:2">
      <c r="B440" s="8"/>
    </row>
    <row r="441" spans="2:2">
      <c r="B441" s="8"/>
    </row>
    <row r="442" spans="2:2">
      <c r="B442" s="8"/>
    </row>
    <row r="443" spans="2:2">
      <c r="B443" s="8"/>
    </row>
    <row r="444" spans="2:2">
      <c r="B444" s="8"/>
    </row>
    <row r="445" spans="2:2">
      <c r="B445" s="8"/>
    </row>
    <row r="446" spans="2:2">
      <c r="B446" s="8"/>
    </row>
    <row r="447" spans="2:2">
      <c r="B447" s="8"/>
    </row>
    <row r="448" spans="2:2">
      <c r="B448" s="8"/>
    </row>
    <row r="449" spans="2:2">
      <c r="B449" s="8"/>
    </row>
    <row r="450" spans="2:2">
      <c r="B450" s="8"/>
    </row>
    <row r="451" spans="2:2">
      <c r="B451" s="8"/>
    </row>
    <row r="452" spans="2:2">
      <c r="B452" s="8"/>
    </row>
    <row r="453" spans="2:2">
      <c r="B453" s="8"/>
    </row>
    <row r="454" spans="2:2">
      <c r="B454" s="8"/>
    </row>
    <row r="455" spans="2:2">
      <c r="B455" s="8"/>
    </row>
    <row r="456" spans="2:2">
      <c r="B456" s="8"/>
    </row>
    <row r="457" spans="2:2">
      <c r="B457" s="8"/>
    </row>
    <row r="458" spans="2:2">
      <c r="B458" s="8"/>
    </row>
    <row r="459" spans="2:2">
      <c r="B459" s="8"/>
    </row>
    <row r="460" spans="2:2">
      <c r="B460" s="8"/>
    </row>
    <row r="461" spans="2:2">
      <c r="B461" s="8"/>
    </row>
    <row r="462" spans="2:2">
      <c r="B462" s="8"/>
    </row>
    <row r="463" spans="2:2">
      <c r="B463" s="8"/>
    </row>
    <row r="464" spans="2:2">
      <c r="B464" s="8"/>
    </row>
    <row r="465" spans="2:2">
      <c r="B465" s="8"/>
    </row>
    <row r="466" spans="2:2">
      <c r="B466" s="8"/>
    </row>
    <row r="467" spans="2:2">
      <c r="B467" s="8"/>
    </row>
    <row r="468" spans="2:2">
      <c r="B468" s="8"/>
    </row>
    <row r="469" spans="2:2">
      <c r="B469" s="8"/>
    </row>
    <row r="470" spans="2:2">
      <c r="B470" s="8"/>
    </row>
    <row r="471" spans="2:2">
      <c r="B471" s="8"/>
    </row>
    <row r="472" spans="2:2">
      <c r="B472" s="8"/>
    </row>
    <row r="473" spans="2:2">
      <c r="B473" s="8"/>
    </row>
    <row r="474" spans="2:2">
      <c r="B474" s="8"/>
    </row>
    <row r="475" spans="2:2">
      <c r="B475" s="8"/>
    </row>
    <row r="476" spans="2:2">
      <c r="B476" s="8"/>
    </row>
    <row r="477" spans="2:2">
      <c r="B477" s="8"/>
    </row>
    <row r="478" spans="2:2">
      <c r="B478" s="8"/>
    </row>
    <row r="479" spans="2:2">
      <c r="B479" s="8"/>
    </row>
    <row r="480" spans="2:2">
      <c r="B480" s="8"/>
    </row>
    <row r="481" spans="2:2">
      <c r="B481" s="8"/>
    </row>
    <row r="482" spans="2:2">
      <c r="B482" s="8"/>
    </row>
    <row r="483" spans="2:2">
      <c r="B483" s="8"/>
    </row>
    <row r="484" spans="2:2">
      <c r="B484" s="8"/>
    </row>
    <row r="485" spans="2:2">
      <c r="B485" s="8"/>
    </row>
    <row r="486" spans="2:2">
      <c r="B486" s="8"/>
    </row>
    <row r="487" spans="2:2">
      <c r="B487" s="8"/>
    </row>
    <row r="488" spans="2:2">
      <c r="B488" s="8"/>
    </row>
    <row r="489" spans="2:2">
      <c r="B489" s="8"/>
    </row>
    <row r="490" spans="2:2">
      <c r="B490" s="8"/>
    </row>
    <row r="491" spans="2:2">
      <c r="B491" s="8"/>
    </row>
    <row r="492" spans="2:2">
      <c r="B492" s="8"/>
    </row>
    <row r="493" spans="2:2">
      <c r="B493" s="8"/>
    </row>
    <row r="494" spans="2:2">
      <c r="B494" s="8"/>
    </row>
    <row r="495" spans="2:2">
      <c r="B495" s="8"/>
    </row>
    <row r="496" spans="2:2">
      <c r="B496" s="8"/>
    </row>
    <row r="497" spans="2:2">
      <c r="B497" s="8"/>
    </row>
    <row r="498" spans="2:2">
      <c r="B498" s="8"/>
    </row>
    <row r="499" spans="2:2">
      <c r="B499" s="8"/>
    </row>
    <row r="500" spans="2:2">
      <c r="B500" s="8"/>
    </row>
    <row r="501" spans="2:2">
      <c r="B501" s="8"/>
    </row>
    <row r="502" spans="2:2">
      <c r="B502" s="8"/>
    </row>
    <row r="503" spans="2:2">
      <c r="B503" s="8"/>
    </row>
    <row r="504" spans="2:2">
      <c r="B504" s="8"/>
    </row>
    <row r="505" spans="2:2">
      <c r="B505" s="8"/>
    </row>
    <row r="506" spans="2:2">
      <c r="B506" s="8"/>
    </row>
    <row r="507" spans="2:2">
      <c r="B507" s="8"/>
    </row>
    <row r="508" spans="2:2">
      <c r="B508" s="8"/>
    </row>
    <row r="509" spans="2:2">
      <c r="B509" s="8"/>
    </row>
    <row r="510" spans="2:2">
      <c r="B510" s="8"/>
    </row>
    <row r="511" spans="2:2">
      <c r="B511" s="8"/>
    </row>
    <row r="512" spans="2:2">
      <c r="B512" s="8"/>
    </row>
    <row r="513" spans="2:2">
      <c r="B513" s="8"/>
    </row>
    <row r="514" spans="2:2">
      <c r="B514" s="8"/>
    </row>
    <row r="515" spans="2:2">
      <c r="B515" s="8"/>
    </row>
    <row r="516" spans="2:2">
      <c r="B516" s="8"/>
    </row>
    <row r="517" spans="2:2">
      <c r="B517" s="8"/>
    </row>
    <row r="518" spans="2:2">
      <c r="B518" s="8"/>
    </row>
    <row r="519" spans="2:2">
      <c r="B519" s="8"/>
    </row>
    <row r="520" spans="2:2">
      <c r="B520" s="8"/>
    </row>
    <row r="521" spans="2:2">
      <c r="B521" s="8"/>
    </row>
    <row r="522" spans="2:2">
      <c r="B522" s="8"/>
    </row>
    <row r="523" spans="2:2">
      <c r="B523" s="8"/>
    </row>
    <row r="524" spans="2:2">
      <c r="B524" s="8"/>
    </row>
    <row r="525" spans="2:2">
      <c r="B525" s="8"/>
    </row>
    <row r="526" spans="2:2">
      <c r="B526" s="8"/>
    </row>
    <row r="527" spans="2:2">
      <c r="B527" s="8"/>
    </row>
    <row r="528" spans="2:2">
      <c r="B528" s="8"/>
    </row>
    <row r="529" spans="2:2">
      <c r="B529" s="8"/>
    </row>
    <row r="530" spans="2:2">
      <c r="B530" s="8"/>
    </row>
    <row r="531" spans="2:2">
      <c r="B531" s="8"/>
    </row>
    <row r="532" spans="2:2">
      <c r="B532" s="8"/>
    </row>
    <row r="533" spans="2:2">
      <c r="B533" s="8"/>
    </row>
    <row r="534" spans="2:2">
      <c r="B534" s="8"/>
    </row>
    <row r="535" spans="2:2">
      <c r="B535" s="8"/>
    </row>
    <row r="536" spans="2:2">
      <c r="B536" s="8"/>
    </row>
    <row r="537" spans="2:2">
      <c r="B537" s="8"/>
    </row>
    <row r="538" spans="2:2">
      <c r="B538" s="8"/>
    </row>
    <row r="539" spans="2:2">
      <c r="B539" s="8"/>
    </row>
    <row r="540" spans="2:2">
      <c r="B540" s="8"/>
    </row>
    <row r="541" spans="2:2">
      <c r="B541" s="8"/>
    </row>
    <row r="542" spans="2:2">
      <c r="B542" s="8"/>
    </row>
    <row r="543" spans="2:2">
      <c r="B543" s="8"/>
    </row>
    <row r="544" spans="2:2">
      <c r="B544" s="8"/>
    </row>
    <row r="545" spans="2:2">
      <c r="B545" s="8"/>
    </row>
    <row r="546" spans="2:2">
      <c r="B546" s="8"/>
    </row>
    <row r="547" spans="2:2">
      <c r="B547" s="8"/>
    </row>
    <row r="548" spans="2:2">
      <c r="B548" s="8"/>
    </row>
    <row r="549" spans="2:2">
      <c r="B549" s="8"/>
    </row>
    <row r="550" spans="2:2">
      <c r="B550" s="8"/>
    </row>
    <row r="551" spans="2:2">
      <c r="B551" s="8"/>
    </row>
    <row r="552" spans="2:2">
      <c r="B552" s="8"/>
    </row>
    <row r="553" spans="2:2">
      <c r="B553" s="8"/>
    </row>
    <row r="554" spans="2:2">
      <c r="B554" s="8"/>
    </row>
    <row r="555" spans="2:2">
      <c r="B555" s="8"/>
    </row>
    <row r="556" spans="2:2">
      <c r="B556" s="8"/>
    </row>
    <row r="557" spans="2:2">
      <c r="B557" s="8"/>
    </row>
    <row r="558" spans="2:2">
      <c r="B558" s="8"/>
    </row>
    <row r="559" spans="2:2">
      <c r="B559" s="8"/>
    </row>
    <row r="560" spans="2:2">
      <c r="B560" s="8"/>
    </row>
    <row r="561" spans="2:2">
      <c r="B561" s="8"/>
    </row>
    <row r="562" spans="2:2">
      <c r="B562" s="8"/>
    </row>
    <row r="563" spans="2:2">
      <c r="B563" s="8"/>
    </row>
    <row r="564" spans="2:2">
      <c r="B564" s="8"/>
    </row>
    <row r="565" spans="2:2">
      <c r="B565" s="8"/>
    </row>
    <row r="566" spans="2:2">
      <c r="B566" s="8"/>
    </row>
    <row r="567" spans="2:2">
      <c r="B567" s="8"/>
    </row>
    <row r="568" spans="2:2">
      <c r="B568" s="8"/>
    </row>
    <row r="569" spans="2:2">
      <c r="B569" s="8"/>
    </row>
    <row r="570" spans="2:2">
      <c r="B570" s="8"/>
    </row>
    <row r="571" spans="2:2">
      <c r="B571" s="8"/>
    </row>
    <row r="572" spans="2:2">
      <c r="B572" s="8"/>
    </row>
    <row r="573" spans="2:2">
      <c r="B573" s="8"/>
    </row>
    <row r="574" spans="2:2">
      <c r="B574" s="8"/>
    </row>
    <row r="575" spans="2:2">
      <c r="B575" s="8"/>
    </row>
    <row r="576" spans="2:2">
      <c r="B576" s="8"/>
    </row>
    <row r="577" spans="2:2">
      <c r="B577" s="8"/>
    </row>
    <row r="578" spans="2:2">
      <c r="B578" s="8"/>
    </row>
    <row r="579" spans="2:2">
      <c r="B579" s="8"/>
    </row>
    <row r="580" spans="2:2">
      <c r="B580" s="8"/>
    </row>
    <row r="581" spans="2:2">
      <c r="B581" s="8"/>
    </row>
    <row r="582" spans="2:2">
      <c r="B582" s="8"/>
    </row>
    <row r="583" spans="2:2">
      <c r="B583" s="8"/>
    </row>
    <row r="584" spans="2:2">
      <c r="B584" s="8"/>
    </row>
    <row r="585" spans="2:2">
      <c r="B585" s="8"/>
    </row>
    <row r="586" spans="2:2">
      <c r="B586" s="8"/>
    </row>
    <row r="587" spans="2:2">
      <c r="B587" s="8"/>
    </row>
    <row r="588" spans="2:2">
      <c r="B588" s="8"/>
    </row>
    <row r="589" spans="2:2">
      <c r="B589" s="8"/>
    </row>
    <row r="590" spans="2:2">
      <c r="B590" s="8"/>
    </row>
    <row r="591" spans="2:2">
      <c r="B591" s="8"/>
    </row>
    <row r="592" spans="2:2">
      <c r="B592" s="8"/>
    </row>
    <row r="593" spans="2:2">
      <c r="B593" s="8"/>
    </row>
    <row r="594" spans="2:2">
      <c r="B594" s="8"/>
    </row>
    <row r="595" spans="2:2">
      <c r="B595" s="8"/>
    </row>
    <row r="596" spans="2:2">
      <c r="B596" s="8"/>
    </row>
    <row r="597" spans="2:2">
      <c r="B597" s="8"/>
    </row>
    <row r="598" spans="2:2">
      <c r="B598" s="8"/>
    </row>
    <row r="599" spans="2:2">
      <c r="B599" s="8"/>
    </row>
    <row r="600" spans="2:2">
      <c r="B600" s="8"/>
    </row>
    <row r="601" spans="2:2">
      <c r="B601" s="8"/>
    </row>
    <row r="602" spans="2:2">
      <c r="B602" s="8"/>
    </row>
    <row r="603" spans="2:2">
      <c r="B603" s="8"/>
    </row>
    <row r="604" spans="2:2">
      <c r="B604" s="8"/>
    </row>
    <row r="605" spans="2:2">
      <c r="B605" s="8"/>
    </row>
    <row r="606" spans="2:2">
      <c r="B606" s="8"/>
    </row>
    <row r="607" spans="2:2">
      <c r="B607" s="8"/>
    </row>
    <row r="608" spans="2:2">
      <c r="B608" s="8"/>
    </row>
    <row r="609" spans="2:2">
      <c r="B609" s="8"/>
    </row>
    <row r="610" spans="2:2">
      <c r="B610" s="8"/>
    </row>
    <row r="611" spans="2:2">
      <c r="B611" s="8"/>
    </row>
    <row r="612" spans="2:2">
      <c r="B612" s="8"/>
    </row>
    <row r="613" spans="2:2">
      <c r="B613" s="8"/>
    </row>
    <row r="614" spans="2:2">
      <c r="B614" s="8"/>
    </row>
    <row r="615" spans="2:2">
      <c r="B615" s="8"/>
    </row>
    <row r="616" spans="2:2">
      <c r="B616" s="8"/>
    </row>
    <row r="617" spans="2:2">
      <c r="B617" s="8"/>
    </row>
    <row r="618" spans="2:2">
      <c r="B618" s="8"/>
    </row>
    <row r="619" spans="2:2">
      <c r="B619" s="8"/>
    </row>
    <row r="620" spans="2:2">
      <c r="B620" s="8"/>
    </row>
    <row r="621" spans="2:2">
      <c r="B621" s="8"/>
    </row>
    <row r="622" spans="2:2">
      <c r="B622" s="8"/>
    </row>
    <row r="623" spans="2:2">
      <c r="B623" s="8"/>
    </row>
    <row r="624" spans="2:2">
      <c r="B624" s="8"/>
    </row>
    <row r="625" spans="2:2">
      <c r="B625" s="8"/>
    </row>
    <row r="626" spans="2:2">
      <c r="B626" s="8"/>
    </row>
    <row r="627" spans="2:2">
      <c r="B627" s="8"/>
    </row>
    <row r="628" spans="2:2">
      <c r="B628" s="8"/>
    </row>
    <row r="629" spans="2:2">
      <c r="B629" s="8"/>
    </row>
    <row r="630" spans="2:2">
      <c r="B630" s="8"/>
    </row>
    <row r="631" spans="2:2">
      <c r="B631" s="8"/>
    </row>
    <row r="632" spans="2:2">
      <c r="B632" s="8"/>
    </row>
    <row r="633" spans="2:2">
      <c r="B633" s="8"/>
    </row>
    <row r="634" spans="2:2">
      <c r="B634" s="8"/>
    </row>
    <row r="635" spans="2:2">
      <c r="B635" s="8"/>
    </row>
    <row r="636" spans="2:2">
      <c r="B636" s="8"/>
    </row>
    <row r="637" spans="2:2">
      <c r="B637" s="8"/>
    </row>
    <row r="638" spans="2:2">
      <c r="B638" s="8"/>
    </row>
    <row r="639" spans="2:2">
      <c r="B639" s="8"/>
    </row>
    <row r="640" spans="2:2">
      <c r="B640" s="8"/>
    </row>
    <row r="641" spans="2:2">
      <c r="B641" s="8"/>
    </row>
    <row r="642" spans="2:2">
      <c r="B642" s="8"/>
    </row>
    <row r="643" spans="2:2">
      <c r="B643" s="8"/>
    </row>
    <row r="644" spans="2:2">
      <c r="B644" s="8"/>
    </row>
    <row r="645" spans="2:2">
      <c r="B645" s="8"/>
    </row>
    <row r="646" spans="2:2">
      <c r="B646" s="8"/>
    </row>
    <row r="647" spans="2:2">
      <c r="B647" s="8"/>
    </row>
    <row r="648" spans="2:2">
      <c r="B648" s="8"/>
    </row>
    <row r="649" spans="2:2">
      <c r="B649" s="8"/>
    </row>
    <row r="650" spans="2:2">
      <c r="B650" s="8"/>
    </row>
    <row r="651" spans="2:2">
      <c r="B651" s="8"/>
    </row>
    <row r="652" spans="2:2">
      <c r="B652" s="8"/>
    </row>
    <row r="653" spans="2:2">
      <c r="B653" s="8"/>
    </row>
    <row r="654" spans="2:2">
      <c r="B654" s="8"/>
    </row>
    <row r="655" spans="2:2">
      <c r="B655" s="8"/>
    </row>
    <row r="656" spans="2:2">
      <c r="B656" s="8"/>
    </row>
    <row r="657" spans="2:2">
      <c r="B657" s="8"/>
    </row>
    <row r="658" spans="2:2">
      <c r="B658" s="8"/>
    </row>
    <row r="659" spans="2:2">
      <c r="B659" s="8"/>
    </row>
    <row r="660" spans="2:2">
      <c r="B660" s="8"/>
    </row>
    <row r="661" spans="2:2">
      <c r="B661" s="8"/>
    </row>
    <row r="662" spans="2:2">
      <c r="B662" s="8"/>
    </row>
    <row r="663" spans="2:2">
      <c r="B663" s="8"/>
    </row>
    <row r="664" spans="2:2">
      <c r="B664" s="8"/>
    </row>
    <row r="665" spans="2:2">
      <c r="B665" s="8"/>
    </row>
    <row r="666" spans="2:2">
      <c r="B666" s="8"/>
    </row>
    <row r="667" spans="2:2">
      <c r="B667" s="8"/>
    </row>
    <row r="668" spans="2:2">
      <c r="B668" s="8"/>
    </row>
    <row r="669" spans="2:2">
      <c r="B669" s="8"/>
    </row>
    <row r="670" spans="2:2">
      <c r="B670" s="8"/>
    </row>
    <row r="671" spans="2:2">
      <c r="B671" s="8"/>
    </row>
    <row r="672" spans="2:2">
      <c r="B672" s="8"/>
    </row>
    <row r="673" spans="2:2">
      <c r="B673" s="8"/>
    </row>
    <row r="674" spans="2:2">
      <c r="B674" s="8"/>
    </row>
    <row r="675" spans="2:2">
      <c r="B675" s="8"/>
    </row>
    <row r="676" spans="2:2">
      <c r="B676" s="8"/>
    </row>
    <row r="677" spans="2:2">
      <c r="B677" s="8"/>
    </row>
    <row r="678" spans="2:2">
      <c r="B678" s="8"/>
    </row>
    <row r="679" spans="2:2">
      <c r="B679" s="8"/>
    </row>
    <row r="680" spans="2:2">
      <c r="B680" s="8"/>
    </row>
    <row r="681" spans="2:2">
      <c r="B681" s="8"/>
    </row>
    <row r="682" spans="2:2">
      <c r="B682" s="8"/>
    </row>
    <row r="683" spans="2:2">
      <c r="B683" s="8"/>
    </row>
    <row r="684" spans="2:2">
      <c r="B684" s="8"/>
    </row>
    <row r="685" spans="2:2">
      <c r="B685" s="8"/>
    </row>
    <row r="686" spans="2:2">
      <c r="B686" s="8"/>
    </row>
    <row r="687" spans="2:2">
      <c r="B687" s="8"/>
    </row>
    <row r="688" spans="2:2">
      <c r="B688" s="8"/>
    </row>
    <row r="689" spans="2:2">
      <c r="B689" s="8"/>
    </row>
    <row r="690" spans="2:2">
      <c r="B690" s="8"/>
    </row>
    <row r="691" spans="2:2">
      <c r="B691" s="8"/>
    </row>
    <row r="692" spans="2:2">
      <c r="B692" s="8"/>
    </row>
    <row r="693" spans="2:2">
      <c r="B693" s="8"/>
    </row>
    <row r="694" spans="2:2">
      <c r="B694" s="8"/>
    </row>
    <row r="695" spans="2:2">
      <c r="B695" s="8"/>
    </row>
    <row r="696" spans="2:2">
      <c r="B696" s="8"/>
    </row>
    <row r="697" spans="2:2">
      <c r="B697" s="8"/>
    </row>
    <row r="698" spans="2:2">
      <c r="B698" s="8"/>
    </row>
    <row r="699" spans="2:2">
      <c r="B699" s="8"/>
    </row>
    <row r="700" spans="2:2">
      <c r="B700" s="8"/>
    </row>
    <row r="701" spans="2:2">
      <c r="B701" s="8"/>
    </row>
    <row r="702" spans="2:2">
      <c r="B702" s="8"/>
    </row>
    <row r="703" spans="2:2">
      <c r="B703" s="8"/>
    </row>
    <row r="704" spans="2:2">
      <c r="B704" s="8"/>
    </row>
    <row r="705" spans="2:2">
      <c r="B705" s="8"/>
    </row>
    <row r="706" spans="2:2">
      <c r="B706" s="8"/>
    </row>
    <row r="707" spans="2:2">
      <c r="B707" s="8"/>
    </row>
    <row r="708" spans="2:2">
      <c r="B708" s="8"/>
    </row>
    <row r="709" spans="2:2">
      <c r="B709" s="8"/>
    </row>
    <row r="710" spans="2:2">
      <c r="B710" s="8"/>
    </row>
    <row r="711" spans="2:2">
      <c r="B711" s="8"/>
    </row>
    <row r="712" spans="2:2">
      <c r="B712" s="8"/>
    </row>
    <row r="713" spans="2:2">
      <c r="B713" s="8"/>
    </row>
    <row r="714" spans="2:2">
      <c r="B714" s="8"/>
    </row>
    <row r="715" spans="2:2">
      <c r="B715" s="8"/>
    </row>
    <row r="716" spans="2:2">
      <c r="B716" s="8"/>
    </row>
    <row r="717" spans="2:2">
      <c r="B717" s="8"/>
    </row>
    <row r="718" spans="2:2">
      <c r="B718" s="8"/>
    </row>
    <row r="719" spans="2:2">
      <c r="B719" s="8"/>
    </row>
    <row r="720" spans="2:2">
      <c r="B720" s="8"/>
    </row>
    <row r="721" spans="2:2">
      <c r="B721" s="8"/>
    </row>
    <row r="722" spans="2:2">
      <c r="B722" s="8"/>
    </row>
    <row r="723" spans="2:2">
      <c r="B723" s="8"/>
    </row>
    <row r="724" spans="2:2">
      <c r="B724" s="8"/>
    </row>
    <row r="725" spans="2:2">
      <c r="B725" s="8"/>
    </row>
    <row r="726" spans="2:2">
      <c r="B726" s="8"/>
    </row>
    <row r="727" spans="2:2">
      <c r="B727" s="8"/>
    </row>
    <row r="728" spans="2:2">
      <c r="B728" s="8"/>
    </row>
    <row r="729" spans="2:2">
      <c r="B729" s="8"/>
    </row>
    <row r="730" spans="2:2">
      <c r="B730" s="8"/>
    </row>
    <row r="731" spans="2:2">
      <c r="B731" s="8"/>
    </row>
    <row r="732" spans="2:2">
      <c r="B732" s="8"/>
    </row>
    <row r="733" spans="2:2">
      <c r="B733" s="8"/>
    </row>
    <row r="734" spans="2:2">
      <c r="B734" s="8"/>
    </row>
    <row r="735" spans="2:2">
      <c r="B735" s="8"/>
    </row>
    <row r="736" spans="2:2">
      <c r="B736" s="8"/>
    </row>
    <row r="737" spans="2:2">
      <c r="B737" s="8"/>
    </row>
    <row r="738" spans="2:2">
      <c r="B738" s="8"/>
    </row>
    <row r="739" spans="2:2">
      <c r="B739" s="8"/>
    </row>
    <row r="740" spans="2:2">
      <c r="B740" s="8"/>
    </row>
    <row r="741" spans="2:2">
      <c r="B741" s="8"/>
    </row>
    <row r="742" spans="2:2">
      <c r="B742" s="8"/>
    </row>
    <row r="743" spans="2:2">
      <c r="B743" s="8"/>
    </row>
    <row r="744" spans="2:2">
      <c r="B744" s="8"/>
    </row>
    <row r="745" spans="2:2">
      <c r="B745" s="8"/>
    </row>
    <row r="746" spans="2:2">
      <c r="B746" s="8"/>
    </row>
    <row r="747" spans="2:2">
      <c r="B747" s="8"/>
    </row>
    <row r="748" spans="2:2">
      <c r="B748" s="8"/>
    </row>
    <row r="749" spans="2:2">
      <c r="B749" s="8"/>
    </row>
    <row r="750" spans="2:2">
      <c r="B750" s="8"/>
    </row>
    <row r="751" spans="2:2">
      <c r="B751" s="8"/>
    </row>
    <row r="752" spans="2:2">
      <c r="B752" s="8"/>
    </row>
    <row r="753" spans="2:2">
      <c r="B753" s="8"/>
    </row>
    <row r="754" spans="2:2">
      <c r="B754" s="8"/>
    </row>
    <row r="755" spans="2:2">
      <c r="B755" s="8"/>
    </row>
    <row r="756" spans="2:2">
      <c r="B756" s="8"/>
    </row>
    <row r="757" spans="2:2">
      <c r="B757" s="8"/>
    </row>
    <row r="758" spans="2:2">
      <c r="B758" s="8"/>
    </row>
    <row r="759" spans="2:2">
      <c r="B759" s="8"/>
    </row>
    <row r="760" spans="2:2">
      <c r="B760" s="8"/>
    </row>
    <row r="761" spans="2:2">
      <c r="B761" s="8"/>
    </row>
    <row r="762" spans="2:2">
      <c r="B762" s="8"/>
    </row>
    <row r="763" spans="2:2">
      <c r="B763" s="8"/>
    </row>
    <row r="764" spans="2:2">
      <c r="B764" s="8"/>
    </row>
    <row r="765" spans="2:2">
      <c r="B765" s="8"/>
    </row>
    <row r="766" spans="2:2">
      <c r="B766" s="8"/>
    </row>
    <row r="767" spans="2:2">
      <c r="B767" s="8"/>
    </row>
    <row r="768" spans="2:2">
      <c r="B768" s="8"/>
    </row>
    <row r="769" spans="2:2">
      <c r="B769" s="8"/>
    </row>
    <row r="770" spans="2:2">
      <c r="B770" s="8"/>
    </row>
    <row r="771" spans="2:2">
      <c r="B771" s="8"/>
    </row>
    <row r="772" spans="2:2">
      <c r="B772" s="8"/>
    </row>
    <row r="773" spans="2:2">
      <c r="B773" s="8"/>
    </row>
    <row r="774" spans="2:2">
      <c r="B774" s="8"/>
    </row>
    <row r="775" spans="2:2">
      <c r="B775" s="8"/>
    </row>
    <row r="776" spans="2:2">
      <c r="B776" s="8"/>
    </row>
    <row r="777" spans="2:2">
      <c r="B777" s="8"/>
    </row>
    <row r="778" spans="2:2">
      <c r="B778" s="8"/>
    </row>
    <row r="779" spans="2:2">
      <c r="B779" s="8"/>
    </row>
    <row r="780" spans="2:2">
      <c r="B780" s="8"/>
    </row>
    <row r="781" spans="2:2">
      <c r="B781" s="8"/>
    </row>
    <row r="782" spans="2:2">
      <c r="B782" s="8"/>
    </row>
    <row r="783" spans="2:2">
      <c r="B783" s="8"/>
    </row>
    <row r="784" spans="2:2">
      <c r="B784" s="8"/>
    </row>
    <row r="785" spans="2:2">
      <c r="B785" s="8"/>
    </row>
    <row r="786" spans="2:2">
      <c r="B786" s="8"/>
    </row>
    <row r="787" spans="2:2">
      <c r="B787" s="8"/>
    </row>
    <row r="788" spans="2:2">
      <c r="B788" s="8"/>
    </row>
    <row r="789" spans="2:2">
      <c r="B789" s="8"/>
    </row>
    <row r="790" spans="2:2">
      <c r="B790" s="8"/>
    </row>
    <row r="791" spans="2:2">
      <c r="B791" s="8"/>
    </row>
    <row r="792" spans="2:2">
      <c r="B792" s="8"/>
    </row>
    <row r="793" spans="2:2">
      <c r="B793" s="8"/>
    </row>
    <row r="794" spans="2:2">
      <c r="B794" s="8"/>
    </row>
    <row r="795" spans="2:2">
      <c r="B795" s="8"/>
    </row>
    <row r="796" spans="2:2">
      <c r="B796" s="8"/>
    </row>
    <row r="797" spans="2:2">
      <c r="B797" s="8"/>
    </row>
    <row r="798" spans="2:2">
      <c r="B798" s="8"/>
    </row>
    <row r="799" spans="2:2">
      <c r="B799" s="8"/>
    </row>
    <row r="800" spans="2:2">
      <c r="B800" s="8"/>
    </row>
    <row r="801" spans="2:2">
      <c r="B801" s="8"/>
    </row>
    <row r="802" spans="2:2">
      <c r="B802" s="8"/>
    </row>
    <row r="803" spans="2:2">
      <c r="B803" s="8"/>
    </row>
    <row r="804" spans="2:2">
      <c r="B804" s="8"/>
    </row>
    <row r="805" spans="2:2">
      <c r="B805" s="8"/>
    </row>
    <row r="806" spans="2:2">
      <c r="B806" s="8"/>
    </row>
    <row r="807" spans="2:2">
      <c r="B807" s="8"/>
    </row>
    <row r="808" spans="2:2">
      <c r="B808" s="8"/>
    </row>
    <row r="809" spans="2:2">
      <c r="B809" s="8"/>
    </row>
    <row r="810" spans="2:2">
      <c r="B810" s="8"/>
    </row>
    <row r="811" spans="2:2">
      <c r="B811" s="8"/>
    </row>
    <row r="812" spans="2:2">
      <c r="B812" s="8"/>
    </row>
    <row r="813" spans="2:2">
      <c r="B813" s="8"/>
    </row>
    <row r="814" spans="2:2">
      <c r="B814" s="8"/>
    </row>
    <row r="815" spans="2:2">
      <c r="B815" s="8"/>
    </row>
    <row r="816" spans="2:2">
      <c r="B816" s="8"/>
    </row>
    <row r="817" spans="2:2">
      <c r="B817" s="8"/>
    </row>
    <row r="818" spans="2:2">
      <c r="B818" s="8"/>
    </row>
    <row r="819" spans="2:2">
      <c r="B819" s="8"/>
    </row>
    <row r="820" spans="2:2">
      <c r="B820" s="8"/>
    </row>
    <row r="821" spans="2:2">
      <c r="B821" s="8"/>
    </row>
    <row r="822" spans="2:2">
      <c r="B822" s="8"/>
    </row>
    <row r="823" spans="2:2">
      <c r="B823" s="8"/>
    </row>
    <row r="824" spans="2:2">
      <c r="B824" s="8"/>
    </row>
    <row r="825" spans="2:2">
      <c r="B825" s="8"/>
    </row>
    <row r="826" spans="2:2">
      <c r="B826" s="8"/>
    </row>
    <row r="827" spans="2:2">
      <c r="B827" s="8"/>
    </row>
    <row r="828" spans="2:2">
      <c r="B828" s="8"/>
    </row>
    <row r="829" spans="2:2">
      <c r="B829" s="8"/>
    </row>
    <row r="830" spans="2:2">
      <c r="B830" s="8"/>
    </row>
    <row r="831" spans="2:2">
      <c r="B831" s="8"/>
    </row>
    <row r="832" spans="2:2">
      <c r="B832" s="8"/>
    </row>
    <row r="833" spans="2:2">
      <c r="B833" s="8"/>
    </row>
    <row r="834" spans="2:2">
      <c r="B834" s="8"/>
    </row>
    <row r="835" spans="2:2">
      <c r="B835" s="8"/>
    </row>
    <row r="836" spans="2:2">
      <c r="B836" s="8"/>
    </row>
    <row r="837" spans="2:2">
      <c r="B837" s="8"/>
    </row>
    <row r="838" spans="2:2">
      <c r="B838" s="8"/>
    </row>
    <row r="839" spans="2:2">
      <c r="B839" s="8"/>
    </row>
    <row r="840" spans="2:2">
      <c r="B840" s="8"/>
    </row>
    <row r="841" spans="2:2">
      <c r="B841" s="8"/>
    </row>
    <row r="842" spans="2:2">
      <c r="B842" s="8"/>
    </row>
    <row r="843" spans="2:2">
      <c r="B843" s="8"/>
    </row>
    <row r="844" spans="2:2">
      <c r="B844" s="8"/>
    </row>
    <row r="845" spans="2:2">
      <c r="B845" s="8"/>
    </row>
    <row r="846" spans="2:2">
      <c r="B846" s="8"/>
    </row>
    <row r="847" spans="2:2">
      <c r="B847" s="8"/>
    </row>
    <row r="848" spans="2:2">
      <c r="B848" s="8"/>
    </row>
    <row r="849" spans="2:2">
      <c r="B849" s="8"/>
    </row>
    <row r="850" spans="2:2">
      <c r="B850" s="8"/>
    </row>
    <row r="851" spans="2:2">
      <c r="B851" s="8"/>
    </row>
    <row r="852" spans="2:2">
      <c r="B852" s="8"/>
    </row>
    <row r="853" spans="2:2">
      <c r="B853" s="8"/>
    </row>
    <row r="854" spans="2:2">
      <c r="B854" s="8"/>
    </row>
    <row r="855" spans="2:2">
      <c r="B855" s="8"/>
    </row>
    <row r="856" spans="2:2">
      <c r="B856" s="8"/>
    </row>
    <row r="857" spans="2:2">
      <c r="B857" s="8"/>
    </row>
    <row r="858" spans="2:2">
      <c r="B858" s="8"/>
    </row>
    <row r="859" spans="2:2">
      <c r="B859" s="8"/>
    </row>
    <row r="860" spans="2:2">
      <c r="B860" s="8"/>
    </row>
    <row r="861" spans="2:2">
      <c r="B861" s="8"/>
    </row>
    <row r="862" spans="2:2">
      <c r="B862" s="8"/>
    </row>
    <row r="863" spans="2:2">
      <c r="B863" s="8"/>
    </row>
    <row r="864" spans="2:2">
      <c r="B864" s="8"/>
    </row>
    <row r="865" spans="2:2">
      <c r="B865" s="8"/>
    </row>
    <row r="866" spans="2:2">
      <c r="B866" s="8"/>
    </row>
    <row r="867" spans="2:2">
      <c r="B867" s="8"/>
    </row>
    <row r="868" spans="2:2">
      <c r="B868" s="8"/>
    </row>
    <row r="869" spans="2:2">
      <c r="B869" s="8"/>
    </row>
    <row r="870" spans="2:2">
      <c r="B870" s="8"/>
    </row>
    <row r="871" spans="2:2">
      <c r="B871" s="8"/>
    </row>
    <row r="872" spans="2:2">
      <c r="B872" s="8"/>
    </row>
    <row r="873" spans="2:2">
      <c r="B873" s="8"/>
    </row>
    <row r="874" spans="2:2">
      <c r="B874" s="8"/>
    </row>
    <row r="875" spans="2:2">
      <c r="B875" s="8"/>
    </row>
    <row r="876" spans="2:2">
      <c r="B876" s="8"/>
    </row>
    <row r="877" spans="2:2">
      <c r="B877" s="8"/>
    </row>
    <row r="878" spans="2:2">
      <c r="B878" s="8"/>
    </row>
    <row r="879" spans="2:2">
      <c r="B879" s="8"/>
    </row>
    <row r="880" spans="2:2">
      <c r="B880" s="8"/>
    </row>
    <row r="881" spans="2:2">
      <c r="B881" s="8"/>
    </row>
    <row r="882" spans="2:2">
      <c r="B882" s="8"/>
    </row>
    <row r="883" spans="2:2">
      <c r="B883" s="8"/>
    </row>
    <row r="884" spans="2:2">
      <c r="B884" s="8"/>
    </row>
    <row r="885" spans="2:2">
      <c r="B885" s="8"/>
    </row>
    <row r="886" spans="2:2">
      <c r="B886" s="8"/>
    </row>
    <row r="887" spans="2:2">
      <c r="B887" s="8"/>
    </row>
    <row r="888" spans="2:2">
      <c r="B888" s="8"/>
    </row>
    <row r="889" spans="2:2">
      <c r="B889" s="8"/>
    </row>
    <row r="890" spans="2:2">
      <c r="B890" s="8"/>
    </row>
    <row r="891" spans="2:2">
      <c r="B891" s="8"/>
    </row>
    <row r="892" spans="2:2">
      <c r="B892" s="8"/>
    </row>
    <row r="893" spans="2:2">
      <c r="B893" s="8"/>
    </row>
    <row r="894" spans="2:2">
      <c r="B894" s="8"/>
    </row>
    <row r="895" spans="2:2">
      <c r="B895" s="8"/>
    </row>
    <row r="896" spans="2:2">
      <c r="B896" s="8"/>
    </row>
    <row r="897" spans="2:2">
      <c r="B897" s="8"/>
    </row>
    <row r="898" spans="2:2">
      <c r="B898" s="8"/>
    </row>
    <row r="899" spans="2:2">
      <c r="B899" s="8"/>
    </row>
    <row r="900" spans="2:2">
      <c r="B900" s="8"/>
    </row>
    <row r="901" spans="2:2">
      <c r="B901" s="8"/>
    </row>
    <row r="902" spans="2:2">
      <c r="B902" s="8"/>
    </row>
    <row r="903" spans="2:2">
      <c r="B903" s="8"/>
    </row>
    <row r="904" spans="2:2">
      <c r="B904" s="8"/>
    </row>
    <row r="905" spans="2:2">
      <c r="B905" s="8"/>
    </row>
    <row r="906" spans="2:2">
      <c r="B906" s="8"/>
    </row>
    <row r="907" spans="2:2">
      <c r="B907" s="8"/>
    </row>
    <row r="908" spans="2:2">
      <c r="B908" s="8"/>
    </row>
    <row r="909" spans="2:2">
      <c r="B909" s="8"/>
    </row>
    <row r="910" spans="2:2">
      <c r="B910" s="8"/>
    </row>
    <row r="911" spans="2:2">
      <c r="B911" s="8"/>
    </row>
    <row r="912" spans="2:2">
      <c r="B912" s="8"/>
    </row>
    <row r="913" spans="2:2">
      <c r="B913" s="8"/>
    </row>
    <row r="914" spans="2:2">
      <c r="B914" s="8"/>
    </row>
    <row r="915" spans="2:2">
      <c r="B915" s="8"/>
    </row>
    <row r="916" spans="2:2">
      <c r="B916" s="8"/>
    </row>
    <row r="917" spans="2:2">
      <c r="B917" s="8"/>
    </row>
    <row r="918" spans="2:2">
      <c r="B918" s="8"/>
    </row>
    <row r="919" spans="2:2">
      <c r="B919" s="8"/>
    </row>
    <row r="920" spans="2:2">
      <c r="B920" s="8"/>
    </row>
    <row r="921" spans="2:2">
      <c r="B921" s="8"/>
    </row>
    <row r="922" spans="2:2">
      <c r="B922" s="8"/>
    </row>
    <row r="923" spans="2:2">
      <c r="B923" s="8"/>
    </row>
    <row r="924" spans="2:2">
      <c r="B924" s="8"/>
    </row>
    <row r="925" spans="2:2">
      <c r="B925" s="8"/>
    </row>
    <row r="926" spans="2:2">
      <c r="B926" s="8"/>
    </row>
    <row r="927" spans="2:2">
      <c r="B927" s="8"/>
    </row>
    <row r="928" spans="2:2">
      <c r="B928" s="8"/>
    </row>
    <row r="929" spans="2:2">
      <c r="B929" s="8"/>
    </row>
    <row r="930" spans="2:2">
      <c r="B930" s="8"/>
    </row>
    <row r="931" spans="2:2">
      <c r="B931" s="8"/>
    </row>
    <row r="932" spans="2:2">
      <c r="B932" s="8"/>
    </row>
    <row r="933" spans="2:2">
      <c r="B933" s="8"/>
    </row>
    <row r="934" spans="2:2">
      <c r="B934" s="8"/>
    </row>
    <row r="935" spans="2:2">
      <c r="B935" s="8"/>
    </row>
    <row r="936" spans="2:2">
      <c r="B936" s="8"/>
    </row>
    <row r="937" spans="2:2">
      <c r="B937" s="8"/>
    </row>
    <row r="938" spans="2:2">
      <c r="B938" s="8"/>
    </row>
    <row r="939" spans="2:2">
      <c r="B939" s="8"/>
    </row>
    <row r="940" spans="2:2">
      <c r="B940" s="8"/>
    </row>
    <row r="941" spans="2:2">
      <c r="B941" s="8"/>
    </row>
    <row r="942" spans="2:2">
      <c r="B942" s="8"/>
    </row>
    <row r="943" spans="2:2">
      <c r="B943" s="8"/>
    </row>
    <row r="944" spans="2:2">
      <c r="B944" s="8"/>
    </row>
    <row r="945" spans="2:2">
      <c r="B945" s="8"/>
    </row>
    <row r="946" spans="2:2">
      <c r="B946" s="8"/>
    </row>
    <row r="947" spans="2:2">
      <c r="B947" s="8"/>
    </row>
    <row r="948" spans="2:2">
      <c r="B948" s="8"/>
    </row>
    <row r="949" spans="2:2">
      <c r="B949" s="8"/>
    </row>
    <row r="950" spans="2:2">
      <c r="B950" s="8"/>
    </row>
    <row r="951" spans="2:2">
      <c r="B951" s="8"/>
    </row>
    <row r="952" spans="2:2">
      <c r="B952" s="8"/>
    </row>
    <row r="953" spans="2:2">
      <c r="B953" s="8"/>
    </row>
    <row r="954" spans="2:2">
      <c r="B954" s="8"/>
    </row>
    <row r="955" spans="2:2">
      <c r="B955" s="8"/>
    </row>
    <row r="956" spans="2:2">
      <c r="B956" s="8"/>
    </row>
    <row r="957" spans="2:2">
      <c r="B957" s="8"/>
    </row>
    <row r="958" spans="2:2">
      <c r="B958" s="8"/>
    </row>
    <row r="959" spans="2:2">
      <c r="B959" s="8"/>
    </row>
    <row r="960" spans="2:2">
      <c r="B960" s="8"/>
    </row>
    <row r="961" spans="2:2">
      <c r="B961" s="8"/>
    </row>
    <row r="962" spans="2:2">
      <c r="B962" s="8"/>
    </row>
    <row r="963" spans="2:2">
      <c r="B963" s="8"/>
    </row>
    <row r="964" spans="2:2">
      <c r="B964" s="8"/>
    </row>
    <row r="965" spans="2:2">
      <c r="B965" s="8"/>
    </row>
    <row r="966" spans="2:2">
      <c r="B966" s="8"/>
    </row>
    <row r="967" spans="2:2">
      <c r="B967" s="8"/>
    </row>
    <row r="968" spans="2:2">
      <c r="B968" s="8"/>
    </row>
    <row r="969" spans="2:2">
      <c r="B969" s="8"/>
    </row>
    <row r="970" spans="2:2">
      <c r="B970" s="8"/>
    </row>
    <row r="971" spans="2:2">
      <c r="B971" s="8"/>
    </row>
    <row r="972" spans="2:2">
      <c r="B972" s="8"/>
    </row>
    <row r="973" spans="2:2">
      <c r="B973" s="8"/>
    </row>
    <row r="974" spans="2:2">
      <c r="B974" s="8"/>
    </row>
    <row r="975" spans="2:2">
      <c r="B975" s="8"/>
    </row>
    <row r="976" spans="2:2">
      <c r="B976" s="8"/>
    </row>
    <row r="977" spans="2:2">
      <c r="B977" s="8"/>
    </row>
    <row r="978" spans="2:2">
      <c r="B978" s="8"/>
    </row>
    <row r="979" spans="2:2">
      <c r="B979" s="8"/>
    </row>
    <row r="980" spans="2:2">
      <c r="B980" s="8"/>
    </row>
    <row r="981" spans="2:2">
      <c r="B981" s="8"/>
    </row>
    <row r="982" spans="2:2">
      <c r="B982" s="8"/>
    </row>
    <row r="983" spans="2:2">
      <c r="B983" s="8"/>
    </row>
    <row r="984" spans="2:2">
      <c r="B984" s="8"/>
    </row>
    <row r="985" spans="2:2">
      <c r="B985" s="8"/>
    </row>
    <row r="986" spans="2:2">
      <c r="B986" s="8"/>
    </row>
    <row r="987" spans="2:2">
      <c r="B987" s="8"/>
    </row>
    <row r="988" spans="2:2">
      <c r="B988" s="8"/>
    </row>
    <row r="989" spans="2:2">
      <c r="B989" s="8"/>
    </row>
    <row r="990" spans="2:2">
      <c r="B990" s="8"/>
    </row>
    <row r="991" spans="2:2">
      <c r="B991" s="8"/>
    </row>
    <row r="992" spans="2:2">
      <c r="B992" s="8"/>
    </row>
    <row r="993" spans="2:2">
      <c r="B993" s="8"/>
    </row>
    <row r="994" spans="2:2">
      <c r="B994" s="8"/>
    </row>
    <row r="995" spans="2:2">
      <c r="B995" s="8"/>
    </row>
    <row r="996" spans="2:2">
      <c r="B996" s="8"/>
    </row>
    <row r="997" spans="2:2">
      <c r="B997" s="8"/>
    </row>
    <row r="998" spans="2:2">
      <c r="B998" s="8"/>
    </row>
    <row r="999" spans="2:2">
      <c r="B999" s="8"/>
    </row>
    <row r="1000" spans="2:2">
      <c r="B1000" s="8"/>
    </row>
    <row r="1001" spans="2:2">
      <c r="B1001" s="8"/>
    </row>
    <row r="1002" spans="2:2">
      <c r="B1002" s="8"/>
    </row>
    <row r="1003" spans="2:2">
      <c r="B1003" s="8"/>
    </row>
    <row r="1004" spans="2:2">
      <c r="B1004" s="8"/>
    </row>
    <row r="1005" spans="2:2">
      <c r="B1005" s="8"/>
    </row>
    <row r="1006" spans="2:2">
      <c r="B1006" s="8"/>
    </row>
    <row r="1007" spans="2:2">
      <c r="B1007" s="8"/>
    </row>
    <row r="1008" spans="2:2">
      <c r="B1008" s="8"/>
    </row>
    <row r="1009" spans="2:2">
      <c r="B1009" s="8"/>
    </row>
    <row r="1010" spans="2:2">
      <c r="B1010" s="8"/>
    </row>
    <row r="1011" spans="2:2">
      <c r="B1011" s="8"/>
    </row>
    <row r="1012" spans="2:2">
      <c r="B1012" s="8"/>
    </row>
    <row r="1013" spans="2:2">
      <c r="B1013" s="8"/>
    </row>
    <row r="1014" spans="2:2">
      <c r="B1014" s="8"/>
    </row>
    <row r="1015" spans="2:2">
      <c r="B1015" s="8"/>
    </row>
    <row r="1016" spans="2:2">
      <c r="B1016" s="8"/>
    </row>
    <row r="1017" spans="2:2">
      <c r="B1017" s="8"/>
    </row>
    <row r="1018" spans="2:2">
      <c r="B1018" s="8"/>
    </row>
    <row r="1019" spans="2:2">
      <c r="B1019" s="8"/>
    </row>
    <row r="1020" spans="2:2">
      <c r="B1020" s="8"/>
    </row>
    <row r="1021" spans="2:2">
      <c r="B1021" s="8"/>
    </row>
    <row r="1022" spans="2:2">
      <c r="B1022" s="8"/>
    </row>
    <row r="1023" spans="2:2">
      <c r="B1023" s="8"/>
    </row>
    <row r="1024" spans="2:2">
      <c r="B1024" s="8"/>
    </row>
    <row r="1025" spans="2:2">
      <c r="B1025" s="8"/>
    </row>
    <row r="1026" spans="2:2">
      <c r="B1026" s="8"/>
    </row>
    <row r="1027" spans="2:2">
      <c r="B1027" s="8"/>
    </row>
    <row r="1028" spans="2:2">
      <c r="B1028" s="8"/>
    </row>
    <row r="1029" spans="2:2">
      <c r="B1029" s="8"/>
    </row>
    <row r="1030" spans="2:2">
      <c r="B1030" s="8"/>
    </row>
    <row r="1031" spans="2:2">
      <c r="B1031" s="8"/>
    </row>
    <row r="1032" spans="2:2">
      <c r="B1032" s="8"/>
    </row>
    <row r="1033" spans="2:2">
      <c r="B1033" s="8"/>
    </row>
    <row r="1034" spans="2:2">
      <c r="B1034" s="8"/>
    </row>
    <row r="1035" spans="2:2">
      <c r="B1035" s="8"/>
    </row>
    <row r="1036" spans="2:2">
      <c r="B1036" s="8"/>
    </row>
    <row r="1037" spans="2:2">
      <c r="B1037" s="8"/>
    </row>
    <row r="1038" spans="2:2">
      <c r="B1038" s="8"/>
    </row>
    <row r="1039" spans="2:2">
      <c r="B1039" s="8"/>
    </row>
    <row r="1040" spans="2:2">
      <c r="B1040" s="8"/>
    </row>
    <row r="1041" spans="2:2">
      <c r="B1041" s="8"/>
    </row>
    <row r="1042" spans="2:2">
      <c r="B1042" s="8"/>
    </row>
    <row r="1043" spans="2:2">
      <c r="B1043" s="8"/>
    </row>
    <row r="1044" spans="2:2">
      <c r="B1044" s="8"/>
    </row>
    <row r="1045" spans="2:2">
      <c r="B1045" s="8"/>
    </row>
    <row r="1046" spans="2:2">
      <c r="B1046" s="8"/>
    </row>
    <row r="1047" spans="2:2">
      <c r="B1047" s="8"/>
    </row>
    <row r="1048" spans="2:2">
      <c r="B1048" s="8"/>
    </row>
    <row r="1049" spans="2:2">
      <c r="B1049" s="8"/>
    </row>
    <row r="1050" spans="2:2">
      <c r="B1050" s="8"/>
    </row>
    <row r="1051" spans="2:2">
      <c r="B1051" s="8"/>
    </row>
    <row r="1052" spans="2:2">
      <c r="B1052" s="8"/>
    </row>
    <row r="1053" spans="2:2">
      <c r="B1053" s="8"/>
    </row>
    <row r="1054" spans="2:2">
      <c r="B1054" s="8"/>
    </row>
    <row r="1055" spans="2:2">
      <c r="B1055" s="8"/>
    </row>
    <row r="1056" spans="2:2">
      <c r="B1056" s="8"/>
    </row>
    <row r="1057" spans="2:2">
      <c r="B1057" s="8"/>
    </row>
    <row r="1058" spans="2:2">
      <c r="B1058" s="8"/>
    </row>
    <row r="1059" spans="2:2">
      <c r="B1059" s="8"/>
    </row>
    <row r="1060" spans="2:2">
      <c r="B1060" s="8"/>
    </row>
    <row r="1061" spans="2:2">
      <c r="B1061" s="8"/>
    </row>
    <row r="1062" spans="2:2">
      <c r="B1062" s="8"/>
    </row>
    <row r="1063" spans="2:2">
      <c r="B1063" s="8"/>
    </row>
    <row r="1064" spans="2:2">
      <c r="B1064" s="8"/>
    </row>
    <row r="1065" spans="2:2">
      <c r="B1065" s="8"/>
    </row>
    <row r="1066" spans="2:2">
      <c r="B1066" s="8"/>
    </row>
    <row r="1067" spans="2:2">
      <c r="B1067" s="8"/>
    </row>
    <row r="1068" spans="2:2">
      <c r="B1068" s="8"/>
    </row>
    <row r="1069" spans="2:2">
      <c r="B1069" s="8"/>
    </row>
    <row r="1070" spans="2:2">
      <c r="B1070" s="8"/>
    </row>
    <row r="1071" spans="2:2">
      <c r="B1071" s="8"/>
    </row>
    <row r="1072" spans="2:2">
      <c r="B1072" s="8"/>
    </row>
    <row r="1073" spans="2:2">
      <c r="B1073" s="8"/>
    </row>
    <row r="1074" spans="2:2">
      <c r="B1074" s="8"/>
    </row>
    <row r="1075" spans="2:2">
      <c r="B1075" s="8"/>
    </row>
    <row r="1076" spans="2:2">
      <c r="B1076" s="8"/>
    </row>
    <row r="1077" spans="2:2">
      <c r="B1077" s="8"/>
    </row>
    <row r="1078" spans="2:2">
      <c r="B1078" s="8"/>
    </row>
    <row r="1079" spans="2:2">
      <c r="B1079" s="8"/>
    </row>
    <row r="1080" spans="2:2">
      <c r="B1080" s="8"/>
    </row>
    <row r="1081" spans="2:2">
      <c r="B1081" s="8"/>
    </row>
    <row r="1082" spans="2:2">
      <c r="B1082" s="8"/>
    </row>
    <row r="1083" spans="2:2">
      <c r="B1083" s="8"/>
    </row>
    <row r="1084" spans="2:2">
      <c r="B1084" s="8"/>
    </row>
    <row r="1085" spans="2:2">
      <c r="B1085" s="8"/>
    </row>
    <row r="1086" spans="2:2">
      <c r="B1086" s="8"/>
    </row>
    <row r="1087" spans="2:2">
      <c r="B1087" s="8"/>
    </row>
    <row r="1088" spans="2:2">
      <c r="B1088" s="8"/>
    </row>
    <row r="1089" spans="2:2">
      <c r="B1089" s="8"/>
    </row>
    <row r="1090" spans="2:2">
      <c r="B1090" s="8"/>
    </row>
    <row r="1091" spans="2:2">
      <c r="B1091" s="8"/>
    </row>
    <row r="1092" spans="2:2">
      <c r="B1092" s="8"/>
    </row>
    <row r="1093" spans="2:2">
      <c r="B1093" s="8"/>
    </row>
    <row r="1094" spans="2:2">
      <c r="B1094" s="8"/>
    </row>
    <row r="1095" spans="2:2">
      <c r="B1095" s="8"/>
    </row>
    <row r="1096" spans="2:2">
      <c r="B1096" s="8"/>
    </row>
    <row r="1097" spans="2:2">
      <c r="B1097" s="8"/>
    </row>
    <row r="1098" spans="2:2">
      <c r="B1098" s="8"/>
    </row>
    <row r="1099" spans="2:2">
      <c r="B1099" s="8"/>
    </row>
    <row r="1100" spans="2:2">
      <c r="B1100" s="8"/>
    </row>
    <row r="1101" spans="2:2">
      <c r="B1101" s="8"/>
    </row>
    <row r="1102" spans="2:2">
      <c r="B1102" s="8"/>
    </row>
    <row r="1103" spans="2:2">
      <c r="B1103" s="8"/>
    </row>
    <row r="1104" spans="2:2">
      <c r="B1104" s="8"/>
    </row>
    <row r="1105" spans="2:2">
      <c r="B1105" s="8"/>
    </row>
    <row r="1106" spans="2:2">
      <c r="B1106" s="8"/>
    </row>
    <row r="1107" spans="2:2">
      <c r="B1107" s="8"/>
    </row>
    <row r="1108" spans="2:2">
      <c r="B1108" s="8"/>
    </row>
    <row r="1109" spans="2:2">
      <c r="B1109" s="8"/>
    </row>
    <row r="1110" spans="2:2">
      <c r="B1110" s="8"/>
    </row>
    <row r="1111" spans="2:2">
      <c r="B1111" s="8"/>
    </row>
    <row r="1112" spans="2:2">
      <c r="B1112" s="8"/>
    </row>
    <row r="1113" spans="2:2">
      <c r="B1113" s="8"/>
    </row>
    <row r="1114" spans="2:2">
      <c r="B1114" s="8"/>
    </row>
    <row r="1115" spans="2:2">
      <c r="B1115" s="8"/>
    </row>
    <row r="1116" spans="2:2">
      <c r="B1116" s="8"/>
    </row>
    <row r="1117" spans="2:2">
      <c r="B1117" s="8"/>
    </row>
    <row r="1118" spans="2:2">
      <c r="B1118" s="8"/>
    </row>
    <row r="1119" spans="2:2">
      <c r="B1119" s="8"/>
    </row>
    <row r="1120" spans="2:2">
      <c r="B1120" s="8"/>
    </row>
    <row r="1121" spans="2:2">
      <c r="B1121" s="8"/>
    </row>
    <row r="1122" spans="2:2">
      <c r="B1122" s="8"/>
    </row>
    <row r="1123" spans="2:2">
      <c r="B1123" s="8"/>
    </row>
    <row r="1124" spans="2:2">
      <c r="B1124" s="8"/>
    </row>
    <row r="1125" spans="2:2">
      <c r="B1125" s="8"/>
    </row>
    <row r="1126" spans="2:2">
      <c r="B1126" s="8"/>
    </row>
    <row r="1127" spans="2:2">
      <c r="B1127" s="8"/>
    </row>
    <row r="1128" spans="2:2">
      <c r="B1128" s="8"/>
    </row>
    <row r="1129" spans="2:2">
      <c r="B1129" s="8"/>
    </row>
    <row r="1130" spans="2:2">
      <c r="B1130" s="8"/>
    </row>
  </sheetData>
  <mergeCells count="1">
    <mergeCell ref="B5:K5"/>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6257"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6258"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6259"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6260"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96261" r:id="rId7" name="Button 5">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6262" r:id="rId8"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6263" r:id="rId9"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6264" r:id="rId10"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enableFormatConditionsCalculation="0"/>
  <dimension ref="A1:N415"/>
  <sheetViews>
    <sheetView workbookViewId="0"/>
  </sheetViews>
  <sheetFormatPr baseColWidth="10" defaultColWidth="8.83203125" defaultRowHeight="12" x14ac:dyDescent="0"/>
  <cols>
    <col min="1" max="1" width="10.83203125" customWidth="1"/>
    <col min="2" max="2" width="10.5" customWidth="1"/>
    <col min="3" max="3" width="13.5" customWidth="1"/>
    <col min="4" max="4" width="12.1640625" customWidth="1"/>
    <col min="5" max="5" width="12.664062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1064</v>
      </c>
      <c r="C3" s="21"/>
      <c r="D3" s="21"/>
      <c r="E3" s="21"/>
      <c r="F3" s="21"/>
      <c r="G3" s="21"/>
      <c r="H3" s="21"/>
      <c r="I3" s="21"/>
      <c r="J3" s="21"/>
      <c r="K3" s="21"/>
    </row>
    <row r="4" spans="1:14" ht="12.75" customHeight="1">
      <c r="A4" s="19" t="s">
        <v>774</v>
      </c>
      <c r="B4" s="20" t="s">
        <v>424</v>
      </c>
      <c r="C4" s="21"/>
      <c r="D4" s="21"/>
      <c r="E4" s="21"/>
      <c r="F4" s="21"/>
      <c r="G4" s="21"/>
      <c r="H4" s="21"/>
      <c r="I4" s="21"/>
      <c r="J4" s="21"/>
      <c r="K4" s="21"/>
    </row>
    <row r="5" spans="1:14" ht="45.75" customHeight="1" thickBot="1">
      <c r="A5" s="118" t="s">
        <v>779</v>
      </c>
      <c r="B5" s="452" t="s">
        <v>1339</v>
      </c>
      <c r="C5" s="453"/>
      <c r="D5" s="453"/>
      <c r="E5" s="453"/>
      <c r="F5" s="453"/>
      <c r="G5" s="453"/>
      <c r="H5" s="453"/>
      <c r="I5" s="453"/>
      <c r="J5" s="453"/>
      <c r="K5" s="453"/>
      <c r="L5" s="241"/>
    </row>
    <row r="6" spans="1:14" ht="37" thickBot="1">
      <c r="A6" s="19" t="s">
        <v>635</v>
      </c>
      <c r="B6" s="21" t="s">
        <v>830</v>
      </c>
      <c r="C6" s="164" t="s">
        <v>1065</v>
      </c>
      <c r="D6" s="165">
        <f>STEYX(C17:C401,A17:A401)</f>
        <v>2.7665236994405071</v>
      </c>
      <c r="E6" s="21"/>
      <c r="F6" s="21"/>
      <c r="G6" s="21"/>
      <c r="H6" s="21"/>
      <c r="I6" s="21"/>
      <c r="J6" s="21"/>
      <c r="K6" s="21"/>
    </row>
    <row r="7" spans="1:14" s="11" customFormat="1" ht="45" customHeight="1">
      <c r="A7" s="22"/>
      <c r="B7" s="22" t="s">
        <v>1090</v>
      </c>
      <c r="C7" s="22" t="s">
        <v>1098</v>
      </c>
      <c r="D7" s="22"/>
      <c r="E7" s="31" t="s">
        <v>144</v>
      </c>
      <c r="F7" s="31" t="s">
        <v>596</v>
      </c>
      <c r="G7" s="31" t="s">
        <v>529</v>
      </c>
      <c r="H7" s="31" t="s">
        <v>595</v>
      </c>
      <c r="I7" s="22"/>
      <c r="J7" s="22"/>
      <c r="K7" s="22"/>
    </row>
    <row r="8" spans="1:14">
      <c r="A8" s="103">
        <v>1</v>
      </c>
      <c r="B8" s="109">
        <v>35396</v>
      </c>
      <c r="C8" s="112">
        <v>37.25</v>
      </c>
      <c r="D8" s="112"/>
      <c r="E8" s="112"/>
      <c r="F8" s="112"/>
      <c r="G8" s="112"/>
      <c r="H8" s="112"/>
      <c r="I8" s="28"/>
      <c r="J8" s="28"/>
      <c r="K8" s="54"/>
    </row>
    <row r="9" spans="1:14">
      <c r="A9" s="103">
        <v>2</v>
      </c>
      <c r="B9" s="109">
        <v>35398</v>
      </c>
      <c r="C9" s="112">
        <v>37.625</v>
      </c>
      <c r="D9" s="112"/>
      <c r="E9" s="112"/>
      <c r="F9" s="112"/>
      <c r="G9" s="112"/>
      <c r="H9" s="112"/>
      <c r="I9" s="28"/>
      <c r="J9" s="28"/>
      <c r="K9" s="54"/>
    </row>
    <row r="10" spans="1:14">
      <c r="A10" s="104">
        <v>3</v>
      </c>
      <c r="B10" s="110">
        <v>35401</v>
      </c>
      <c r="C10" s="111">
        <v>37.375</v>
      </c>
      <c r="D10" s="111"/>
      <c r="E10" s="111"/>
      <c r="F10" s="111"/>
      <c r="G10" s="111"/>
      <c r="H10" s="111"/>
      <c r="I10" s="29"/>
      <c r="J10" s="29"/>
      <c r="K10" s="57"/>
    </row>
    <row r="11" spans="1:14">
      <c r="A11" s="104">
        <v>4</v>
      </c>
      <c r="B11" s="110">
        <v>35402</v>
      </c>
      <c r="C11" s="111">
        <v>37.5</v>
      </c>
      <c r="D11" s="111"/>
      <c r="E11" s="111"/>
      <c r="F11" s="111"/>
      <c r="G11" s="111"/>
      <c r="H11" s="111"/>
      <c r="I11" s="29"/>
      <c r="J11" s="29"/>
      <c r="K11" s="57"/>
    </row>
    <row r="12" spans="1:14">
      <c r="A12" s="103">
        <v>5</v>
      </c>
      <c r="B12" s="109">
        <v>35403</v>
      </c>
      <c r="C12" s="112">
        <v>37.75</v>
      </c>
      <c r="D12" s="112"/>
      <c r="E12" s="112"/>
      <c r="F12" s="112"/>
      <c r="G12" s="112"/>
      <c r="H12" s="112"/>
      <c r="I12" s="28"/>
      <c r="J12" s="28"/>
      <c r="K12" s="54"/>
    </row>
    <row r="13" spans="1:14">
      <c r="A13" s="103">
        <v>6</v>
      </c>
      <c r="B13" s="109">
        <v>35404</v>
      </c>
      <c r="C13" s="112">
        <v>37.75</v>
      </c>
      <c r="D13" s="112"/>
      <c r="E13" s="112"/>
      <c r="F13" s="112"/>
      <c r="G13" s="112"/>
      <c r="H13" s="112"/>
      <c r="I13" s="28"/>
      <c r="J13" s="28"/>
      <c r="K13" s="54"/>
    </row>
    <row r="14" spans="1:14">
      <c r="A14" s="104">
        <v>7</v>
      </c>
      <c r="B14" s="110">
        <v>35405</v>
      </c>
      <c r="C14" s="111">
        <v>37.125</v>
      </c>
      <c r="D14" s="111"/>
      <c r="E14" s="111"/>
      <c r="F14" s="111"/>
      <c r="G14" s="111"/>
      <c r="H14" s="111"/>
      <c r="I14" s="29"/>
      <c r="J14" s="29"/>
      <c r="K14" s="57"/>
    </row>
    <row r="15" spans="1:14">
      <c r="A15" s="104">
        <v>8</v>
      </c>
      <c r="B15" s="110">
        <v>35408</v>
      </c>
      <c r="C15" s="111">
        <v>37.4375</v>
      </c>
      <c r="D15" s="111"/>
      <c r="E15" s="111"/>
      <c r="F15" s="111"/>
      <c r="G15" s="111"/>
      <c r="H15" s="111"/>
      <c r="I15" s="29"/>
      <c r="J15" s="29"/>
      <c r="K15" s="57"/>
    </row>
    <row r="16" spans="1:14">
      <c r="A16" s="103">
        <v>9</v>
      </c>
      <c r="B16" s="109">
        <v>35409</v>
      </c>
      <c r="C16" s="112">
        <v>38.125</v>
      </c>
      <c r="D16" s="112"/>
      <c r="E16" s="112"/>
      <c r="F16" s="112"/>
      <c r="G16" s="112"/>
      <c r="H16" s="112"/>
      <c r="I16" s="28"/>
      <c r="J16" s="28"/>
      <c r="K16" s="54"/>
    </row>
    <row r="17" spans="1:11">
      <c r="A17" s="103">
        <v>10</v>
      </c>
      <c r="B17" s="109">
        <v>35410</v>
      </c>
      <c r="C17" s="112">
        <v>37.6875</v>
      </c>
      <c r="D17" s="166" t="s">
        <v>420</v>
      </c>
      <c r="E17" s="112">
        <f>TREND(C$17:C$401,A$17:A$401,A17)</f>
        <v>37.272668500100934</v>
      </c>
      <c r="F17" s="112">
        <f>$D$6*2</f>
        <v>5.5330473988810143</v>
      </c>
      <c r="G17" s="112">
        <f>E17+F17</f>
        <v>42.805715898981951</v>
      </c>
      <c r="H17" s="112">
        <f>E17-F17</f>
        <v>31.739621101219921</v>
      </c>
      <c r="I17" s="28"/>
      <c r="J17" s="28"/>
      <c r="K17" s="54"/>
    </row>
    <row r="18" spans="1:11">
      <c r="A18" s="104">
        <v>11</v>
      </c>
      <c r="B18" s="110">
        <v>35411</v>
      </c>
      <c r="C18" s="111">
        <v>37.3125</v>
      </c>
      <c r="D18" s="111"/>
      <c r="E18" s="111">
        <f t="shared" ref="E18:E33" si="0">TREND(C$17:C$401,A$17:A$401,A18)</f>
        <v>37.338131898740833</v>
      </c>
      <c r="F18" s="111">
        <f t="shared" ref="F18:F81" si="1">$D$6*2</f>
        <v>5.5330473988810143</v>
      </c>
      <c r="G18" s="111">
        <f t="shared" ref="G18:G81" si="2">E18+F18</f>
        <v>42.87117929762185</v>
      </c>
      <c r="H18" s="111">
        <f t="shared" ref="H18:H81" si="3">E18-F18</f>
        <v>31.80508449985982</v>
      </c>
      <c r="I18" s="29"/>
      <c r="J18" s="29"/>
      <c r="K18" s="57"/>
    </row>
    <row r="19" spans="1:11">
      <c r="A19" s="104">
        <v>12</v>
      </c>
      <c r="B19" s="110">
        <v>35412</v>
      </c>
      <c r="C19" s="111">
        <v>37.0625</v>
      </c>
      <c r="D19" s="111"/>
      <c r="E19" s="111">
        <f t="shared" si="0"/>
        <v>37.403595297380726</v>
      </c>
      <c r="F19" s="111">
        <f t="shared" si="1"/>
        <v>5.5330473988810143</v>
      </c>
      <c r="G19" s="111">
        <f t="shared" si="2"/>
        <v>42.936642696261742</v>
      </c>
      <c r="H19" s="111">
        <f t="shared" si="3"/>
        <v>31.870547898499712</v>
      </c>
      <c r="I19" s="29"/>
      <c r="J19" s="29"/>
      <c r="K19" s="57"/>
    </row>
    <row r="20" spans="1:11">
      <c r="A20" s="103">
        <v>13</v>
      </c>
      <c r="B20" s="109">
        <v>35415</v>
      </c>
      <c r="C20" s="112">
        <v>36.875</v>
      </c>
      <c r="D20" s="112"/>
      <c r="E20" s="112">
        <f t="shared" si="0"/>
        <v>37.469058696020625</v>
      </c>
      <c r="F20" s="112">
        <f t="shared" si="1"/>
        <v>5.5330473988810143</v>
      </c>
      <c r="G20" s="112">
        <f t="shared" si="2"/>
        <v>43.002106094901642</v>
      </c>
      <c r="H20" s="112">
        <f t="shared" si="3"/>
        <v>31.936011297139611</v>
      </c>
      <c r="I20" s="28"/>
      <c r="J20" s="28"/>
      <c r="K20" s="54"/>
    </row>
    <row r="21" spans="1:11">
      <c r="A21" s="103">
        <v>14</v>
      </c>
      <c r="B21" s="109">
        <v>35416</v>
      </c>
      <c r="C21" s="112">
        <v>37.25</v>
      </c>
      <c r="D21" s="112"/>
      <c r="E21" s="112">
        <f t="shared" si="0"/>
        <v>37.534522094660517</v>
      </c>
      <c r="F21" s="112">
        <f t="shared" si="1"/>
        <v>5.5330473988810143</v>
      </c>
      <c r="G21" s="112">
        <f t="shared" si="2"/>
        <v>43.067569493541534</v>
      </c>
      <c r="H21" s="112">
        <f t="shared" si="3"/>
        <v>32.0014746957795</v>
      </c>
      <c r="I21" s="28"/>
      <c r="J21" s="28"/>
      <c r="K21" s="54"/>
    </row>
    <row r="22" spans="1:11">
      <c r="A22" s="104">
        <v>15</v>
      </c>
      <c r="B22" s="110">
        <v>35417</v>
      </c>
      <c r="C22" s="111">
        <v>36.625</v>
      </c>
      <c r="D22" s="111"/>
      <c r="E22" s="111">
        <f t="shared" si="0"/>
        <v>37.599985493300416</v>
      </c>
      <c r="F22" s="111">
        <f t="shared" si="1"/>
        <v>5.5330473988810143</v>
      </c>
      <c r="G22" s="111">
        <f t="shared" si="2"/>
        <v>43.133032892181433</v>
      </c>
      <c r="H22" s="111">
        <f t="shared" si="3"/>
        <v>32.066938094419399</v>
      </c>
      <c r="I22" s="29"/>
      <c r="J22" s="29"/>
      <c r="K22" s="57"/>
    </row>
    <row r="23" spans="1:11">
      <c r="A23" s="104">
        <v>16</v>
      </c>
      <c r="B23" s="110">
        <v>35418</v>
      </c>
      <c r="C23" s="111">
        <v>36.4375</v>
      </c>
      <c r="D23" s="111"/>
      <c r="E23" s="111">
        <f t="shared" si="0"/>
        <v>37.665448891940315</v>
      </c>
      <c r="F23" s="111">
        <f t="shared" si="1"/>
        <v>5.5330473988810143</v>
      </c>
      <c r="G23" s="111">
        <f t="shared" si="2"/>
        <v>43.198496290821332</v>
      </c>
      <c r="H23" s="111">
        <f t="shared" si="3"/>
        <v>32.132401493059298</v>
      </c>
      <c r="I23" s="29"/>
      <c r="J23" s="29"/>
      <c r="K23" s="57"/>
    </row>
    <row r="24" spans="1:11">
      <c r="A24" s="103">
        <v>17</v>
      </c>
      <c r="B24" s="109">
        <v>35419</v>
      </c>
      <c r="C24" s="112">
        <v>35.8125</v>
      </c>
      <c r="D24" s="112"/>
      <c r="E24" s="112">
        <f t="shared" si="0"/>
        <v>37.730912290580207</v>
      </c>
      <c r="F24" s="112">
        <f t="shared" si="1"/>
        <v>5.5330473988810143</v>
      </c>
      <c r="G24" s="112">
        <f t="shared" si="2"/>
        <v>43.263959689461224</v>
      </c>
      <c r="H24" s="112">
        <f t="shared" si="3"/>
        <v>32.19786489169919</v>
      </c>
      <c r="I24" s="28"/>
      <c r="J24" s="28"/>
      <c r="K24" s="54"/>
    </row>
    <row r="25" spans="1:11">
      <c r="A25" s="103">
        <v>18</v>
      </c>
      <c r="B25" s="109">
        <v>35422</v>
      </c>
      <c r="C25" s="112">
        <v>35.375</v>
      </c>
      <c r="D25" s="112"/>
      <c r="E25" s="112">
        <f t="shared" si="0"/>
        <v>37.796375689220106</v>
      </c>
      <c r="F25" s="112">
        <f t="shared" si="1"/>
        <v>5.5330473988810143</v>
      </c>
      <c r="G25" s="112">
        <f t="shared" si="2"/>
        <v>43.329423088101123</v>
      </c>
      <c r="H25" s="112">
        <f t="shared" si="3"/>
        <v>32.263328290339089</v>
      </c>
      <c r="I25" s="28"/>
      <c r="J25" s="28"/>
      <c r="K25" s="54"/>
    </row>
    <row r="26" spans="1:11">
      <c r="A26" s="104">
        <v>19</v>
      </c>
      <c r="B26" s="110">
        <v>35423</v>
      </c>
      <c r="C26" s="111">
        <v>35.6875</v>
      </c>
      <c r="D26" s="111"/>
      <c r="E26" s="111">
        <f t="shared" si="0"/>
        <v>37.861839087859998</v>
      </c>
      <c r="F26" s="111">
        <f t="shared" si="1"/>
        <v>5.5330473988810143</v>
      </c>
      <c r="G26" s="111">
        <f t="shared" si="2"/>
        <v>43.394886486741015</v>
      </c>
      <c r="H26" s="111">
        <f t="shared" si="3"/>
        <v>32.328791688978981</v>
      </c>
      <c r="I26" s="29"/>
      <c r="J26" s="29"/>
      <c r="K26" s="57"/>
    </row>
    <row r="27" spans="1:11">
      <c r="A27" s="104">
        <v>20</v>
      </c>
      <c r="B27" s="110">
        <v>35425</v>
      </c>
      <c r="C27" s="111">
        <v>36.375</v>
      </c>
      <c r="D27" s="111"/>
      <c r="E27" s="111">
        <f t="shared" si="0"/>
        <v>37.927302486499897</v>
      </c>
      <c r="F27" s="111">
        <f t="shared" si="1"/>
        <v>5.5330473988810143</v>
      </c>
      <c r="G27" s="111">
        <f t="shared" si="2"/>
        <v>43.460349885380914</v>
      </c>
      <c r="H27" s="111">
        <f t="shared" si="3"/>
        <v>32.39425508761888</v>
      </c>
      <c r="I27" s="29"/>
      <c r="J27" s="29"/>
      <c r="K27" s="57"/>
    </row>
    <row r="28" spans="1:11">
      <c r="A28" s="103">
        <v>21</v>
      </c>
      <c r="B28" s="109">
        <v>35426</v>
      </c>
      <c r="C28" s="112">
        <v>36.25</v>
      </c>
      <c r="D28" s="112"/>
      <c r="E28" s="112">
        <f t="shared" si="0"/>
        <v>37.992765885139796</v>
      </c>
      <c r="F28" s="112">
        <f t="shared" si="1"/>
        <v>5.5330473988810143</v>
      </c>
      <c r="G28" s="112">
        <f t="shared" si="2"/>
        <v>43.525813284020813</v>
      </c>
      <c r="H28" s="112">
        <f t="shared" si="3"/>
        <v>32.45971848625878</v>
      </c>
      <c r="I28" s="28"/>
      <c r="J28" s="28"/>
      <c r="K28" s="54"/>
    </row>
    <row r="29" spans="1:11">
      <c r="A29" s="103">
        <v>22</v>
      </c>
      <c r="B29" s="109">
        <v>35429</v>
      </c>
      <c r="C29" s="112">
        <v>35.8125</v>
      </c>
      <c r="D29" s="112"/>
      <c r="E29" s="112">
        <f t="shared" si="0"/>
        <v>38.058229283779689</v>
      </c>
      <c r="F29" s="112">
        <f t="shared" si="1"/>
        <v>5.5330473988810143</v>
      </c>
      <c r="G29" s="112">
        <f t="shared" si="2"/>
        <v>43.591276682660705</v>
      </c>
      <c r="H29" s="112">
        <f t="shared" si="3"/>
        <v>32.525181884898672</v>
      </c>
      <c r="I29" s="28"/>
      <c r="J29" s="28"/>
      <c r="K29" s="54"/>
    </row>
    <row r="30" spans="1:11">
      <c r="A30" s="104">
        <v>23</v>
      </c>
      <c r="B30" s="110">
        <v>35430</v>
      </c>
      <c r="C30" s="111">
        <v>35.4375</v>
      </c>
      <c r="D30" s="111"/>
      <c r="E30" s="111">
        <f t="shared" si="0"/>
        <v>38.123692682419588</v>
      </c>
      <c r="F30" s="111">
        <f t="shared" si="1"/>
        <v>5.5330473988810143</v>
      </c>
      <c r="G30" s="111">
        <f t="shared" si="2"/>
        <v>43.656740081300605</v>
      </c>
      <c r="H30" s="111">
        <f t="shared" si="3"/>
        <v>32.590645283538571</v>
      </c>
      <c r="I30" s="29"/>
      <c r="J30" s="29"/>
      <c r="K30" s="57"/>
    </row>
    <row r="31" spans="1:11">
      <c r="A31" s="104">
        <v>24</v>
      </c>
      <c r="B31" s="110">
        <v>35432</v>
      </c>
      <c r="C31" s="111">
        <v>34.625</v>
      </c>
      <c r="D31" s="111"/>
      <c r="E31" s="111">
        <f t="shared" si="0"/>
        <v>38.18915608105948</v>
      </c>
      <c r="F31" s="111">
        <f t="shared" si="1"/>
        <v>5.5330473988810143</v>
      </c>
      <c r="G31" s="111">
        <f t="shared" si="2"/>
        <v>43.722203479940497</v>
      </c>
      <c r="H31" s="111">
        <f t="shared" si="3"/>
        <v>32.656108682178463</v>
      </c>
      <c r="I31" s="29"/>
      <c r="J31" s="29"/>
      <c r="K31" s="57"/>
    </row>
    <row r="32" spans="1:11">
      <c r="A32" s="103">
        <v>25</v>
      </c>
      <c r="B32" s="109">
        <v>35433</v>
      </c>
      <c r="C32" s="112">
        <v>34.9375</v>
      </c>
      <c r="D32" s="112"/>
      <c r="E32" s="112">
        <f t="shared" si="0"/>
        <v>38.254619479699379</v>
      </c>
      <c r="F32" s="112">
        <f t="shared" si="1"/>
        <v>5.5330473988810143</v>
      </c>
      <c r="G32" s="112">
        <f t="shared" si="2"/>
        <v>43.787666878580396</v>
      </c>
      <c r="H32" s="112">
        <f t="shared" si="3"/>
        <v>32.721572080818362</v>
      </c>
      <c r="I32" s="28"/>
      <c r="J32" s="28"/>
      <c r="K32" s="54"/>
    </row>
    <row r="33" spans="1:11">
      <c r="A33" s="103">
        <v>26</v>
      </c>
      <c r="B33" s="109">
        <v>35436</v>
      </c>
      <c r="C33" s="112">
        <v>34.9375</v>
      </c>
      <c r="D33" s="112"/>
      <c r="E33" s="112">
        <f t="shared" si="0"/>
        <v>38.320082878339278</v>
      </c>
      <c r="F33" s="112">
        <f t="shared" si="1"/>
        <v>5.5330473988810143</v>
      </c>
      <c r="G33" s="112">
        <f t="shared" si="2"/>
        <v>43.853130277220295</v>
      </c>
      <c r="H33" s="112">
        <f t="shared" si="3"/>
        <v>32.787035479458261</v>
      </c>
      <c r="I33" s="28"/>
      <c r="J33" s="28"/>
      <c r="K33" s="54"/>
    </row>
    <row r="34" spans="1:11">
      <c r="A34" s="104">
        <v>27</v>
      </c>
      <c r="B34" s="110">
        <v>35437</v>
      </c>
      <c r="C34" s="111">
        <v>36.0625</v>
      </c>
      <c r="D34" s="111"/>
      <c r="E34" s="111">
        <f t="shared" ref="E34:E49" si="4">TREND(C$17:C$401,A$17:A$401,A34)</f>
        <v>38.38554627697917</v>
      </c>
      <c r="F34" s="111">
        <f t="shared" si="1"/>
        <v>5.5330473988810143</v>
      </c>
      <c r="G34" s="111">
        <f t="shared" si="2"/>
        <v>43.918593675860187</v>
      </c>
      <c r="H34" s="111">
        <f t="shared" si="3"/>
        <v>32.852498878098153</v>
      </c>
      <c r="I34" s="29"/>
      <c r="J34" s="29"/>
      <c r="K34" s="57"/>
    </row>
    <row r="35" spans="1:11">
      <c r="A35" s="104">
        <v>28</v>
      </c>
      <c r="B35" s="110">
        <v>35438</v>
      </c>
      <c r="C35" s="111">
        <v>36.5</v>
      </c>
      <c r="D35" s="111"/>
      <c r="E35" s="111">
        <f t="shared" si="4"/>
        <v>38.451009675619069</v>
      </c>
      <c r="F35" s="111">
        <f t="shared" si="1"/>
        <v>5.5330473988810143</v>
      </c>
      <c r="G35" s="111">
        <f t="shared" si="2"/>
        <v>43.984057074500086</v>
      </c>
      <c r="H35" s="111">
        <f t="shared" si="3"/>
        <v>32.917962276738052</v>
      </c>
      <c r="I35" s="29"/>
      <c r="J35" s="29"/>
      <c r="K35" s="57"/>
    </row>
    <row r="36" spans="1:11">
      <c r="A36" s="103">
        <v>29</v>
      </c>
      <c r="B36" s="109">
        <v>35439</v>
      </c>
      <c r="C36" s="112">
        <v>36.125</v>
      </c>
      <c r="D36" s="112"/>
      <c r="E36" s="112">
        <f t="shared" si="4"/>
        <v>38.516473074258961</v>
      </c>
      <c r="F36" s="112">
        <f t="shared" si="1"/>
        <v>5.5330473988810143</v>
      </c>
      <c r="G36" s="112">
        <f t="shared" si="2"/>
        <v>44.049520473139978</v>
      </c>
      <c r="H36" s="112">
        <f t="shared" si="3"/>
        <v>32.983425675377944</v>
      </c>
      <c r="I36" s="28"/>
      <c r="J36" s="28"/>
      <c r="K36" s="54"/>
    </row>
    <row r="37" spans="1:11">
      <c r="A37" s="103">
        <v>30</v>
      </c>
      <c r="B37" s="109">
        <v>35440</v>
      </c>
      <c r="C37" s="112">
        <v>35.6875</v>
      </c>
      <c r="D37" s="112"/>
      <c r="E37" s="112">
        <f t="shared" si="4"/>
        <v>38.58193647289886</v>
      </c>
      <c r="F37" s="112">
        <f t="shared" si="1"/>
        <v>5.5330473988810143</v>
      </c>
      <c r="G37" s="112">
        <f t="shared" si="2"/>
        <v>44.114983871779877</v>
      </c>
      <c r="H37" s="112">
        <f t="shared" si="3"/>
        <v>33.048889074017843</v>
      </c>
      <c r="I37" s="28"/>
      <c r="J37" s="28"/>
      <c r="K37" s="54"/>
    </row>
    <row r="38" spans="1:11">
      <c r="A38" s="104">
        <v>31</v>
      </c>
      <c r="B38" s="110">
        <v>35443</v>
      </c>
      <c r="C38" s="111">
        <v>35.375</v>
      </c>
      <c r="D38" s="111"/>
      <c r="E38" s="111">
        <f t="shared" si="4"/>
        <v>38.647399871538752</v>
      </c>
      <c r="F38" s="111">
        <f t="shared" si="1"/>
        <v>5.5330473988810143</v>
      </c>
      <c r="G38" s="111">
        <f t="shared" si="2"/>
        <v>44.180447270419769</v>
      </c>
      <c r="H38" s="111">
        <f t="shared" si="3"/>
        <v>33.114352472657735</v>
      </c>
      <c r="I38" s="29"/>
      <c r="J38" s="29"/>
      <c r="K38" s="57"/>
    </row>
    <row r="39" spans="1:11">
      <c r="A39" s="104">
        <v>32</v>
      </c>
      <c r="B39" s="110">
        <v>35444</v>
      </c>
      <c r="C39" s="111">
        <v>36</v>
      </c>
      <c r="D39" s="111"/>
      <c r="E39" s="111">
        <f t="shared" si="4"/>
        <v>38.712863270178651</v>
      </c>
      <c r="F39" s="111">
        <f t="shared" si="1"/>
        <v>5.5330473988810143</v>
      </c>
      <c r="G39" s="111">
        <f t="shared" si="2"/>
        <v>44.245910669059668</v>
      </c>
      <c r="H39" s="111">
        <f t="shared" si="3"/>
        <v>33.179815871297635</v>
      </c>
      <c r="I39" s="29"/>
      <c r="J39" s="29"/>
      <c r="K39" s="57"/>
    </row>
    <row r="40" spans="1:11">
      <c r="A40" s="103">
        <v>33</v>
      </c>
      <c r="B40" s="109">
        <v>35445</v>
      </c>
      <c r="C40" s="112">
        <v>37.625</v>
      </c>
      <c r="D40" s="112"/>
      <c r="E40" s="112">
        <f t="shared" si="4"/>
        <v>38.778326668818551</v>
      </c>
      <c r="F40" s="112">
        <f t="shared" si="1"/>
        <v>5.5330473988810143</v>
      </c>
      <c r="G40" s="112">
        <f t="shared" si="2"/>
        <v>44.311374067699568</v>
      </c>
      <c r="H40" s="112">
        <f t="shared" si="3"/>
        <v>33.245279269937534</v>
      </c>
      <c r="I40" s="28"/>
      <c r="J40" s="28"/>
      <c r="K40" s="54"/>
    </row>
    <row r="41" spans="1:11">
      <c r="A41" s="103">
        <v>34</v>
      </c>
      <c r="B41" s="109">
        <v>35446</v>
      </c>
      <c r="C41" s="112">
        <v>39.3125</v>
      </c>
      <c r="D41" s="112"/>
      <c r="E41" s="112">
        <f t="shared" si="4"/>
        <v>38.843790067458443</v>
      </c>
      <c r="F41" s="112">
        <f t="shared" si="1"/>
        <v>5.5330473988810143</v>
      </c>
      <c r="G41" s="112">
        <f t="shared" si="2"/>
        <v>44.37683746633946</v>
      </c>
      <c r="H41" s="112">
        <f t="shared" si="3"/>
        <v>33.310742668577426</v>
      </c>
      <c r="I41" s="28"/>
      <c r="J41" s="28"/>
      <c r="K41" s="54"/>
    </row>
    <row r="42" spans="1:11">
      <c r="A42" s="104">
        <v>35</v>
      </c>
      <c r="B42" s="110">
        <v>35447</v>
      </c>
      <c r="C42" s="111">
        <v>39.25</v>
      </c>
      <c r="D42" s="111"/>
      <c r="E42" s="111">
        <f t="shared" si="4"/>
        <v>38.909253466098342</v>
      </c>
      <c r="F42" s="111">
        <f t="shared" si="1"/>
        <v>5.5330473988810143</v>
      </c>
      <c r="G42" s="111">
        <f t="shared" si="2"/>
        <v>44.442300864979359</v>
      </c>
      <c r="H42" s="111">
        <f t="shared" si="3"/>
        <v>33.376206067217325</v>
      </c>
      <c r="I42" s="29"/>
      <c r="J42" s="29"/>
      <c r="K42" s="57"/>
    </row>
    <row r="43" spans="1:11">
      <c r="A43" s="104">
        <v>36</v>
      </c>
      <c r="B43" s="110">
        <v>35450</v>
      </c>
      <c r="C43" s="111">
        <v>39.8125</v>
      </c>
      <c r="D43" s="111"/>
      <c r="E43" s="111">
        <f t="shared" si="4"/>
        <v>38.974716864738241</v>
      </c>
      <c r="F43" s="111">
        <f t="shared" si="1"/>
        <v>5.5330473988810143</v>
      </c>
      <c r="G43" s="111">
        <f t="shared" si="2"/>
        <v>44.507764263619258</v>
      </c>
      <c r="H43" s="111">
        <f t="shared" si="3"/>
        <v>33.441669465857224</v>
      </c>
      <c r="I43" s="29"/>
      <c r="J43" s="29"/>
      <c r="K43" s="57"/>
    </row>
    <row r="44" spans="1:11">
      <c r="A44" s="103">
        <v>37</v>
      </c>
      <c r="B44" s="109">
        <v>35451</v>
      </c>
      <c r="C44" s="112">
        <v>41.1875</v>
      </c>
      <c r="D44" s="112"/>
      <c r="E44" s="112">
        <f t="shared" si="4"/>
        <v>39.040180263378133</v>
      </c>
      <c r="F44" s="112">
        <f t="shared" si="1"/>
        <v>5.5330473988810143</v>
      </c>
      <c r="G44" s="112">
        <f t="shared" si="2"/>
        <v>44.57322766225915</v>
      </c>
      <c r="H44" s="112">
        <f t="shared" si="3"/>
        <v>33.507132864497116</v>
      </c>
      <c r="I44" s="28"/>
      <c r="J44" s="28"/>
      <c r="K44" s="54"/>
    </row>
    <row r="45" spans="1:11">
      <c r="A45" s="103">
        <v>38</v>
      </c>
      <c r="B45" s="109">
        <v>35452</v>
      </c>
      <c r="C45" s="112">
        <v>41.375</v>
      </c>
      <c r="D45" s="112"/>
      <c r="E45" s="112">
        <f t="shared" si="4"/>
        <v>39.105643662018032</v>
      </c>
      <c r="F45" s="112">
        <f t="shared" si="1"/>
        <v>5.5330473988810143</v>
      </c>
      <c r="G45" s="112">
        <f t="shared" si="2"/>
        <v>44.638691060899049</v>
      </c>
      <c r="H45" s="112">
        <f t="shared" si="3"/>
        <v>33.572596263137015</v>
      </c>
      <c r="I45" s="28"/>
      <c r="J45" s="28"/>
      <c r="K45" s="54"/>
    </row>
    <row r="46" spans="1:11">
      <c r="A46" s="104">
        <v>39</v>
      </c>
      <c r="B46" s="110">
        <v>35453</v>
      </c>
      <c r="C46" s="111">
        <v>41.1875</v>
      </c>
      <c r="D46" s="111"/>
      <c r="E46" s="111">
        <f t="shared" si="4"/>
        <v>39.171107060657924</v>
      </c>
      <c r="F46" s="111">
        <f t="shared" si="1"/>
        <v>5.5330473988810143</v>
      </c>
      <c r="G46" s="111">
        <f t="shared" si="2"/>
        <v>44.704154459538941</v>
      </c>
      <c r="H46" s="111">
        <f t="shared" si="3"/>
        <v>33.638059661776907</v>
      </c>
      <c r="I46" s="29"/>
      <c r="J46" s="29"/>
      <c r="K46" s="57"/>
    </row>
    <row r="47" spans="1:11">
      <c r="A47" s="104">
        <v>40</v>
      </c>
      <c r="B47" s="110">
        <v>35454</v>
      </c>
      <c r="C47" s="111">
        <v>40.5625</v>
      </c>
      <c r="D47" s="111"/>
      <c r="E47" s="111">
        <f t="shared" si="4"/>
        <v>39.236570459297823</v>
      </c>
      <c r="F47" s="111">
        <f t="shared" si="1"/>
        <v>5.5330473988810143</v>
      </c>
      <c r="G47" s="111">
        <f t="shared" si="2"/>
        <v>44.76961785817884</v>
      </c>
      <c r="H47" s="111">
        <f t="shared" si="3"/>
        <v>33.703523060416806</v>
      </c>
      <c r="I47" s="29"/>
      <c r="J47" s="29"/>
      <c r="K47" s="57"/>
    </row>
    <row r="48" spans="1:11">
      <c r="A48" s="103">
        <v>41</v>
      </c>
      <c r="B48" s="109">
        <v>35457</v>
      </c>
      <c r="C48" s="112">
        <v>40.125</v>
      </c>
      <c r="D48" s="112"/>
      <c r="E48" s="112">
        <f t="shared" si="4"/>
        <v>39.302033857937715</v>
      </c>
      <c r="F48" s="112">
        <f t="shared" si="1"/>
        <v>5.5330473988810143</v>
      </c>
      <c r="G48" s="112">
        <f t="shared" si="2"/>
        <v>44.835081256818732</v>
      </c>
      <c r="H48" s="112">
        <f t="shared" si="3"/>
        <v>33.768986459056698</v>
      </c>
      <c r="I48" s="28"/>
      <c r="J48" s="28"/>
      <c r="K48" s="54"/>
    </row>
    <row r="49" spans="1:11">
      <c r="A49" s="103">
        <v>42</v>
      </c>
      <c r="B49" s="109">
        <v>35458</v>
      </c>
      <c r="C49" s="112">
        <v>39.8125</v>
      </c>
      <c r="D49" s="112"/>
      <c r="E49" s="112">
        <f t="shared" si="4"/>
        <v>39.367497256577614</v>
      </c>
      <c r="F49" s="112">
        <f t="shared" si="1"/>
        <v>5.5330473988810143</v>
      </c>
      <c r="G49" s="112">
        <f t="shared" si="2"/>
        <v>44.900544655458631</v>
      </c>
      <c r="H49" s="112">
        <f t="shared" si="3"/>
        <v>33.834449857696598</v>
      </c>
      <c r="I49" s="28"/>
      <c r="J49" s="28"/>
      <c r="K49" s="54"/>
    </row>
    <row r="50" spans="1:11">
      <c r="A50" s="104">
        <v>43</v>
      </c>
      <c r="B50" s="110">
        <v>35459</v>
      </c>
      <c r="C50" s="111">
        <v>39.5</v>
      </c>
      <c r="D50" s="111"/>
      <c r="E50" s="111">
        <f t="shared" ref="E50:E65" si="5">TREND(C$17:C$401,A$17:A$401,A50)</f>
        <v>39.432960655217514</v>
      </c>
      <c r="F50" s="111">
        <f t="shared" si="1"/>
        <v>5.5330473988810143</v>
      </c>
      <c r="G50" s="111">
        <f t="shared" si="2"/>
        <v>44.966008054098531</v>
      </c>
      <c r="H50" s="111">
        <f t="shared" si="3"/>
        <v>33.899913256336497</v>
      </c>
      <c r="I50" s="29"/>
      <c r="J50" s="29"/>
      <c r="K50" s="57"/>
    </row>
    <row r="51" spans="1:11">
      <c r="A51" s="104">
        <v>44</v>
      </c>
      <c r="B51" s="110">
        <v>35460</v>
      </c>
      <c r="C51" s="111">
        <v>39.8125</v>
      </c>
      <c r="D51" s="111"/>
      <c r="E51" s="111">
        <f t="shared" si="5"/>
        <v>39.498424053857406</v>
      </c>
      <c r="F51" s="111">
        <f t="shared" si="1"/>
        <v>5.5330473988810143</v>
      </c>
      <c r="G51" s="111">
        <f t="shared" si="2"/>
        <v>45.031471452738423</v>
      </c>
      <c r="H51" s="111">
        <f t="shared" si="3"/>
        <v>33.965376654976389</v>
      </c>
      <c r="I51" s="29"/>
      <c r="J51" s="29"/>
      <c r="K51" s="57"/>
    </row>
    <row r="52" spans="1:11">
      <c r="A52" s="103">
        <v>45</v>
      </c>
      <c r="B52" s="109">
        <v>35461</v>
      </c>
      <c r="C52" s="112">
        <v>39.5</v>
      </c>
      <c r="D52" s="112"/>
      <c r="E52" s="112">
        <f t="shared" si="5"/>
        <v>39.563887452497305</v>
      </c>
      <c r="F52" s="112">
        <f t="shared" si="1"/>
        <v>5.5330473988810143</v>
      </c>
      <c r="G52" s="112">
        <f t="shared" si="2"/>
        <v>45.096934851378322</v>
      </c>
      <c r="H52" s="112">
        <f t="shared" si="3"/>
        <v>34.030840053616288</v>
      </c>
      <c r="I52" s="28"/>
      <c r="J52" s="28"/>
      <c r="K52" s="54"/>
    </row>
    <row r="53" spans="1:11">
      <c r="A53" s="103">
        <v>46</v>
      </c>
      <c r="B53" s="109">
        <v>35464</v>
      </c>
      <c r="C53" s="112">
        <v>41.25</v>
      </c>
      <c r="D53" s="112"/>
      <c r="E53" s="112">
        <f t="shared" si="5"/>
        <v>39.629350851137204</v>
      </c>
      <c r="F53" s="112">
        <f t="shared" si="1"/>
        <v>5.5330473988810143</v>
      </c>
      <c r="G53" s="112">
        <f t="shared" si="2"/>
        <v>45.162398250018221</v>
      </c>
      <c r="H53" s="112">
        <f t="shared" si="3"/>
        <v>34.096303452256187</v>
      </c>
      <c r="I53" s="28"/>
      <c r="J53" s="28"/>
      <c r="K53" s="54"/>
    </row>
    <row r="54" spans="1:11">
      <c r="A54" s="104">
        <v>47</v>
      </c>
      <c r="B54" s="110">
        <v>35465</v>
      </c>
      <c r="C54" s="111">
        <v>40.5625</v>
      </c>
      <c r="D54" s="111"/>
      <c r="E54" s="111">
        <f t="shared" si="5"/>
        <v>39.694814249777096</v>
      </c>
      <c r="F54" s="111">
        <f t="shared" si="1"/>
        <v>5.5330473988810143</v>
      </c>
      <c r="G54" s="111">
        <f t="shared" si="2"/>
        <v>45.227861648658113</v>
      </c>
      <c r="H54" s="111">
        <f t="shared" si="3"/>
        <v>34.161766850896079</v>
      </c>
      <c r="I54" s="29"/>
      <c r="J54" s="29"/>
      <c r="K54" s="57"/>
    </row>
    <row r="55" spans="1:11">
      <c r="A55" s="104">
        <v>48</v>
      </c>
      <c r="B55" s="110">
        <v>35466</v>
      </c>
      <c r="C55" s="111">
        <v>39.8125</v>
      </c>
      <c r="D55" s="111"/>
      <c r="E55" s="111">
        <f t="shared" si="5"/>
        <v>39.760277648416995</v>
      </c>
      <c r="F55" s="111">
        <f t="shared" si="1"/>
        <v>5.5330473988810143</v>
      </c>
      <c r="G55" s="111">
        <f t="shared" si="2"/>
        <v>45.293325047298012</v>
      </c>
      <c r="H55" s="111">
        <f t="shared" si="3"/>
        <v>34.227230249535978</v>
      </c>
      <c r="I55" s="29"/>
      <c r="J55" s="29"/>
      <c r="K55" s="57"/>
    </row>
    <row r="56" spans="1:11">
      <c r="A56" s="103">
        <v>49</v>
      </c>
      <c r="B56" s="109">
        <v>35467</v>
      </c>
      <c r="C56" s="112">
        <v>40.5625</v>
      </c>
      <c r="D56" s="112"/>
      <c r="E56" s="112">
        <f t="shared" si="5"/>
        <v>39.825741047056887</v>
      </c>
      <c r="F56" s="112">
        <f t="shared" si="1"/>
        <v>5.5330473988810143</v>
      </c>
      <c r="G56" s="112">
        <f t="shared" si="2"/>
        <v>45.358788445937904</v>
      </c>
      <c r="H56" s="112">
        <f t="shared" si="3"/>
        <v>34.29269364817587</v>
      </c>
      <c r="I56" s="28"/>
      <c r="J56" s="28"/>
      <c r="K56" s="54"/>
    </row>
    <row r="57" spans="1:11">
      <c r="A57" s="103">
        <v>50</v>
      </c>
      <c r="B57" s="109">
        <v>35468</v>
      </c>
      <c r="C57" s="112">
        <v>40.6875</v>
      </c>
      <c r="D57" s="112"/>
      <c r="E57" s="112">
        <f t="shared" si="5"/>
        <v>39.891204445696786</v>
      </c>
      <c r="F57" s="112">
        <f t="shared" si="1"/>
        <v>5.5330473988810143</v>
      </c>
      <c r="G57" s="112">
        <f t="shared" si="2"/>
        <v>45.424251844577803</v>
      </c>
      <c r="H57" s="112">
        <f t="shared" si="3"/>
        <v>34.358157046815769</v>
      </c>
      <c r="I57" s="28"/>
      <c r="J57" s="28"/>
      <c r="K57" s="54"/>
    </row>
    <row r="58" spans="1:11">
      <c r="A58" s="104">
        <v>51</v>
      </c>
      <c r="B58" s="110">
        <v>35471</v>
      </c>
      <c r="C58" s="111">
        <v>40.125</v>
      </c>
      <c r="D58" s="111"/>
      <c r="E58" s="111">
        <f t="shared" si="5"/>
        <v>39.956667844336678</v>
      </c>
      <c r="F58" s="111">
        <f t="shared" si="1"/>
        <v>5.5330473988810143</v>
      </c>
      <c r="G58" s="111">
        <f t="shared" si="2"/>
        <v>45.489715243217695</v>
      </c>
      <c r="H58" s="111">
        <f t="shared" si="3"/>
        <v>34.423620445455661</v>
      </c>
      <c r="I58" s="29"/>
      <c r="J58" s="29"/>
      <c r="K58" s="57"/>
    </row>
    <row r="59" spans="1:11">
      <c r="A59" s="104">
        <v>52</v>
      </c>
      <c r="B59" s="110">
        <v>35472</v>
      </c>
      <c r="C59" s="111">
        <v>40.6875</v>
      </c>
      <c r="D59" s="111"/>
      <c r="E59" s="111">
        <f t="shared" si="5"/>
        <v>40.022131242976577</v>
      </c>
      <c r="F59" s="111">
        <f t="shared" si="1"/>
        <v>5.5330473988810143</v>
      </c>
      <c r="G59" s="111">
        <f t="shared" si="2"/>
        <v>45.555178641857594</v>
      </c>
      <c r="H59" s="111">
        <f t="shared" si="3"/>
        <v>34.48908384409556</v>
      </c>
      <c r="I59" s="29"/>
      <c r="J59" s="29"/>
      <c r="K59" s="57"/>
    </row>
    <row r="60" spans="1:11">
      <c r="A60" s="103">
        <v>53</v>
      </c>
      <c r="B60" s="109">
        <v>35473</v>
      </c>
      <c r="C60" s="112">
        <v>41.8125</v>
      </c>
      <c r="D60" s="112"/>
      <c r="E60" s="112">
        <f t="shared" si="5"/>
        <v>40.087594641616477</v>
      </c>
      <c r="F60" s="112">
        <f t="shared" si="1"/>
        <v>5.5330473988810143</v>
      </c>
      <c r="G60" s="112">
        <f t="shared" si="2"/>
        <v>45.620642040497493</v>
      </c>
      <c r="H60" s="112">
        <f t="shared" si="3"/>
        <v>34.55454724273546</v>
      </c>
      <c r="I60" s="28"/>
      <c r="J60" s="28"/>
      <c r="K60" s="54"/>
    </row>
    <row r="61" spans="1:11">
      <c r="A61" s="103">
        <v>54</v>
      </c>
      <c r="B61" s="109">
        <v>35474</v>
      </c>
      <c r="C61" s="112">
        <v>42.9375</v>
      </c>
      <c r="D61" s="112"/>
      <c r="E61" s="112">
        <f t="shared" si="5"/>
        <v>40.153058040256369</v>
      </c>
      <c r="F61" s="112">
        <f t="shared" si="1"/>
        <v>5.5330473988810143</v>
      </c>
      <c r="G61" s="112">
        <f t="shared" si="2"/>
        <v>45.686105439137386</v>
      </c>
      <c r="H61" s="112">
        <f t="shared" si="3"/>
        <v>34.620010641375352</v>
      </c>
      <c r="I61" s="28"/>
      <c r="J61" s="28"/>
      <c r="K61" s="54"/>
    </row>
    <row r="62" spans="1:11">
      <c r="A62" s="71">
        <v>55</v>
      </c>
      <c r="B62" s="110">
        <v>35475</v>
      </c>
      <c r="C62" s="111">
        <v>42.4375</v>
      </c>
      <c r="D62" s="111"/>
      <c r="E62" s="111">
        <f t="shared" si="5"/>
        <v>40.218521438896268</v>
      </c>
      <c r="F62" s="111">
        <f t="shared" si="1"/>
        <v>5.5330473988810143</v>
      </c>
      <c r="G62" s="111">
        <f t="shared" si="2"/>
        <v>45.751568837777285</v>
      </c>
      <c r="H62" s="111">
        <f t="shared" si="3"/>
        <v>34.685474040015251</v>
      </c>
      <c r="I62" s="29"/>
      <c r="J62" s="29"/>
      <c r="K62" s="57"/>
    </row>
    <row r="63" spans="1:11">
      <c r="A63" s="71">
        <v>56</v>
      </c>
      <c r="B63" s="110">
        <v>35479</v>
      </c>
      <c r="C63" s="111">
        <v>42</v>
      </c>
      <c r="D63" s="111"/>
      <c r="E63" s="111">
        <f t="shared" si="5"/>
        <v>40.283984837536167</v>
      </c>
      <c r="F63" s="111">
        <f t="shared" si="1"/>
        <v>5.5330473988810143</v>
      </c>
      <c r="G63" s="111">
        <f t="shared" si="2"/>
        <v>45.817032236417184</v>
      </c>
      <c r="H63" s="111">
        <f t="shared" si="3"/>
        <v>34.75093743865515</v>
      </c>
      <c r="I63" s="29"/>
      <c r="J63" s="29"/>
      <c r="K63" s="57"/>
    </row>
    <row r="64" spans="1:11">
      <c r="A64" s="103">
        <v>57</v>
      </c>
      <c r="B64" s="109">
        <v>35480</v>
      </c>
      <c r="C64" s="112">
        <v>41.375</v>
      </c>
      <c r="D64" s="112"/>
      <c r="E64" s="112">
        <f t="shared" si="5"/>
        <v>40.349448236176059</v>
      </c>
      <c r="F64" s="112">
        <f t="shared" si="1"/>
        <v>5.5330473988810143</v>
      </c>
      <c r="G64" s="112">
        <f t="shared" si="2"/>
        <v>45.882495635057076</v>
      </c>
      <c r="H64" s="112">
        <f t="shared" si="3"/>
        <v>34.816400837295042</v>
      </c>
      <c r="I64" s="28"/>
      <c r="J64" s="28"/>
      <c r="K64" s="54"/>
    </row>
    <row r="65" spans="1:11">
      <c r="A65" s="103">
        <v>58</v>
      </c>
      <c r="B65" s="109">
        <v>35481</v>
      </c>
      <c r="C65" s="112">
        <v>40.6875</v>
      </c>
      <c r="D65" s="112"/>
      <c r="E65" s="112">
        <f t="shared" si="5"/>
        <v>40.414911634815958</v>
      </c>
      <c r="F65" s="112">
        <f t="shared" si="1"/>
        <v>5.5330473988810143</v>
      </c>
      <c r="G65" s="112">
        <f t="shared" si="2"/>
        <v>45.947959033696975</v>
      </c>
      <c r="H65" s="112">
        <f t="shared" si="3"/>
        <v>34.881864235934941</v>
      </c>
      <c r="I65" s="28"/>
      <c r="J65" s="28"/>
      <c r="K65" s="54"/>
    </row>
    <row r="66" spans="1:11">
      <c r="A66" s="104">
        <v>59</v>
      </c>
      <c r="B66" s="110">
        <v>35482</v>
      </c>
      <c r="C66" s="111">
        <v>40.9375</v>
      </c>
      <c r="D66" s="111"/>
      <c r="E66" s="111">
        <f t="shared" ref="E66:E81" si="6">TREND(C$17:C$401,A$17:A$401,A66)</f>
        <v>40.48037503345585</v>
      </c>
      <c r="F66" s="111">
        <f t="shared" si="1"/>
        <v>5.5330473988810143</v>
      </c>
      <c r="G66" s="111">
        <f t="shared" si="2"/>
        <v>46.013422432336867</v>
      </c>
      <c r="H66" s="111">
        <f t="shared" si="3"/>
        <v>34.947327634574833</v>
      </c>
      <c r="I66" s="29"/>
      <c r="J66" s="29"/>
      <c r="K66" s="57"/>
    </row>
    <row r="67" spans="1:11">
      <c r="A67" s="104">
        <v>60</v>
      </c>
      <c r="B67" s="110">
        <v>35485</v>
      </c>
      <c r="C67" s="111">
        <v>41.4375</v>
      </c>
      <c r="D67" s="111"/>
      <c r="E67" s="111">
        <f t="shared" si="6"/>
        <v>40.545838432095749</v>
      </c>
      <c r="F67" s="111">
        <f t="shared" si="1"/>
        <v>5.5330473988810143</v>
      </c>
      <c r="G67" s="111">
        <f t="shared" si="2"/>
        <v>46.078885830976766</v>
      </c>
      <c r="H67" s="111">
        <f t="shared" si="3"/>
        <v>35.012791033214732</v>
      </c>
      <c r="I67" s="29"/>
      <c r="J67" s="29"/>
      <c r="K67" s="57"/>
    </row>
    <row r="68" spans="1:11">
      <c r="A68" s="103">
        <v>61</v>
      </c>
      <c r="B68" s="109">
        <v>35486</v>
      </c>
      <c r="C68" s="112">
        <v>41.5</v>
      </c>
      <c r="D68" s="112"/>
      <c r="E68" s="112">
        <f t="shared" si="6"/>
        <v>40.611301830735641</v>
      </c>
      <c r="F68" s="112">
        <f t="shared" si="1"/>
        <v>5.5330473988810143</v>
      </c>
      <c r="G68" s="112">
        <f t="shared" si="2"/>
        <v>46.144349229616658</v>
      </c>
      <c r="H68" s="112">
        <f t="shared" si="3"/>
        <v>35.078254431854624</v>
      </c>
      <c r="I68" s="28"/>
      <c r="J68" s="28"/>
      <c r="K68" s="54"/>
    </row>
    <row r="69" spans="1:11">
      <c r="A69" s="103">
        <v>62</v>
      </c>
      <c r="B69" s="109">
        <v>35487</v>
      </c>
      <c r="C69" s="112">
        <v>40.75</v>
      </c>
      <c r="D69" s="112"/>
      <c r="E69" s="112">
        <f t="shared" si="6"/>
        <v>40.67676522937554</v>
      </c>
      <c r="F69" s="112">
        <f t="shared" si="1"/>
        <v>5.5330473988810143</v>
      </c>
      <c r="G69" s="112">
        <f t="shared" si="2"/>
        <v>46.209812628256557</v>
      </c>
      <c r="H69" s="112">
        <f t="shared" si="3"/>
        <v>35.143717830494523</v>
      </c>
      <c r="I69" s="28"/>
      <c r="J69" s="28"/>
      <c r="K69" s="54"/>
    </row>
    <row r="70" spans="1:11">
      <c r="A70" s="104">
        <v>63</v>
      </c>
      <c r="B70" s="110">
        <v>35488</v>
      </c>
      <c r="C70" s="111">
        <v>40</v>
      </c>
      <c r="D70" s="111"/>
      <c r="E70" s="111">
        <f t="shared" si="6"/>
        <v>40.74222862801544</v>
      </c>
      <c r="F70" s="111">
        <f t="shared" si="1"/>
        <v>5.5330473988810143</v>
      </c>
      <c r="G70" s="111">
        <f t="shared" si="2"/>
        <v>46.275276026896456</v>
      </c>
      <c r="H70" s="111">
        <f t="shared" si="3"/>
        <v>35.209181229134423</v>
      </c>
      <c r="I70" s="29"/>
      <c r="J70" s="29"/>
      <c r="K70" s="57"/>
    </row>
    <row r="71" spans="1:11">
      <c r="A71" s="104">
        <v>64</v>
      </c>
      <c r="B71" s="110">
        <v>35489</v>
      </c>
      <c r="C71" s="111">
        <v>40.25</v>
      </c>
      <c r="D71" s="111"/>
      <c r="E71" s="111">
        <f t="shared" si="6"/>
        <v>40.807692026655332</v>
      </c>
      <c r="F71" s="111">
        <f t="shared" si="1"/>
        <v>5.5330473988810143</v>
      </c>
      <c r="G71" s="111">
        <f t="shared" si="2"/>
        <v>46.340739425536349</v>
      </c>
      <c r="H71" s="111">
        <f t="shared" si="3"/>
        <v>35.274644627774315</v>
      </c>
      <c r="I71" s="29"/>
      <c r="J71" s="29"/>
      <c r="K71" s="57"/>
    </row>
    <row r="72" spans="1:11">
      <c r="A72" s="103">
        <v>65</v>
      </c>
      <c r="B72" s="109">
        <v>35492</v>
      </c>
      <c r="C72" s="112">
        <v>41.125</v>
      </c>
      <c r="D72" s="112"/>
      <c r="E72" s="112">
        <f t="shared" si="6"/>
        <v>40.873155425295231</v>
      </c>
      <c r="F72" s="112">
        <f t="shared" si="1"/>
        <v>5.5330473988810143</v>
      </c>
      <c r="G72" s="112">
        <f t="shared" si="2"/>
        <v>46.406202824176248</v>
      </c>
      <c r="H72" s="112">
        <f t="shared" si="3"/>
        <v>35.340108026414214</v>
      </c>
      <c r="I72" s="28"/>
      <c r="J72" s="28"/>
      <c r="K72" s="54"/>
    </row>
    <row r="73" spans="1:11">
      <c r="A73" s="103">
        <v>66</v>
      </c>
      <c r="B73" s="109">
        <v>35493</v>
      </c>
      <c r="C73" s="112">
        <v>41.625</v>
      </c>
      <c r="D73" s="166"/>
      <c r="E73" s="112">
        <f t="shared" si="6"/>
        <v>40.93861882393513</v>
      </c>
      <c r="F73" s="112">
        <f t="shared" si="1"/>
        <v>5.5330473988810143</v>
      </c>
      <c r="G73" s="112">
        <f t="shared" si="2"/>
        <v>46.471666222816147</v>
      </c>
      <c r="H73" s="112">
        <f t="shared" si="3"/>
        <v>35.405571425054113</v>
      </c>
      <c r="I73" s="28"/>
      <c r="J73" s="28"/>
      <c r="K73" s="54"/>
    </row>
    <row r="74" spans="1:11">
      <c r="A74" s="104">
        <v>67</v>
      </c>
      <c r="B74" s="110">
        <v>35494</v>
      </c>
      <c r="C74" s="111">
        <v>42</v>
      </c>
      <c r="D74" s="111"/>
      <c r="E74" s="111">
        <f t="shared" si="6"/>
        <v>41.004082222575022</v>
      </c>
      <c r="F74" s="111">
        <f t="shared" si="1"/>
        <v>5.5330473988810143</v>
      </c>
      <c r="G74" s="111">
        <f t="shared" si="2"/>
        <v>46.537129621456039</v>
      </c>
      <c r="H74" s="111">
        <f t="shared" si="3"/>
        <v>35.471034823694005</v>
      </c>
      <c r="I74" s="29"/>
      <c r="J74" s="29"/>
      <c r="K74" s="57"/>
    </row>
    <row r="75" spans="1:11">
      <c r="A75" s="104">
        <v>68</v>
      </c>
      <c r="B75" s="110">
        <v>35495</v>
      </c>
      <c r="C75" s="111">
        <v>41.9375</v>
      </c>
      <c r="D75" s="111"/>
      <c r="E75" s="111">
        <f t="shared" si="6"/>
        <v>41.069545621214921</v>
      </c>
      <c r="F75" s="111">
        <f t="shared" si="1"/>
        <v>5.5330473988810143</v>
      </c>
      <c r="G75" s="111">
        <f t="shared" si="2"/>
        <v>46.602593020095938</v>
      </c>
      <c r="H75" s="111">
        <f t="shared" si="3"/>
        <v>35.536498222333904</v>
      </c>
      <c r="I75" s="29"/>
      <c r="J75" s="29"/>
      <c r="K75" s="57"/>
    </row>
    <row r="76" spans="1:11">
      <c r="A76" s="103">
        <v>69</v>
      </c>
      <c r="B76" s="109">
        <v>35496</v>
      </c>
      <c r="C76" s="112">
        <v>42.0625</v>
      </c>
      <c r="D76" s="112"/>
      <c r="E76" s="112">
        <f t="shared" si="6"/>
        <v>41.135009019854813</v>
      </c>
      <c r="F76" s="112">
        <f t="shared" si="1"/>
        <v>5.5330473988810143</v>
      </c>
      <c r="G76" s="112">
        <f t="shared" si="2"/>
        <v>46.66805641873583</v>
      </c>
      <c r="H76" s="112">
        <f t="shared" si="3"/>
        <v>35.601961620973796</v>
      </c>
      <c r="I76" s="28"/>
      <c r="J76" s="28"/>
      <c r="K76" s="54"/>
    </row>
    <row r="77" spans="1:11">
      <c r="A77" s="103">
        <v>70</v>
      </c>
      <c r="B77" s="109">
        <v>35499</v>
      </c>
      <c r="C77" s="112">
        <v>42.3125</v>
      </c>
      <c r="D77" s="112"/>
      <c r="E77" s="112">
        <f t="shared" si="6"/>
        <v>41.200472418494712</v>
      </c>
      <c r="F77" s="112">
        <f t="shared" si="1"/>
        <v>5.5330473988810143</v>
      </c>
      <c r="G77" s="112">
        <f t="shared" si="2"/>
        <v>46.733519817375729</v>
      </c>
      <c r="H77" s="112">
        <f t="shared" si="3"/>
        <v>35.667425019613695</v>
      </c>
      <c r="I77" s="28"/>
      <c r="J77" s="28"/>
      <c r="K77" s="54"/>
    </row>
    <row r="78" spans="1:11">
      <c r="A78" s="104">
        <v>71</v>
      </c>
      <c r="B78" s="110">
        <v>35500</v>
      </c>
      <c r="C78" s="111">
        <v>42.875</v>
      </c>
      <c r="D78" s="111"/>
      <c r="E78" s="111">
        <f t="shared" si="6"/>
        <v>41.265935817134604</v>
      </c>
      <c r="F78" s="111">
        <f t="shared" si="1"/>
        <v>5.5330473988810143</v>
      </c>
      <c r="G78" s="111">
        <f t="shared" si="2"/>
        <v>46.798983216015621</v>
      </c>
      <c r="H78" s="111">
        <f t="shared" si="3"/>
        <v>35.732888418253587</v>
      </c>
      <c r="I78" s="29"/>
      <c r="J78" s="29"/>
      <c r="K78" s="57"/>
    </row>
    <row r="79" spans="1:11">
      <c r="A79" s="104">
        <v>72</v>
      </c>
      <c r="B79" s="110">
        <v>35501</v>
      </c>
      <c r="C79" s="111">
        <v>43.1875</v>
      </c>
      <c r="D79" s="111"/>
      <c r="E79" s="111">
        <f t="shared" si="6"/>
        <v>41.331399215774503</v>
      </c>
      <c r="F79" s="111">
        <f t="shared" si="1"/>
        <v>5.5330473988810143</v>
      </c>
      <c r="G79" s="111">
        <f t="shared" si="2"/>
        <v>46.86444661465552</v>
      </c>
      <c r="H79" s="111">
        <f t="shared" si="3"/>
        <v>35.798351816893486</v>
      </c>
      <c r="I79" s="29"/>
      <c r="J79" s="29"/>
      <c r="K79" s="57"/>
    </row>
    <row r="80" spans="1:11">
      <c r="A80" s="103">
        <v>73</v>
      </c>
      <c r="B80" s="109">
        <v>35502</v>
      </c>
      <c r="C80" s="112">
        <v>42.6875</v>
      </c>
      <c r="D80" s="112"/>
      <c r="E80" s="112">
        <f t="shared" si="6"/>
        <v>41.396862614414403</v>
      </c>
      <c r="F80" s="112">
        <f t="shared" si="1"/>
        <v>5.5330473988810143</v>
      </c>
      <c r="G80" s="112">
        <f t="shared" si="2"/>
        <v>46.929910013295419</v>
      </c>
      <c r="H80" s="112">
        <f t="shared" si="3"/>
        <v>35.863815215533386</v>
      </c>
      <c r="I80" s="28"/>
      <c r="J80" s="28"/>
      <c r="K80" s="54"/>
    </row>
    <row r="81" spans="1:11">
      <c r="A81" s="103">
        <v>74</v>
      </c>
      <c r="B81" s="109">
        <v>35503</v>
      </c>
      <c r="C81" s="112">
        <v>42.9375</v>
      </c>
      <c r="D81" s="112"/>
      <c r="E81" s="112">
        <f t="shared" si="6"/>
        <v>41.462326013054295</v>
      </c>
      <c r="F81" s="112">
        <f t="shared" si="1"/>
        <v>5.5330473988810143</v>
      </c>
      <c r="G81" s="112">
        <f t="shared" si="2"/>
        <v>46.995373411935311</v>
      </c>
      <c r="H81" s="112">
        <f t="shared" si="3"/>
        <v>35.929278614173278</v>
      </c>
      <c r="I81" s="28"/>
      <c r="J81" s="28"/>
      <c r="K81" s="54"/>
    </row>
    <row r="82" spans="1:11">
      <c r="A82" s="104">
        <v>75</v>
      </c>
      <c r="B82" s="110">
        <v>35506</v>
      </c>
      <c r="C82" s="111">
        <v>43.0625</v>
      </c>
      <c r="D82" s="111"/>
      <c r="E82" s="111">
        <f t="shared" ref="E82:E97" si="7">TREND(C$17:C$401,A$17:A$401,A82)</f>
        <v>41.527789411694194</v>
      </c>
      <c r="F82" s="111">
        <f t="shared" ref="F82:F145" si="8">$D$6*2</f>
        <v>5.5330473988810143</v>
      </c>
      <c r="G82" s="111">
        <f t="shared" ref="G82:G145" si="9">E82+F82</f>
        <v>47.060836810575211</v>
      </c>
      <c r="H82" s="111">
        <f t="shared" ref="H82:H145" si="10">E82-F82</f>
        <v>35.994742012813177</v>
      </c>
      <c r="I82" s="29"/>
      <c r="J82" s="29"/>
      <c r="K82" s="57"/>
    </row>
    <row r="83" spans="1:11">
      <c r="A83" s="104">
        <v>76</v>
      </c>
      <c r="B83" s="110">
        <v>35507</v>
      </c>
      <c r="C83" s="111">
        <v>43.875</v>
      </c>
      <c r="D83" s="111"/>
      <c r="E83" s="111">
        <f t="shared" si="7"/>
        <v>41.593252810334086</v>
      </c>
      <c r="F83" s="111">
        <f t="shared" si="8"/>
        <v>5.5330473988810143</v>
      </c>
      <c r="G83" s="111">
        <f t="shared" si="9"/>
        <v>47.126300209215103</v>
      </c>
      <c r="H83" s="111">
        <f t="shared" si="10"/>
        <v>36.060205411453069</v>
      </c>
      <c r="I83" s="29"/>
      <c r="J83" s="29"/>
      <c r="K83" s="57"/>
    </row>
    <row r="84" spans="1:11">
      <c r="A84" s="103">
        <v>77</v>
      </c>
      <c r="B84" s="109">
        <v>35508</v>
      </c>
      <c r="C84" s="112">
        <v>42.25</v>
      </c>
      <c r="D84" s="112"/>
      <c r="E84" s="112">
        <f t="shared" si="7"/>
        <v>41.658716208973985</v>
      </c>
      <c r="F84" s="112">
        <f t="shared" si="8"/>
        <v>5.5330473988810143</v>
      </c>
      <c r="G84" s="112">
        <f t="shared" si="9"/>
        <v>47.191763607855002</v>
      </c>
      <c r="H84" s="112">
        <f t="shared" si="10"/>
        <v>36.125668810092968</v>
      </c>
      <c r="I84" s="28"/>
      <c r="J84" s="28"/>
      <c r="K84" s="54"/>
    </row>
    <row r="85" spans="1:11">
      <c r="A85" s="103">
        <v>78</v>
      </c>
      <c r="B85" s="109">
        <v>35509</v>
      </c>
      <c r="C85" s="112">
        <v>42.1875</v>
      </c>
      <c r="D85" s="112"/>
      <c r="E85" s="112">
        <f t="shared" si="7"/>
        <v>41.724179607613884</v>
      </c>
      <c r="F85" s="112">
        <f t="shared" si="8"/>
        <v>5.5330473988810143</v>
      </c>
      <c r="G85" s="112">
        <f t="shared" si="9"/>
        <v>47.257227006494901</v>
      </c>
      <c r="H85" s="112">
        <f t="shared" si="10"/>
        <v>36.191132208732867</v>
      </c>
      <c r="I85" s="28"/>
      <c r="J85" s="28"/>
      <c r="K85" s="54"/>
    </row>
    <row r="86" spans="1:11">
      <c r="A86" s="104">
        <v>79</v>
      </c>
      <c r="B86" s="110">
        <v>35510</v>
      </c>
      <c r="C86" s="111">
        <v>41.8125</v>
      </c>
      <c r="D86" s="111"/>
      <c r="E86" s="111">
        <f t="shared" si="7"/>
        <v>41.789643006253776</v>
      </c>
      <c r="F86" s="111">
        <f t="shared" si="8"/>
        <v>5.5330473988810143</v>
      </c>
      <c r="G86" s="111">
        <f t="shared" si="9"/>
        <v>47.322690405134793</v>
      </c>
      <c r="H86" s="111">
        <f t="shared" si="10"/>
        <v>36.256595607372759</v>
      </c>
      <c r="I86" s="29"/>
      <c r="J86" s="29"/>
      <c r="K86" s="57"/>
    </row>
    <row r="87" spans="1:11">
      <c r="A87" s="104">
        <v>80</v>
      </c>
      <c r="B87" s="110">
        <v>35513</v>
      </c>
      <c r="C87" s="111">
        <v>41.5625</v>
      </c>
      <c r="D87" s="111"/>
      <c r="E87" s="111">
        <f t="shared" si="7"/>
        <v>41.855106404893675</v>
      </c>
      <c r="F87" s="111">
        <f t="shared" si="8"/>
        <v>5.5330473988810143</v>
      </c>
      <c r="G87" s="111">
        <f t="shared" si="9"/>
        <v>47.388153803774692</v>
      </c>
      <c r="H87" s="111">
        <f t="shared" si="10"/>
        <v>36.322059006012658</v>
      </c>
      <c r="I87" s="29"/>
      <c r="J87" s="29"/>
      <c r="K87" s="57"/>
    </row>
    <row r="88" spans="1:11">
      <c r="A88" s="103">
        <v>81</v>
      </c>
      <c r="B88" s="109">
        <v>35514</v>
      </c>
      <c r="C88" s="112">
        <v>41.4375</v>
      </c>
      <c r="D88" s="112"/>
      <c r="E88" s="112">
        <f t="shared" si="7"/>
        <v>41.920569803533567</v>
      </c>
      <c r="F88" s="112">
        <f t="shared" si="8"/>
        <v>5.5330473988810143</v>
      </c>
      <c r="G88" s="112">
        <f t="shared" si="9"/>
        <v>47.453617202414584</v>
      </c>
      <c r="H88" s="112">
        <f t="shared" si="10"/>
        <v>36.38752240465255</v>
      </c>
      <c r="I88" s="28"/>
      <c r="J88" s="28"/>
      <c r="K88" s="54"/>
    </row>
    <row r="89" spans="1:11">
      <c r="A89" s="103">
        <v>82</v>
      </c>
      <c r="B89" s="109">
        <v>35515</v>
      </c>
      <c r="C89" s="112">
        <v>42.8125</v>
      </c>
      <c r="D89" s="112"/>
      <c r="E89" s="112">
        <f t="shared" si="7"/>
        <v>41.986033202173466</v>
      </c>
      <c r="F89" s="112">
        <f t="shared" si="8"/>
        <v>5.5330473988810143</v>
      </c>
      <c r="G89" s="112">
        <f t="shared" si="9"/>
        <v>47.519080601054483</v>
      </c>
      <c r="H89" s="112">
        <f t="shared" si="10"/>
        <v>36.452985803292449</v>
      </c>
      <c r="I89" s="28"/>
      <c r="J89" s="28"/>
      <c r="K89" s="54"/>
    </row>
    <row r="90" spans="1:11">
      <c r="A90" s="104">
        <v>83</v>
      </c>
      <c r="B90" s="110">
        <v>35516</v>
      </c>
      <c r="C90" s="111">
        <v>42.5625</v>
      </c>
      <c r="D90" s="111"/>
      <c r="E90" s="111">
        <f t="shared" si="7"/>
        <v>42.051496600813365</v>
      </c>
      <c r="F90" s="111">
        <f t="shared" si="8"/>
        <v>5.5330473988810143</v>
      </c>
      <c r="G90" s="111">
        <f t="shared" si="9"/>
        <v>47.584543999694382</v>
      </c>
      <c r="H90" s="111">
        <f t="shared" si="10"/>
        <v>36.518449201932349</v>
      </c>
      <c r="I90" s="29"/>
      <c r="J90" s="29"/>
      <c r="K90" s="57"/>
    </row>
    <row r="91" spans="1:11">
      <c r="A91" s="104">
        <v>84</v>
      </c>
      <c r="B91" s="110">
        <v>35520</v>
      </c>
      <c r="C91" s="111">
        <v>42.0625</v>
      </c>
      <c r="D91" s="111"/>
      <c r="E91" s="111">
        <f t="shared" si="7"/>
        <v>42.116959999453258</v>
      </c>
      <c r="F91" s="111">
        <f t="shared" si="8"/>
        <v>5.5330473988810143</v>
      </c>
      <c r="G91" s="111">
        <f t="shared" si="9"/>
        <v>47.650007398334274</v>
      </c>
      <c r="H91" s="111">
        <f t="shared" si="10"/>
        <v>36.583912600572241</v>
      </c>
      <c r="I91" s="29"/>
      <c r="J91" s="29"/>
      <c r="K91" s="57"/>
    </row>
    <row r="92" spans="1:11">
      <c r="A92" s="103">
        <v>85</v>
      </c>
      <c r="B92" s="109">
        <v>35521</v>
      </c>
      <c r="C92" s="112">
        <v>41.75</v>
      </c>
      <c r="D92" s="112"/>
      <c r="E92" s="112">
        <f t="shared" si="7"/>
        <v>42.182423398093157</v>
      </c>
      <c r="F92" s="112">
        <f t="shared" si="8"/>
        <v>5.5330473988810143</v>
      </c>
      <c r="G92" s="112">
        <f t="shared" si="9"/>
        <v>47.715470796974174</v>
      </c>
      <c r="H92" s="112">
        <f t="shared" si="10"/>
        <v>36.64937599921214</v>
      </c>
      <c r="I92" s="28"/>
      <c r="J92" s="28"/>
      <c r="K92" s="54"/>
    </row>
    <row r="93" spans="1:11">
      <c r="A93" s="103">
        <v>86</v>
      </c>
      <c r="B93" s="109">
        <v>35522</v>
      </c>
      <c r="C93" s="112">
        <v>42.5</v>
      </c>
      <c r="D93" s="112"/>
      <c r="E93" s="112">
        <f t="shared" si="7"/>
        <v>42.247886796733049</v>
      </c>
      <c r="F93" s="112">
        <f t="shared" si="8"/>
        <v>5.5330473988810143</v>
      </c>
      <c r="G93" s="112">
        <f t="shared" si="9"/>
        <v>47.780934195614066</v>
      </c>
      <c r="H93" s="112">
        <f t="shared" si="10"/>
        <v>36.714839397852032</v>
      </c>
      <c r="I93" s="28"/>
      <c r="J93" s="28"/>
      <c r="K93" s="54"/>
    </row>
    <row r="94" spans="1:11">
      <c r="A94" s="104">
        <v>87</v>
      </c>
      <c r="B94" s="110">
        <v>35523</v>
      </c>
      <c r="C94" s="111">
        <v>42.75</v>
      </c>
      <c r="D94" s="111"/>
      <c r="E94" s="111">
        <f t="shared" si="7"/>
        <v>42.313350195372948</v>
      </c>
      <c r="F94" s="111">
        <f t="shared" si="8"/>
        <v>5.5330473988810143</v>
      </c>
      <c r="G94" s="111">
        <f t="shared" si="9"/>
        <v>47.846397594253965</v>
      </c>
      <c r="H94" s="111">
        <f t="shared" si="10"/>
        <v>36.780302796491931</v>
      </c>
      <c r="I94" s="29"/>
      <c r="J94" s="29"/>
      <c r="K94" s="57"/>
    </row>
    <row r="95" spans="1:11">
      <c r="A95" s="104">
        <v>88</v>
      </c>
      <c r="B95" s="110">
        <v>35524</v>
      </c>
      <c r="C95" s="111">
        <v>44.8125</v>
      </c>
      <c r="D95" s="111"/>
      <c r="E95" s="111">
        <f t="shared" si="7"/>
        <v>42.378813594012847</v>
      </c>
      <c r="F95" s="111">
        <f t="shared" si="8"/>
        <v>5.5330473988810143</v>
      </c>
      <c r="G95" s="111">
        <f t="shared" si="9"/>
        <v>47.911860992893864</v>
      </c>
      <c r="H95" s="111">
        <f t="shared" si="10"/>
        <v>36.84576619513183</v>
      </c>
      <c r="I95" s="29"/>
      <c r="J95" s="29"/>
      <c r="K95" s="57"/>
    </row>
    <row r="96" spans="1:11">
      <c r="A96" s="103">
        <v>89</v>
      </c>
      <c r="B96" s="109">
        <v>35527</v>
      </c>
      <c r="C96" s="112">
        <v>45.3125</v>
      </c>
      <c r="D96" s="112"/>
      <c r="E96" s="112">
        <f t="shared" si="7"/>
        <v>42.444276992652739</v>
      </c>
      <c r="F96" s="112">
        <f t="shared" si="8"/>
        <v>5.5330473988810143</v>
      </c>
      <c r="G96" s="112">
        <f t="shared" si="9"/>
        <v>47.977324391533756</v>
      </c>
      <c r="H96" s="112">
        <f t="shared" si="10"/>
        <v>36.911229593771722</v>
      </c>
      <c r="I96" s="28"/>
      <c r="J96" s="28"/>
      <c r="K96" s="54"/>
    </row>
    <row r="97" spans="1:11">
      <c r="A97" s="103">
        <v>90</v>
      </c>
      <c r="B97" s="109">
        <v>35528</v>
      </c>
      <c r="C97" s="112">
        <v>45.125</v>
      </c>
      <c r="D97" s="112"/>
      <c r="E97" s="112">
        <f t="shared" si="7"/>
        <v>42.509740391292638</v>
      </c>
      <c r="F97" s="112">
        <f t="shared" si="8"/>
        <v>5.5330473988810143</v>
      </c>
      <c r="G97" s="112">
        <f t="shared" si="9"/>
        <v>48.042787790173655</v>
      </c>
      <c r="H97" s="112">
        <f t="shared" si="10"/>
        <v>36.976692992411621</v>
      </c>
      <c r="I97" s="28"/>
      <c r="J97" s="28"/>
      <c r="K97" s="54"/>
    </row>
    <row r="98" spans="1:11">
      <c r="A98" s="104">
        <v>91</v>
      </c>
      <c r="B98" s="110">
        <v>35529</v>
      </c>
      <c r="C98" s="111">
        <v>45</v>
      </c>
      <c r="D98" s="111"/>
      <c r="E98" s="111">
        <f t="shared" ref="E98:E113" si="11">TREND(C$17:C$401,A$17:A$401,A98)</f>
        <v>42.57520378993253</v>
      </c>
      <c r="F98" s="111">
        <f t="shared" si="8"/>
        <v>5.5330473988810143</v>
      </c>
      <c r="G98" s="111">
        <f t="shared" si="9"/>
        <v>48.108251188813547</v>
      </c>
      <c r="H98" s="111">
        <f t="shared" si="10"/>
        <v>37.042156391051513</v>
      </c>
      <c r="I98" s="29"/>
      <c r="J98" s="29"/>
      <c r="K98" s="57"/>
    </row>
    <row r="99" spans="1:11">
      <c r="A99" s="104">
        <v>92</v>
      </c>
      <c r="B99" s="110">
        <v>35530</v>
      </c>
      <c r="C99" s="111">
        <v>44.4375</v>
      </c>
      <c r="D99" s="111"/>
      <c r="E99" s="111">
        <f t="shared" si="11"/>
        <v>42.640667188572429</v>
      </c>
      <c r="F99" s="111">
        <f t="shared" si="8"/>
        <v>5.5330473988810143</v>
      </c>
      <c r="G99" s="111">
        <f t="shared" si="9"/>
        <v>48.173714587453446</v>
      </c>
      <c r="H99" s="111">
        <f t="shared" si="10"/>
        <v>37.107619789691412</v>
      </c>
      <c r="I99" s="29"/>
      <c r="J99" s="29"/>
      <c r="K99" s="57"/>
    </row>
    <row r="100" spans="1:11">
      <c r="A100" s="103">
        <v>93</v>
      </c>
      <c r="B100" s="109">
        <v>35531</v>
      </c>
      <c r="C100" s="112">
        <v>43.4375</v>
      </c>
      <c r="D100" s="112"/>
      <c r="E100" s="112">
        <f t="shared" si="11"/>
        <v>42.706130587212328</v>
      </c>
      <c r="F100" s="112">
        <f t="shared" si="8"/>
        <v>5.5330473988810143</v>
      </c>
      <c r="G100" s="112">
        <f t="shared" si="9"/>
        <v>48.239177986093345</v>
      </c>
      <c r="H100" s="112">
        <f t="shared" si="10"/>
        <v>37.173083188331312</v>
      </c>
      <c r="I100" s="28"/>
      <c r="J100" s="28"/>
      <c r="K100" s="54"/>
    </row>
    <row r="101" spans="1:11">
      <c r="A101" s="103">
        <v>94</v>
      </c>
      <c r="B101" s="109">
        <v>35534</v>
      </c>
      <c r="C101" s="112">
        <v>44</v>
      </c>
      <c r="D101" s="112"/>
      <c r="E101" s="112">
        <f t="shared" si="11"/>
        <v>42.77159398585222</v>
      </c>
      <c r="F101" s="112">
        <f t="shared" si="8"/>
        <v>5.5330473988810143</v>
      </c>
      <c r="G101" s="112">
        <f t="shared" si="9"/>
        <v>48.304641384733237</v>
      </c>
      <c r="H101" s="112">
        <f t="shared" si="10"/>
        <v>37.238546586971204</v>
      </c>
      <c r="I101" s="28"/>
      <c r="J101" s="28"/>
      <c r="K101" s="54"/>
    </row>
    <row r="102" spans="1:11">
      <c r="A102" s="104">
        <v>95</v>
      </c>
      <c r="B102" s="110">
        <v>35535</v>
      </c>
      <c r="C102" s="111">
        <v>44.3125</v>
      </c>
      <c r="D102" s="111"/>
      <c r="E102" s="111">
        <f t="shared" si="11"/>
        <v>42.83705738449212</v>
      </c>
      <c r="F102" s="111">
        <f t="shared" si="8"/>
        <v>5.5330473988810143</v>
      </c>
      <c r="G102" s="111">
        <f t="shared" si="9"/>
        <v>48.370104783373137</v>
      </c>
      <c r="H102" s="111">
        <f t="shared" si="10"/>
        <v>37.304009985611103</v>
      </c>
      <c r="I102" s="29"/>
      <c r="J102" s="29"/>
      <c r="K102" s="57"/>
    </row>
    <row r="103" spans="1:11">
      <c r="A103" s="104">
        <v>96</v>
      </c>
      <c r="B103" s="110">
        <v>35536</v>
      </c>
      <c r="C103" s="111">
        <v>45.4375</v>
      </c>
      <c r="D103" s="111"/>
      <c r="E103" s="111">
        <f t="shared" si="11"/>
        <v>42.902520783132012</v>
      </c>
      <c r="F103" s="111">
        <f t="shared" si="8"/>
        <v>5.5330473988810143</v>
      </c>
      <c r="G103" s="111">
        <f t="shared" si="9"/>
        <v>48.435568182013029</v>
      </c>
      <c r="H103" s="111">
        <f t="shared" si="10"/>
        <v>37.369473384250995</v>
      </c>
      <c r="I103" s="29"/>
      <c r="J103" s="29"/>
      <c r="K103" s="57"/>
    </row>
    <row r="104" spans="1:11">
      <c r="A104" s="103">
        <v>97</v>
      </c>
      <c r="B104" s="109">
        <v>35537</v>
      </c>
      <c r="C104" s="112">
        <v>46.1875</v>
      </c>
      <c r="D104" s="112"/>
      <c r="E104" s="112">
        <f t="shared" si="11"/>
        <v>42.967984181771911</v>
      </c>
      <c r="F104" s="112">
        <f t="shared" si="8"/>
        <v>5.5330473988810143</v>
      </c>
      <c r="G104" s="112">
        <f t="shared" si="9"/>
        <v>48.501031580652928</v>
      </c>
      <c r="H104" s="112">
        <f t="shared" si="10"/>
        <v>37.434936782890894</v>
      </c>
      <c r="I104" s="28"/>
      <c r="J104" s="28"/>
      <c r="K104" s="54"/>
    </row>
    <row r="105" spans="1:11">
      <c r="A105" s="103">
        <v>98</v>
      </c>
      <c r="B105" s="109">
        <v>35538</v>
      </c>
      <c r="C105" s="112">
        <v>47.0625</v>
      </c>
      <c r="D105" s="112"/>
      <c r="E105" s="112">
        <f t="shared" si="11"/>
        <v>43.03344758041181</v>
      </c>
      <c r="F105" s="112">
        <f t="shared" si="8"/>
        <v>5.5330473988810143</v>
      </c>
      <c r="G105" s="112">
        <f t="shared" si="9"/>
        <v>48.566494979292827</v>
      </c>
      <c r="H105" s="112">
        <f t="shared" si="10"/>
        <v>37.500400181530793</v>
      </c>
      <c r="I105" s="28"/>
      <c r="J105" s="28"/>
      <c r="K105" s="54"/>
    </row>
    <row r="106" spans="1:11">
      <c r="A106" s="104">
        <v>99</v>
      </c>
      <c r="B106" s="110">
        <v>35541</v>
      </c>
      <c r="C106" s="111">
        <v>46.5625</v>
      </c>
      <c r="D106" s="111"/>
      <c r="E106" s="111">
        <f t="shared" si="11"/>
        <v>43.098910979051702</v>
      </c>
      <c r="F106" s="111">
        <f t="shared" si="8"/>
        <v>5.5330473988810143</v>
      </c>
      <c r="G106" s="111">
        <f t="shared" si="9"/>
        <v>48.631958377932719</v>
      </c>
      <c r="H106" s="111">
        <f t="shared" si="10"/>
        <v>37.565863580170685</v>
      </c>
      <c r="I106" s="29"/>
      <c r="J106" s="29"/>
      <c r="K106" s="57"/>
    </row>
    <row r="107" spans="1:11">
      <c r="A107" s="104">
        <v>100</v>
      </c>
      <c r="B107" s="110">
        <v>35542</v>
      </c>
      <c r="C107" s="111">
        <v>47.6875</v>
      </c>
      <c r="D107" s="111"/>
      <c r="E107" s="111">
        <f t="shared" si="11"/>
        <v>43.164374377691601</v>
      </c>
      <c r="F107" s="111">
        <f t="shared" si="8"/>
        <v>5.5330473988810143</v>
      </c>
      <c r="G107" s="111">
        <f t="shared" si="9"/>
        <v>48.697421776572618</v>
      </c>
      <c r="H107" s="111">
        <f t="shared" si="10"/>
        <v>37.631326978810584</v>
      </c>
      <c r="I107" s="29"/>
      <c r="J107" s="29"/>
      <c r="K107" s="57"/>
    </row>
    <row r="108" spans="1:11">
      <c r="A108" s="103">
        <v>101</v>
      </c>
      <c r="B108" s="109">
        <v>35543</v>
      </c>
      <c r="C108" s="112">
        <v>49.0625</v>
      </c>
      <c r="D108" s="112"/>
      <c r="E108" s="112">
        <f t="shared" si="11"/>
        <v>43.229837776331493</v>
      </c>
      <c r="F108" s="112">
        <f t="shared" si="8"/>
        <v>5.5330473988810143</v>
      </c>
      <c r="G108" s="112">
        <f t="shared" si="9"/>
        <v>48.76288517521251</v>
      </c>
      <c r="H108" s="112">
        <f t="shared" si="10"/>
        <v>37.696790377450476</v>
      </c>
      <c r="I108" s="28"/>
      <c r="J108" s="28"/>
      <c r="K108" s="54"/>
    </row>
    <row r="109" spans="1:11">
      <c r="A109" s="103">
        <v>102</v>
      </c>
      <c r="B109" s="109">
        <v>35544</v>
      </c>
      <c r="C109" s="112">
        <v>46.5625</v>
      </c>
      <c r="D109" s="112"/>
      <c r="E109" s="112">
        <f t="shared" si="11"/>
        <v>43.295301174971392</v>
      </c>
      <c r="F109" s="112">
        <f t="shared" si="8"/>
        <v>5.5330473988810143</v>
      </c>
      <c r="G109" s="112">
        <f t="shared" si="9"/>
        <v>48.828348573852409</v>
      </c>
      <c r="H109" s="112">
        <f t="shared" si="10"/>
        <v>37.762253776090375</v>
      </c>
      <c r="I109" s="28"/>
      <c r="J109" s="28"/>
      <c r="K109" s="54"/>
    </row>
    <row r="110" spans="1:11">
      <c r="A110" s="104">
        <v>103</v>
      </c>
      <c r="B110" s="110">
        <v>35545</v>
      </c>
      <c r="C110" s="111">
        <v>44.9375</v>
      </c>
      <c r="D110" s="111"/>
      <c r="E110" s="111">
        <f t="shared" si="11"/>
        <v>43.360764573611291</v>
      </c>
      <c r="F110" s="111">
        <f t="shared" si="8"/>
        <v>5.5330473988810143</v>
      </c>
      <c r="G110" s="111">
        <f t="shared" si="9"/>
        <v>48.893811972492308</v>
      </c>
      <c r="H110" s="111">
        <f t="shared" si="10"/>
        <v>37.827717174730275</v>
      </c>
      <c r="I110" s="29"/>
      <c r="J110" s="29"/>
      <c r="K110" s="57"/>
    </row>
    <row r="111" spans="1:11">
      <c r="A111" s="104">
        <v>104</v>
      </c>
      <c r="B111" s="110">
        <v>35548</v>
      </c>
      <c r="C111" s="111">
        <v>44.875</v>
      </c>
      <c r="D111" s="111"/>
      <c r="E111" s="111">
        <f t="shared" si="11"/>
        <v>43.426227972251183</v>
      </c>
      <c r="F111" s="111">
        <f t="shared" si="8"/>
        <v>5.5330473988810143</v>
      </c>
      <c r="G111" s="111">
        <f t="shared" si="9"/>
        <v>48.9592753711322</v>
      </c>
      <c r="H111" s="111">
        <f t="shared" si="10"/>
        <v>37.893180573370167</v>
      </c>
      <c r="I111" s="29"/>
      <c r="J111" s="29"/>
      <c r="K111" s="57"/>
    </row>
    <row r="112" spans="1:11">
      <c r="A112" s="103">
        <v>105</v>
      </c>
      <c r="B112" s="109">
        <v>35549</v>
      </c>
      <c r="C112" s="112">
        <v>46.6875</v>
      </c>
      <c r="D112" s="112"/>
      <c r="E112" s="112">
        <f t="shared" si="11"/>
        <v>43.491691370891083</v>
      </c>
      <c r="F112" s="112">
        <f t="shared" si="8"/>
        <v>5.5330473988810143</v>
      </c>
      <c r="G112" s="112">
        <f t="shared" si="9"/>
        <v>49.0247387697721</v>
      </c>
      <c r="H112" s="112">
        <f t="shared" si="10"/>
        <v>37.958643972010066</v>
      </c>
      <c r="I112" s="28"/>
      <c r="J112" s="28"/>
      <c r="K112" s="54"/>
    </row>
    <row r="113" spans="1:11">
      <c r="A113" s="103">
        <v>106</v>
      </c>
      <c r="B113" s="109">
        <v>35550</v>
      </c>
      <c r="C113" s="112">
        <v>46.0625</v>
      </c>
      <c r="D113" s="112"/>
      <c r="E113" s="112">
        <f t="shared" si="11"/>
        <v>43.557154769530975</v>
      </c>
      <c r="F113" s="112">
        <f t="shared" si="8"/>
        <v>5.5330473988810143</v>
      </c>
      <c r="G113" s="112">
        <f t="shared" si="9"/>
        <v>49.090202168411992</v>
      </c>
      <c r="H113" s="112">
        <f t="shared" si="10"/>
        <v>38.024107370649958</v>
      </c>
      <c r="I113" s="28"/>
      <c r="J113" s="28"/>
      <c r="K113" s="54"/>
    </row>
    <row r="114" spans="1:11">
      <c r="A114" s="104">
        <v>107</v>
      </c>
      <c r="B114" s="110">
        <v>35551</v>
      </c>
      <c r="C114" s="111">
        <v>45.5625</v>
      </c>
      <c r="D114" s="111"/>
      <c r="E114" s="111">
        <f t="shared" ref="E114:E129" si="12">TREND(C$17:C$401,A$17:A$401,A114)</f>
        <v>43.622618168170874</v>
      </c>
      <c r="F114" s="111">
        <f t="shared" si="8"/>
        <v>5.5330473988810143</v>
      </c>
      <c r="G114" s="111">
        <f t="shared" si="9"/>
        <v>49.155665567051891</v>
      </c>
      <c r="H114" s="111">
        <f t="shared" si="10"/>
        <v>38.089570769289857</v>
      </c>
      <c r="I114" s="29"/>
      <c r="J114" s="29"/>
      <c r="K114" s="57"/>
    </row>
    <row r="115" spans="1:11">
      <c r="A115" s="104">
        <v>108</v>
      </c>
      <c r="B115" s="110">
        <v>35552</v>
      </c>
      <c r="C115" s="111">
        <v>47.75</v>
      </c>
      <c r="D115" s="111"/>
      <c r="E115" s="111">
        <f t="shared" si="12"/>
        <v>43.688081566810766</v>
      </c>
      <c r="F115" s="111">
        <f t="shared" si="8"/>
        <v>5.5330473988810143</v>
      </c>
      <c r="G115" s="111">
        <f t="shared" si="9"/>
        <v>49.221128965691783</v>
      </c>
      <c r="H115" s="111">
        <f t="shared" si="10"/>
        <v>38.155034167929749</v>
      </c>
      <c r="I115" s="29"/>
      <c r="J115" s="29"/>
      <c r="K115" s="57"/>
    </row>
    <row r="116" spans="1:11">
      <c r="A116" s="103">
        <v>109</v>
      </c>
      <c r="B116" s="109">
        <v>35555</v>
      </c>
      <c r="C116" s="112">
        <v>47.625</v>
      </c>
      <c r="D116" s="112"/>
      <c r="E116" s="112">
        <f t="shared" si="12"/>
        <v>43.753544965450665</v>
      </c>
      <c r="F116" s="112">
        <f t="shared" si="8"/>
        <v>5.5330473988810143</v>
      </c>
      <c r="G116" s="112">
        <f t="shared" si="9"/>
        <v>49.286592364331682</v>
      </c>
      <c r="H116" s="112">
        <f t="shared" si="10"/>
        <v>38.220497566569648</v>
      </c>
      <c r="I116" s="28"/>
      <c r="J116" s="28"/>
      <c r="K116" s="54"/>
    </row>
    <row r="117" spans="1:11">
      <c r="A117" s="103">
        <v>110</v>
      </c>
      <c r="B117" s="109">
        <v>35556</v>
      </c>
      <c r="C117" s="112">
        <v>46.9375</v>
      </c>
      <c r="D117" s="112"/>
      <c r="E117" s="112">
        <f t="shared" si="12"/>
        <v>43.819008364090564</v>
      </c>
      <c r="F117" s="112">
        <f t="shared" si="8"/>
        <v>5.5330473988810143</v>
      </c>
      <c r="G117" s="112">
        <f t="shared" si="9"/>
        <v>49.352055762971581</v>
      </c>
      <c r="H117" s="112">
        <f t="shared" si="10"/>
        <v>38.285960965209547</v>
      </c>
      <c r="I117" s="28"/>
      <c r="J117" s="28"/>
      <c r="K117" s="54"/>
    </row>
    <row r="118" spans="1:11">
      <c r="A118" s="71">
        <v>111</v>
      </c>
      <c r="B118" s="110">
        <v>35557</v>
      </c>
      <c r="C118" s="111">
        <v>47.125</v>
      </c>
      <c r="D118" s="111"/>
      <c r="E118" s="111">
        <f t="shared" si="12"/>
        <v>43.884471762730456</v>
      </c>
      <c r="F118" s="111">
        <f t="shared" si="8"/>
        <v>5.5330473988810143</v>
      </c>
      <c r="G118" s="111">
        <f t="shared" si="9"/>
        <v>49.417519161611473</v>
      </c>
      <c r="H118" s="111">
        <f t="shared" si="10"/>
        <v>38.351424363849439</v>
      </c>
      <c r="I118" s="29"/>
      <c r="J118" s="29"/>
      <c r="K118" s="57"/>
    </row>
    <row r="119" spans="1:11">
      <c r="A119" s="71">
        <v>112</v>
      </c>
      <c r="B119" s="110">
        <v>35558</v>
      </c>
      <c r="C119" s="111">
        <v>47.875</v>
      </c>
      <c r="D119" s="111"/>
      <c r="E119" s="111">
        <f t="shared" si="12"/>
        <v>43.949935161370355</v>
      </c>
      <c r="F119" s="111">
        <f t="shared" si="8"/>
        <v>5.5330473988810143</v>
      </c>
      <c r="G119" s="111">
        <f t="shared" si="9"/>
        <v>49.482982560251372</v>
      </c>
      <c r="H119" s="111">
        <f t="shared" si="10"/>
        <v>38.416887762489338</v>
      </c>
      <c r="I119" s="29"/>
      <c r="J119" s="29"/>
      <c r="K119" s="57"/>
    </row>
    <row r="120" spans="1:11">
      <c r="A120" s="103">
        <v>113</v>
      </c>
      <c r="B120" s="109">
        <v>35559</v>
      </c>
      <c r="C120" s="112">
        <v>47.3125</v>
      </c>
      <c r="D120" s="112"/>
      <c r="E120" s="112">
        <f t="shared" si="12"/>
        <v>44.015398560010254</v>
      </c>
      <c r="F120" s="112">
        <f t="shared" si="8"/>
        <v>5.5330473988810143</v>
      </c>
      <c r="G120" s="112">
        <f t="shared" si="9"/>
        <v>49.548445958891271</v>
      </c>
      <c r="H120" s="112">
        <f t="shared" si="10"/>
        <v>38.482351161129237</v>
      </c>
      <c r="I120" s="28"/>
      <c r="J120" s="28"/>
      <c r="K120" s="54"/>
    </row>
    <row r="121" spans="1:11">
      <c r="A121" s="103">
        <v>114</v>
      </c>
      <c r="B121" s="109">
        <v>35562</v>
      </c>
      <c r="C121" s="112">
        <v>47.5</v>
      </c>
      <c r="D121" s="112"/>
      <c r="E121" s="112">
        <f t="shared" si="12"/>
        <v>44.080861958650146</v>
      </c>
      <c r="F121" s="112">
        <f t="shared" si="8"/>
        <v>5.5330473988810143</v>
      </c>
      <c r="G121" s="112">
        <f t="shared" si="9"/>
        <v>49.613909357531163</v>
      </c>
      <c r="H121" s="112">
        <f t="shared" si="10"/>
        <v>38.54781455976913</v>
      </c>
      <c r="I121" s="28"/>
      <c r="J121" s="28"/>
      <c r="K121" s="54"/>
    </row>
    <row r="122" spans="1:11">
      <c r="A122" s="104">
        <v>115</v>
      </c>
      <c r="B122" s="110">
        <v>35563</v>
      </c>
      <c r="C122" s="111">
        <v>47.1875</v>
      </c>
      <c r="D122" s="111"/>
      <c r="E122" s="111">
        <f t="shared" si="12"/>
        <v>44.146325357290046</v>
      </c>
      <c r="F122" s="111">
        <f t="shared" si="8"/>
        <v>5.5330473988810143</v>
      </c>
      <c r="G122" s="111">
        <f t="shared" si="9"/>
        <v>49.679372756171063</v>
      </c>
      <c r="H122" s="111">
        <f t="shared" si="10"/>
        <v>38.613277958409029</v>
      </c>
      <c r="I122" s="29"/>
      <c r="J122" s="29"/>
      <c r="K122" s="57"/>
    </row>
    <row r="123" spans="1:11">
      <c r="A123" s="104">
        <v>116</v>
      </c>
      <c r="B123" s="110">
        <v>35564</v>
      </c>
      <c r="C123" s="111">
        <v>46.25</v>
      </c>
      <c r="D123" s="111"/>
      <c r="E123" s="111">
        <f t="shared" si="12"/>
        <v>44.211788755929938</v>
      </c>
      <c r="F123" s="111">
        <f t="shared" si="8"/>
        <v>5.5330473988810143</v>
      </c>
      <c r="G123" s="111">
        <f t="shared" si="9"/>
        <v>49.744836154810955</v>
      </c>
      <c r="H123" s="111">
        <f t="shared" si="10"/>
        <v>38.678741357048921</v>
      </c>
      <c r="I123" s="29"/>
      <c r="J123" s="29"/>
      <c r="K123" s="57"/>
    </row>
    <row r="124" spans="1:11">
      <c r="A124" s="103">
        <v>117</v>
      </c>
      <c r="B124" s="109">
        <v>35565</v>
      </c>
      <c r="C124" s="112">
        <v>46.1875</v>
      </c>
      <c r="D124" s="112"/>
      <c r="E124" s="112">
        <f t="shared" si="12"/>
        <v>44.277252154569837</v>
      </c>
      <c r="F124" s="112">
        <f t="shared" si="8"/>
        <v>5.5330473988810143</v>
      </c>
      <c r="G124" s="112">
        <f t="shared" si="9"/>
        <v>49.810299553450854</v>
      </c>
      <c r="H124" s="112">
        <f t="shared" si="10"/>
        <v>38.74420475568882</v>
      </c>
      <c r="I124" s="28"/>
      <c r="J124" s="28"/>
      <c r="K124" s="54"/>
    </row>
    <row r="125" spans="1:11">
      <c r="A125" s="103">
        <v>118</v>
      </c>
      <c r="B125" s="109">
        <v>35566</v>
      </c>
      <c r="C125" s="112">
        <v>46.5</v>
      </c>
      <c r="D125" s="112"/>
      <c r="E125" s="112">
        <f t="shared" si="12"/>
        <v>44.342715553209729</v>
      </c>
      <c r="F125" s="112">
        <f t="shared" si="8"/>
        <v>5.5330473988810143</v>
      </c>
      <c r="G125" s="112">
        <f t="shared" si="9"/>
        <v>49.875762952090746</v>
      </c>
      <c r="H125" s="112">
        <f t="shared" si="10"/>
        <v>38.809668154328712</v>
      </c>
      <c r="I125" s="28"/>
      <c r="J125" s="28"/>
      <c r="K125" s="54"/>
    </row>
    <row r="126" spans="1:11">
      <c r="A126" s="104">
        <v>119</v>
      </c>
      <c r="B126" s="110">
        <v>35569</v>
      </c>
      <c r="C126" s="111">
        <v>46</v>
      </c>
      <c r="D126" s="111"/>
      <c r="E126" s="111">
        <f t="shared" si="12"/>
        <v>44.408178951849628</v>
      </c>
      <c r="F126" s="111">
        <f t="shared" si="8"/>
        <v>5.5330473988810143</v>
      </c>
      <c r="G126" s="111">
        <f t="shared" si="9"/>
        <v>49.941226350730645</v>
      </c>
      <c r="H126" s="111">
        <f t="shared" si="10"/>
        <v>38.875131552968611</v>
      </c>
      <c r="I126" s="29"/>
      <c r="J126" s="29"/>
      <c r="K126" s="57"/>
    </row>
    <row r="127" spans="1:11">
      <c r="A127" s="104">
        <v>120</v>
      </c>
      <c r="B127" s="110">
        <v>35570</v>
      </c>
      <c r="C127" s="111">
        <v>47.1875</v>
      </c>
      <c r="D127" s="111"/>
      <c r="E127" s="111">
        <f t="shared" si="12"/>
        <v>44.473642350489527</v>
      </c>
      <c r="F127" s="111">
        <f t="shared" si="8"/>
        <v>5.5330473988810143</v>
      </c>
      <c r="G127" s="111">
        <f t="shared" si="9"/>
        <v>50.006689749370544</v>
      </c>
      <c r="H127" s="111">
        <f t="shared" si="10"/>
        <v>38.94059495160851</v>
      </c>
      <c r="I127" s="29"/>
      <c r="J127" s="29"/>
      <c r="K127" s="57"/>
    </row>
    <row r="128" spans="1:11">
      <c r="A128" s="103">
        <v>121</v>
      </c>
      <c r="B128" s="109">
        <v>35571</v>
      </c>
      <c r="C128" s="112">
        <v>47</v>
      </c>
      <c r="D128" s="112"/>
      <c r="E128" s="112">
        <f t="shared" si="12"/>
        <v>44.539105749129419</v>
      </c>
      <c r="F128" s="112">
        <f t="shared" si="8"/>
        <v>5.5330473988810143</v>
      </c>
      <c r="G128" s="112">
        <f t="shared" si="9"/>
        <v>50.072153148010436</v>
      </c>
      <c r="H128" s="112">
        <f t="shared" si="10"/>
        <v>39.006058350248402</v>
      </c>
      <c r="I128" s="28"/>
      <c r="J128" s="28"/>
      <c r="K128" s="54"/>
    </row>
    <row r="129" spans="1:11">
      <c r="A129" s="103">
        <v>122</v>
      </c>
      <c r="B129" s="109">
        <v>35572</v>
      </c>
      <c r="C129" s="112">
        <v>46.6875</v>
      </c>
      <c r="D129" s="166"/>
      <c r="E129" s="112">
        <f t="shared" si="12"/>
        <v>44.604569147769318</v>
      </c>
      <c r="F129" s="112">
        <f t="shared" si="8"/>
        <v>5.5330473988810143</v>
      </c>
      <c r="G129" s="112">
        <f t="shared" si="9"/>
        <v>50.137616546650335</v>
      </c>
      <c r="H129" s="112">
        <f t="shared" si="10"/>
        <v>39.071521748888301</v>
      </c>
      <c r="I129" s="28"/>
      <c r="J129" s="28"/>
      <c r="K129" s="54"/>
    </row>
    <row r="130" spans="1:11">
      <c r="A130" s="104">
        <v>123</v>
      </c>
      <c r="B130" s="110">
        <v>35573</v>
      </c>
      <c r="C130" s="111">
        <v>47.6875</v>
      </c>
      <c r="D130" s="111"/>
      <c r="E130" s="111">
        <f t="shared" ref="E130:E145" si="13">TREND(C$17:C$401,A$17:A$401,A130)</f>
        <v>44.670032546409217</v>
      </c>
      <c r="F130" s="111">
        <f t="shared" si="8"/>
        <v>5.5330473988810143</v>
      </c>
      <c r="G130" s="111">
        <f t="shared" si="9"/>
        <v>50.203079945290234</v>
      </c>
      <c r="H130" s="111">
        <f t="shared" si="10"/>
        <v>39.1369851475282</v>
      </c>
      <c r="I130" s="29"/>
      <c r="J130" s="29"/>
      <c r="K130" s="57"/>
    </row>
    <row r="131" spans="1:11">
      <c r="A131" s="104">
        <v>124</v>
      </c>
      <c r="B131" s="110">
        <v>35577</v>
      </c>
      <c r="C131" s="111">
        <v>47.875</v>
      </c>
      <c r="D131" s="111"/>
      <c r="E131" s="111">
        <f t="shared" si="13"/>
        <v>44.735495945049109</v>
      </c>
      <c r="F131" s="111">
        <f t="shared" si="8"/>
        <v>5.5330473988810143</v>
      </c>
      <c r="G131" s="111">
        <f t="shared" si="9"/>
        <v>50.268543343930126</v>
      </c>
      <c r="H131" s="111">
        <f t="shared" si="10"/>
        <v>39.202448546168092</v>
      </c>
      <c r="I131" s="29"/>
      <c r="J131" s="29"/>
      <c r="K131" s="57"/>
    </row>
    <row r="132" spans="1:11">
      <c r="A132" s="103">
        <v>125</v>
      </c>
      <c r="B132" s="109">
        <v>35578</v>
      </c>
      <c r="C132" s="112">
        <v>46.875</v>
      </c>
      <c r="D132" s="112"/>
      <c r="E132" s="112">
        <f t="shared" si="13"/>
        <v>44.800959343689009</v>
      </c>
      <c r="F132" s="112">
        <f t="shared" si="8"/>
        <v>5.5330473988810143</v>
      </c>
      <c r="G132" s="112">
        <f t="shared" si="9"/>
        <v>50.334006742570025</v>
      </c>
      <c r="H132" s="112">
        <f t="shared" si="10"/>
        <v>39.267911944807992</v>
      </c>
      <c r="I132" s="28"/>
      <c r="J132" s="28"/>
      <c r="K132" s="54"/>
    </row>
    <row r="133" spans="1:11">
      <c r="A133" s="103">
        <v>126</v>
      </c>
      <c r="B133" s="109">
        <v>35579</v>
      </c>
      <c r="C133" s="112">
        <v>47.375</v>
      </c>
      <c r="D133" s="112"/>
      <c r="E133" s="112">
        <f t="shared" si="13"/>
        <v>44.866422742328901</v>
      </c>
      <c r="F133" s="112">
        <f t="shared" si="8"/>
        <v>5.5330473988810143</v>
      </c>
      <c r="G133" s="112">
        <f t="shared" si="9"/>
        <v>50.399470141209918</v>
      </c>
      <c r="H133" s="112">
        <f t="shared" si="10"/>
        <v>39.333375343447884</v>
      </c>
      <c r="I133" s="28"/>
      <c r="J133" s="28"/>
      <c r="K133" s="54"/>
    </row>
    <row r="134" spans="1:11">
      <c r="A134" s="104">
        <v>127</v>
      </c>
      <c r="B134" s="110">
        <v>35580</v>
      </c>
      <c r="C134" s="111">
        <v>46.875</v>
      </c>
      <c r="D134" s="111"/>
      <c r="E134" s="111">
        <f t="shared" si="13"/>
        <v>44.9318861409688</v>
      </c>
      <c r="F134" s="111">
        <f t="shared" si="8"/>
        <v>5.5330473988810143</v>
      </c>
      <c r="G134" s="111">
        <f t="shared" si="9"/>
        <v>50.464933539849817</v>
      </c>
      <c r="H134" s="111">
        <f t="shared" si="10"/>
        <v>39.398838742087783</v>
      </c>
      <c r="I134" s="29"/>
      <c r="J134" s="29"/>
      <c r="K134" s="57"/>
    </row>
    <row r="135" spans="1:11">
      <c r="A135" s="104">
        <v>128</v>
      </c>
      <c r="B135" s="110">
        <v>35583</v>
      </c>
      <c r="C135" s="111">
        <v>46.75</v>
      </c>
      <c r="D135" s="111"/>
      <c r="E135" s="111">
        <f t="shared" si="13"/>
        <v>44.997349539608692</v>
      </c>
      <c r="F135" s="111">
        <f t="shared" si="8"/>
        <v>5.5330473988810143</v>
      </c>
      <c r="G135" s="111">
        <f t="shared" si="9"/>
        <v>50.530396938489709</v>
      </c>
      <c r="H135" s="111">
        <f t="shared" si="10"/>
        <v>39.464302140727675</v>
      </c>
      <c r="I135" s="29"/>
      <c r="J135" s="29"/>
      <c r="K135" s="57"/>
    </row>
    <row r="136" spans="1:11">
      <c r="A136" s="103">
        <v>129</v>
      </c>
      <c r="B136" s="109">
        <v>35584</v>
      </c>
      <c r="C136" s="112">
        <v>46.5</v>
      </c>
      <c r="D136" s="112"/>
      <c r="E136" s="112">
        <f t="shared" si="13"/>
        <v>45.062812938248591</v>
      </c>
      <c r="F136" s="112">
        <f t="shared" si="8"/>
        <v>5.5330473988810143</v>
      </c>
      <c r="G136" s="112">
        <f t="shared" si="9"/>
        <v>50.595860337129608</v>
      </c>
      <c r="H136" s="112">
        <f t="shared" si="10"/>
        <v>39.529765539367574</v>
      </c>
      <c r="I136" s="28"/>
      <c r="J136" s="28"/>
      <c r="K136" s="54"/>
    </row>
    <row r="137" spans="1:11">
      <c r="A137" s="103">
        <v>130</v>
      </c>
      <c r="B137" s="109">
        <v>35585</v>
      </c>
      <c r="C137" s="112">
        <v>45.5</v>
      </c>
      <c r="D137" s="112"/>
      <c r="E137" s="112">
        <f t="shared" si="13"/>
        <v>45.12827633688849</v>
      </c>
      <c r="F137" s="112">
        <f t="shared" si="8"/>
        <v>5.5330473988810143</v>
      </c>
      <c r="G137" s="112">
        <f t="shared" si="9"/>
        <v>50.661323735769507</v>
      </c>
      <c r="H137" s="112">
        <f t="shared" si="10"/>
        <v>39.595228938007473</v>
      </c>
      <c r="I137" s="28"/>
      <c r="J137" s="28"/>
      <c r="K137" s="54"/>
    </row>
    <row r="138" spans="1:11">
      <c r="A138" s="104">
        <v>131</v>
      </c>
      <c r="B138" s="110">
        <v>35586</v>
      </c>
      <c r="C138" s="111">
        <v>46.375</v>
      </c>
      <c r="D138" s="111"/>
      <c r="E138" s="111">
        <f t="shared" si="13"/>
        <v>45.193739735528382</v>
      </c>
      <c r="F138" s="111">
        <f t="shared" si="8"/>
        <v>5.5330473988810143</v>
      </c>
      <c r="G138" s="111">
        <f t="shared" si="9"/>
        <v>50.726787134409399</v>
      </c>
      <c r="H138" s="111">
        <f t="shared" si="10"/>
        <v>39.660692336647365</v>
      </c>
      <c r="I138" s="29"/>
      <c r="J138" s="29"/>
      <c r="K138" s="57"/>
    </row>
    <row r="139" spans="1:11">
      <c r="A139" s="104">
        <v>132</v>
      </c>
      <c r="B139" s="110">
        <v>35587</v>
      </c>
      <c r="C139" s="111">
        <v>47</v>
      </c>
      <c r="D139" s="111"/>
      <c r="E139" s="111">
        <f t="shared" si="13"/>
        <v>45.259203134168281</v>
      </c>
      <c r="F139" s="111">
        <f t="shared" si="8"/>
        <v>5.5330473988810143</v>
      </c>
      <c r="G139" s="111">
        <f t="shared" si="9"/>
        <v>50.792250533049298</v>
      </c>
      <c r="H139" s="111">
        <f t="shared" si="10"/>
        <v>39.726155735287264</v>
      </c>
      <c r="I139" s="29"/>
      <c r="J139" s="29"/>
      <c r="K139" s="57"/>
    </row>
    <row r="140" spans="1:11">
      <c r="A140" s="103">
        <v>133</v>
      </c>
      <c r="B140" s="109">
        <v>35590</v>
      </c>
      <c r="C140" s="112">
        <v>45.875</v>
      </c>
      <c r="D140" s="112"/>
      <c r="E140" s="112">
        <f t="shared" si="13"/>
        <v>45.32466653280818</v>
      </c>
      <c r="F140" s="112">
        <f t="shared" si="8"/>
        <v>5.5330473988810143</v>
      </c>
      <c r="G140" s="112">
        <f t="shared" si="9"/>
        <v>50.857713931689197</v>
      </c>
      <c r="H140" s="112">
        <f t="shared" si="10"/>
        <v>39.791619133927163</v>
      </c>
      <c r="I140" s="28"/>
      <c r="J140" s="28"/>
      <c r="K140" s="54"/>
    </row>
    <row r="141" spans="1:11">
      <c r="A141" s="103">
        <v>134</v>
      </c>
      <c r="B141" s="109">
        <v>35591</v>
      </c>
      <c r="C141" s="112">
        <v>44</v>
      </c>
      <c r="D141" s="112"/>
      <c r="E141" s="112">
        <f t="shared" si="13"/>
        <v>45.390129931448072</v>
      </c>
      <c r="F141" s="112">
        <f t="shared" si="8"/>
        <v>5.5330473988810143</v>
      </c>
      <c r="G141" s="112">
        <f t="shared" si="9"/>
        <v>50.923177330329089</v>
      </c>
      <c r="H141" s="112">
        <f t="shared" si="10"/>
        <v>39.857082532567055</v>
      </c>
      <c r="I141" s="28"/>
      <c r="J141" s="28"/>
      <c r="K141" s="54"/>
    </row>
    <row r="142" spans="1:11">
      <c r="A142" s="104">
        <v>135</v>
      </c>
      <c r="B142" s="110">
        <v>35592</v>
      </c>
      <c r="C142" s="111">
        <v>44.1875</v>
      </c>
      <c r="D142" s="111"/>
      <c r="E142" s="111">
        <f t="shared" si="13"/>
        <v>45.455593330087972</v>
      </c>
      <c r="F142" s="111">
        <f t="shared" si="8"/>
        <v>5.5330473988810143</v>
      </c>
      <c r="G142" s="111">
        <f t="shared" si="9"/>
        <v>50.988640728968988</v>
      </c>
      <c r="H142" s="111">
        <f t="shared" si="10"/>
        <v>39.922545931206955</v>
      </c>
      <c r="I142" s="29"/>
      <c r="J142" s="29"/>
      <c r="K142" s="57"/>
    </row>
    <row r="143" spans="1:11">
      <c r="A143" s="104">
        <v>136</v>
      </c>
      <c r="B143" s="110">
        <v>35593</v>
      </c>
      <c r="C143" s="111">
        <v>43.8125</v>
      </c>
      <c r="D143" s="111"/>
      <c r="E143" s="111">
        <f t="shared" si="13"/>
        <v>45.521056728727864</v>
      </c>
      <c r="F143" s="111">
        <f t="shared" si="8"/>
        <v>5.5330473988810143</v>
      </c>
      <c r="G143" s="111">
        <f t="shared" si="9"/>
        <v>51.054104127608881</v>
      </c>
      <c r="H143" s="111">
        <f t="shared" si="10"/>
        <v>39.988009329846847</v>
      </c>
      <c r="I143" s="29"/>
      <c r="J143" s="29"/>
      <c r="K143" s="57"/>
    </row>
    <row r="144" spans="1:11">
      <c r="A144" s="103">
        <v>137</v>
      </c>
      <c r="B144" s="109">
        <v>35594</v>
      </c>
      <c r="C144" s="112">
        <v>44.75</v>
      </c>
      <c r="D144" s="112"/>
      <c r="E144" s="112">
        <f t="shared" si="13"/>
        <v>45.586520127367763</v>
      </c>
      <c r="F144" s="112">
        <f t="shared" si="8"/>
        <v>5.5330473988810143</v>
      </c>
      <c r="G144" s="112">
        <f t="shared" si="9"/>
        <v>51.11956752624878</v>
      </c>
      <c r="H144" s="112">
        <f t="shared" si="10"/>
        <v>40.053472728486746</v>
      </c>
      <c r="I144" s="28"/>
      <c r="J144" s="28"/>
      <c r="K144" s="54"/>
    </row>
    <row r="145" spans="1:11">
      <c r="A145" s="103">
        <v>138</v>
      </c>
      <c r="B145" s="109">
        <v>35597</v>
      </c>
      <c r="C145" s="112">
        <v>43.9375</v>
      </c>
      <c r="D145" s="112"/>
      <c r="E145" s="112">
        <f t="shared" si="13"/>
        <v>45.651983526007655</v>
      </c>
      <c r="F145" s="112">
        <f t="shared" si="8"/>
        <v>5.5330473988810143</v>
      </c>
      <c r="G145" s="112">
        <f t="shared" si="9"/>
        <v>51.185030924888672</v>
      </c>
      <c r="H145" s="112">
        <f t="shared" si="10"/>
        <v>40.118936127126638</v>
      </c>
      <c r="I145" s="28"/>
      <c r="J145" s="28"/>
      <c r="K145" s="54"/>
    </row>
    <row r="146" spans="1:11">
      <c r="A146" s="104">
        <v>139</v>
      </c>
      <c r="B146" s="110">
        <v>35598</v>
      </c>
      <c r="C146" s="111">
        <v>44.4375</v>
      </c>
      <c r="D146" s="111"/>
      <c r="E146" s="111">
        <f t="shared" ref="E146:E161" si="14">TREND(C$17:C$401,A$17:A$401,A146)</f>
        <v>45.717446924647554</v>
      </c>
      <c r="F146" s="111">
        <f t="shared" ref="F146:F209" si="15">$D$6*2</f>
        <v>5.5330473988810143</v>
      </c>
      <c r="G146" s="111">
        <f t="shared" ref="G146:G209" si="16">E146+F146</f>
        <v>51.250494323528571</v>
      </c>
      <c r="H146" s="111">
        <f t="shared" ref="H146:H209" si="17">E146-F146</f>
        <v>40.184399525766537</v>
      </c>
      <c r="I146" s="29"/>
      <c r="J146" s="29"/>
      <c r="K146" s="57"/>
    </row>
    <row r="147" spans="1:11">
      <c r="A147" s="104">
        <v>140</v>
      </c>
      <c r="B147" s="110">
        <v>35599</v>
      </c>
      <c r="C147" s="111">
        <v>44.625</v>
      </c>
      <c r="D147" s="111"/>
      <c r="E147" s="111">
        <f t="shared" si="14"/>
        <v>45.782910323287453</v>
      </c>
      <c r="F147" s="111">
        <f t="shared" si="15"/>
        <v>5.5330473988810143</v>
      </c>
      <c r="G147" s="111">
        <f t="shared" si="16"/>
        <v>51.31595772216847</v>
      </c>
      <c r="H147" s="111">
        <f t="shared" si="17"/>
        <v>40.249862924406436</v>
      </c>
      <c r="I147" s="29"/>
      <c r="J147" s="29"/>
      <c r="K147" s="57"/>
    </row>
    <row r="148" spans="1:11">
      <c r="A148" s="103">
        <v>141</v>
      </c>
      <c r="B148" s="109">
        <v>35600</v>
      </c>
      <c r="C148" s="112">
        <v>44.125</v>
      </c>
      <c r="D148" s="112"/>
      <c r="E148" s="112">
        <f t="shared" si="14"/>
        <v>45.848373721927345</v>
      </c>
      <c r="F148" s="112">
        <f t="shared" si="15"/>
        <v>5.5330473988810143</v>
      </c>
      <c r="G148" s="112">
        <f t="shared" si="16"/>
        <v>51.381421120808362</v>
      </c>
      <c r="H148" s="112">
        <f t="shared" si="17"/>
        <v>40.315326323046328</v>
      </c>
      <c r="I148" s="28"/>
      <c r="J148" s="28"/>
      <c r="K148" s="54"/>
    </row>
    <row r="149" spans="1:11">
      <c r="A149" s="103">
        <v>142</v>
      </c>
      <c r="B149" s="109">
        <v>35601</v>
      </c>
      <c r="C149" s="112">
        <v>44.125</v>
      </c>
      <c r="D149" s="112"/>
      <c r="E149" s="112">
        <f t="shared" si="14"/>
        <v>45.913837120567244</v>
      </c>
      <c r="F149" s="112">
        <f t="shared" si="15"/>
        <v>5.5330473988810143</v>
      </c>
      <c r="G149" s="112">
        <f t="shared" si="16"/>
        <v>51.446884519448261</v>
      </c>
      <c r="H149" s="112">
        <f t="shared" si="17"/>
        <v>40.380789721686227</v>
      </c>
      <c r="I149" s="28"/>
      <c r="J149" s="28"/>
      <c r="K149" s="54"/>
    </row>
    <row r="150" spans="1:11">
      <c r="A150" s="104">
        <v>143</v>
      </c>
      <c r="B150" s="110">
        <v>35604</v>
      </c>
      <c r="C150" s="111">
        <v>43.375</v>
      </c>
      <c r="D150" s="111"/>
      <c r="E150" s="111">
        <f t="shared" si="14"/>
        <v>45.979300519207143</v>
      </c>
      <c r="F150" s="111">
        <f t="shared" si="15"/>
        <v>5.5330473988810143</v>
      </c>
      <c r="G150" s="111">
        <f t="shared" si="16"/>
        <v>51.51234791808816</v>
      </c>
      <c r="H150" s="111">
        <f t="shared" si="17"/>
        <v>40.446253120326126</v>
      </c>
      <c r="I150" s="29"/>
      <c r="J150" s="29"/>
      <c r="K150" s="57"/>
    </row>
    <row r="151" spans="1:11">
      <c r="A151" s="104">
        <v>144</v>
      </c>
      <c r="B151" s="110">
        <v>35605</v>
      </c>
      <c r="C151" s="111">
        <v>42.9375</v>
      </c>
      <c r="D151" s="111"/>
      <c r="E151" s="111">
        <f t="shared" si="14"/>
        <v>46.044763917847035</v>
      </c>
      <c r="F151" s="111">
        <f t="shared" si="15"/>
        <v>5.5330473988810143</v>
      </c>
      <c r="G151" s="111">
        <f t="shared" si="16"/>
        <v>51.577811316728052</v>
      </c>
      <c r="H151" s="111">
        <f t="shared" si="17"/>
        <v>40.511716518966018</v>
      </c>
      <c r="I151" s="29"/>
      <c r="J151" s="29"/>
      <c r="K151" s="57"/>
    </row>
    <row r="152" spans="1:11">
      <c r="A152" s="103">
        <v>145</v>
      </c>
      <c r="B152" s="109">
        <v>35606</v>
      </c>
      <c r="C152" s="112">
        <v>42.968800000000002</v>
      </c>
      <c r="D152" s="112"/>
      <c r="E152" s="112">
        <f t="shared" si="14"/>
        <v>46.110227316486935</v>
      </c>
      <c r="F152" s="112">
        <f t="shared" si="15"/>
        <v>5.5330473988810143</v>
      </c>
      <c r="G152" s="112">
        <f t="shared" si="16"/>
        <v>51.643274715367951</v>
      </c>
      <c r="H152" s="112">
        <f t="shared" si="17"/>
        <v>40.577179917605918</v>
      </c>
      <c r="I152" s="28"/>
      <c r="J152" s="28"/>
      <c r="K152" s="54"/>
    </row>
    <row r="153" spans="1:11">
      <c r="A153" s="103">
        <v>146</v>
      </c>
      <c r="B153" s="109">
        <v>35607</v>
      </c>
      <c r="C153" s="112">
        <v>42.75</v>
      </c>
      <c r="D153" s="112"/>
      <c r="E153" s="112">
        <f t="shared" si="14"/>
        <v>46.175690715126827</v>
      </c>
      <c r="F153" s="112">
        <f t="shared" si="15"/>
        <v>5.5330473988810143</v>
      </c>
      <c r="G153" s="112">
        <f t="shared" si="16"/>
        <v>51.708738114007843</v>
      </c>
      <c r="H153" s="112">
        <f t="shared" si="17"/>
        <v>40.64264331624581</v>
      </c>
      <c r="I153" s="28"/>
      <c r="J153" s="28"/>
      <c r="K153" s="54"/>
    </row>
    <row r="154" spans="1:11">
      <c r="A154" s="104">
        <v>147</v>
      </c>
      <c r="B154" s="110">
        <v>35608</v>
      </c>
      <c r="C154" s="111">
        <v>42.656199999999998</v>
      </c>
      <c r="D154" s="111"/>
      <c r="E154" s="111">
        <f t="shared" si="14"/>
        <v>46.241154113766726</v>
      </c>
      <c r="F154" s="111">
        <f t="shared" si="15"/>
        <v>5.5330473988810143</v>
      </c>
      <c r="G154" s="111">
        <f t="shared" si="16"/>
        <v>51.774201512647743</v>
      </c>
      <c r="H154" s="111">
        <f t="shared" si="17"/>
        <v>40.708106714885709</v>
      </c>
      <c r="I154" s="29"/>
      <c r="J154" s="29"/>
      <c r="K154" s="57"/>
    </row>
    <row r="155" spans="1:11">
      <c r="A155" s="104">
        <v>148</v>
      </c>
      <c r="B155" s="110">
        <v>35611</v>
      </c>
      <c r="C155" s="111">
        <v>41.3125</v>
      </c>
      <c r="D155" s="111"/>
      <c r="E155" s="111">
        <f t="shared" si="14"/>
        <v>46.306617512406618</v>
      </c>
      <c r="F155" s="111">
        <f t="shared" si="15"/>
        <v>5.5330473988810143</v>
      </c>
      <c r="G155" s="111">
        <f t="shared" si="16"/>
        <v>51.839664911287635</v>
      </c>
      <c r="H155" s="111">
        <f t="shared" si="17"/>
        <v>40.773570113525601</v>
      </c>
      <c r="I155" s="29"/>
      <c r="J155" s="29"/>
      <c r="K155" s="57"/>
    </row>
    <row r="156" spans="1:11">
      <c r="A156" s="103">
        <v>149</v>
      </c>
      <c r="B156" s="109">
        <v>35612</v>
      </c>
      <c r="C156" s="112">
        <v>42.218800000000002</v>
      </c>
      <c r="D156" s="112"/>
      <c r="E156" s="112">
        <f t="shared" si="14"/>
        <v>46.372080911046517</v>
      </c>
      <c r="F156" s="112">
        <f t="shared" si="15"/>
        <v>5.5330473988810143</v>
      </c>
      <c r="G156" s="112">
        <f t="shared" si="16"/>
        <v>51.905128309927534</v>
      </c>
      <c r="H156" s="112">
        <f t="shared" si="17"/>
        <v>40.8390335121655</v>
      </c>
      <c r="I156" s="28"/>
      <c r="J156" s="28"/>
      <c r="K156" s="54"/>
    </row>
    <row r="157" spans="1:11">
      <c r="A157" s="103">
        <v>150</v>
      </c>
      <c r="B157" s="109">
        <v>35613</v>
      </c>
      <c r="C157" s="112">
        <v>43.625</v>
      </c>
      <c r="D157" s="112"/>
      <c r="E157" s="112">
        <f t="shared" si="14"/>
        <v>46.437544309686416</v>
      </c>
      <c r="F157" s="112">
        <f t="shared" si="15"/>
        <v>5.5330473988810143</v>
      </c>
      <c r="G157" s="112">
        <f t="shared" si="16"/>
        <v>51.970591708567433</v>
      </c>
      <c r="H157" s="112">
        <f t="shared" si="17"/>
        <v>40.904496910805399</v>
      </c>
      <c r="I157" s="28"/>
      <c r="J157" s="28"/>
      <c r="K157" s="54"/>
    </row>
    <row r="158" spans="1:11">
      <c r="A158" s="104">
        <v>151</v>
      </c>
      <c r="B158" s="110">
        <v>35614</v>
      </c>
      <c r="C158" s="111">
        <v>43.625</v>
      </c>
      <c r="D158" s="111"/>
      <c r="E158" s="111">
        <f t="shared" si="14"/>
        <v>46.503007708326308</v>
      </c>
      <c r="F158" s="111">
        <f t="shared" si="15"/>
        <v>5.5330473988810143</v>
      </c>
      <c r="G158" s="111">
        <f t="shared" si="16"/>
        <v>52.036055107207325</v>
      </c>
      <c r="H158" s="111">
        <f t="shared" si="17"/>
        <v>40.969960309445291</v>
      </c>
      <c r="I158" s="29"/>
      <c r="J158" s="29"/>
      <c r="K158" s="57"/>
    </row>
    <row r="159" spans="1:11">
      <c r="A159" s="104">
        <v>152</v>
      </c>
      <c r="B159" s="110">
        <v>35618</v>
      </c>
      <c r="C159" s="111">
        <v>43.468800000000002</v>
      </c>
      <c r="D159" s="111"/>
      <c r="E159" s="111">
        <f t="shared" si="14"/>
        <v>46.568471106966207</v>
      </c>
      <c r="F159" s="111">
        <f t="shared" si="15"/>
        <v>5.5330473988810143</v>
      </c>
      <c r="G159" s="111">
        <f t="shared" si="16"/>
        <v>52.101518505847224</v>
      </c>
      <c r="H159" s="111">
        <f t="shared" si="17"/>
        <v>41.03542370808519</v>
      </c>
      <c r="I159" s="29"/>
      <c r="J159" s="29"/>
      <c r="K159" s="57"/>
    </row>
    <row r="160" spans="1:11">
      <c r="A160" s="103">
        <v>153</v>
      </c>
      <c r="B160" s="109">
        <v>35619</v>
      </c>
      <c r="C160" s="112">
        <v>42.9375</v>
      </c>
      <c r="D160" s="112"/>
      <c r="E160" s="112">
        <f t="shared" si="14"/>
        <v>46.633934505606106</v>
      </c>
      <c r="F160" s="112">
        <f t="shared" si="15"/>
        <v>5.5330473988810143</v>
      </c>
      <c r="G160" s="112">
        <f t="shared" si="16"/>
        <v>52.166981904487123</v>
      </c>
      <c r="H160" s="112">
        <f t="shared" si="17"/>
        <v>41.100887106725089</v>
      </c>
      <c r="I160" s="28"/>
      <c r="J160" s="28"/>
      <c r="K160" s="54"/>
    </row>
    <row r="161" spans="1:11">
      <c r="A161" s="103">
        <v>154</v>
      </c>
      <c r="B161" s="109">
        <v>35620</v>
      </c>
      <c r="C161" s="112">
        <v>42.4375</v>
      </c>
      <c r="D161" s="112"/>
      <c r="E161" s="112">
        <f t="shared" si="14"/>
        <v>46.699397904245998</v>
      </c>
      <c r="F161" s="112">
        <f t="shared" si="15"/>
        <v>5.5330473988810143</v>
      </c>
      <c r="G161" s="112">
        <f t="shared" si="16"/>
        <v>52.232445303127015</v>
      </c>
      <c r="H161" s="112">
        <f t="shared" si="17"/>
        <v>41.166350505364981</v>
      </c>
      <c r="I161" s="28"/>
      <c r="J161" s="28"/>
      <c r="K161" s="54"/>
    </row>
    <row r="162" spans="1:11">
      <c r="A162" s="104">
        <v>155</v>
      </c>
      <c r="B162" s="110">
        <v>35621</v>
      </c>
      <c r="C162" s="111">
        <v>42</v>
      </c>
      <c r="D162" s="111"/>
      <c r="E162" s="111">
        <f t="shared" ref="E162:E177" si="18">TREND(C$17:C$401,A$17:A$401,A162)</f>
        <v>46.764861302885897</v>
      </c>
      <c r="F162" s="111">
        <f t="shared" si="15"/>
        <v>5.5330473988810143</v>
      </c>
      <c r="G162" s="111">
        <f t="shared" si="16"/>
        <v>52.297908701766914</v>
      </c>
      <c r="H162" s="111">
        <f t="shared" si="17"/>
        <v>41.231813904004881</v>
      </c>
      <c r="I162" s="29"/>
      <c r="J162" s="29"/>
      <c r="K162" s="57"/>
    </row>
    <row r="163" spans="1:11">
      <c r="A163" s="104">
        <v>156</v>
      </c>
      <c r="B163" s="110">
        <v>35622</v>
      </c>
      <c r="C163" s="111">
        <v>41.75</v>
      </c>
      <c r="D163" s="111"/>
      <c r="E163" s="111">
        <f t="shared" si="18"/>
        <v>46.83032470152579</v>
      </c>
      <c r="F163" s="111">
        <f t="shared" si="15"/>
        <v>5.5330473988810143</v>
      </c>
      <c r="G163" s="111">
        <f t="shared" si="16"/>
        <v>52.363372100406806</v>
      </c>
      <c r="H163" s="111">
        <f t="shared" si="17"/>
        <v>41.297277302644773</v>
      </c>
      <c r="I163" s="29"/>
      <c r="J163" s="29"/>
      <c r="K163" s="57"/>
    </row>
    <row r="164" spans="1:11">
      <c r="A164" s="103">
        <v>157</v>
      </c>
      <c r="B164" s="109">
        <v>35625</v>
      </c>
      <c r="C164" s="112">
        <v>41</v>
      </c>
      <c r="D164" s="112"/>
      <c r="E164" s="112">
        <f t="shared" si="18"/>
        <v>46.895788100165689</v>
      </c>
      <c r="F164" s="112">
        <f t="shared" si="15"/>
        <v>5.5330473988810143</v>
      </c>
      <c r="G164" s="112">
        <f t="shared" si="16"/>
        <v>52.428835499046706</v>
      </c>
      <c r="H164" s="112">
        <f t="shared" si="17"/>
        <v>41.362740701284672</v>
      </c>
      <c r="I164" s="28"/>
      <c r="J164" s="28"/>
      <c r="K164" s="54"/>
    </row>
    <row r="165" spans="1:11">
      <c r="A165" s="103">
        <v>158</v>
      </c>
      <c r="B165" s="109">
        <v>35626</v>
      </c>
      <c r="C165" s="112">
        <v>41.75</v>
      </c>
      <c r="D165" s="112"/>
      <c r="E165" s="112">
        <f t="shared" si="18"/>
        <v>46.961251498805581</v>
      </c>
      <c r="F165" s="112">
        <f t="shared" si="15"/>
        <v>5.5330473988810143</v>
      </c>
      <c r="G165" s="112">
        <f t="shared" si="16"/>
        <v>52.494298897686598</v>
      </c>
      <c r="H165" s="112">
        <f t="shared" si="17"/>
        <v>41.428204099924564</v>
      </c>
      <c r="I165" s="28"/>
      <c r="J165" s="28"/>
      <c r="K165" s="54"/>
    </row>
    <row r="166" spans="1:11">
      <c r="A166" s="104">
        <v>159</v>
      </c>
      <c r="B166" s="110">
        <v>35627</v>
      </c>
      <c r="C166" s="111">
        <v>43.531199999999998</v>
      </c>
      <c r="D166" s="111"/>
      <c r="E166" s="111">
        <f t="shared" si="18"/>
        <v>47.02671489744548</v>
      </c>
      <c r="F166" s="111">
        <f t="shared" si="15"/>
        <v>5.5330473988810143</v>
      </c>
      <c r="G166" s="111">
        <f t="shared" si="16"/>
        <v>52.559762296326497</v>
      </c>
      <c r="H166" s="111">
        <f t="shared" si="17"/>
        <v>41.493667498564463</v>
      </c>
      <c r="I166" s="29"/>
      <c r="J166" s="29"/>
      <c r="K166" s="57"/>
    </row>
    <row r="167" spans="1:11">
      <c r="A167" s="104">
        <v>160</v>
      </c>
      <c r="B167" s="110">
        <v>35628</v>
      </c>
      <c r="C167" s="111">
        <v>43.406199999999998</v>
      </c>
      <c r="D167" s="111"/>
      <c r="E167" s="111">
        <f t="shared" si="18"/>
        <v>47.092178296085379</v>
      </c>
      <c r="F167" s="111">
        <f t="shared" si="15"/>
        <v>5.5330473988810143</v>
      </c>
      <c r="G167" s="111">
        <f t="shared" si="16"/>
        <v>52.625225694966396</v>
      </c>
      <c r="H167" s="111">
        <f t="shared" si="17"/>
        <v>41.559130897204362</v>
      </c>
      <c r="I167" s="29"/>
      <c r="J167" s="29"/>
      <c r="K167" s="57"/>
    </row>
    <row r="168" spans="1:11">
      <c r="A168" s="103">
        <v>161</v>
      </c>
      <c r="B168" s="109">
        <v>35629</v>
      </c>
      <c r="C168" s="112">
        <v>43.375</v>
      </c>
      <c r="D168" s="112"/>
      <c r="E168" s="112">
        <f t="shared" si="18"/>
        <v>47.157641694725271</v>
      </c>
      <c r="F168" s="112">
        <f t="shared" si="15"/>
        <v>5.5330473988810143</v>
      </c>
      <c r="G168" s="112">
        <f t="shared" si="16"/>
        <v>52.690689093606288</v>
      </c>
      <c r="H168" s="112">
        <f t="shared" si="17"/>
        <v>41.624594295844254</v>
      </c>
      <c r="I168" s="28"/>
      <c r="J168" s="28"/>
      <c r="K168" s="54"/>
    </row>
    <row r="169" spans="1:11">
      <c r="A169" s="103">
        <v>162</v>
      </c>
      <c r="B169" s="109">
        <v>35632</v>
      </c>
      <c r="C169" s="112">
        <v>42.875</v>
      </c>
      <c r="D169" s="112"/>
      <c r="E169" s="112">
        <f t="shared" si="18"/>
        <v>47.22310509336517</v>
      </c>
      <c r="F169" s="112">
        <f t="shared" si="15"/>
        <v>5.5330473988810143</v>
      </c>
      <c r="G169" s="112">
        <f t="shared" si="16"/>
        <v>52.756152492246187</v>
      </c>
      <c r="H169" s="112">
        <f t="shared" si="17"/>
        <v>41.690057694484153</v>
      </c>
      <c r="I169" s="28"/>
      <c r="J169" s="28"/>
      <c r="K169" s="54"/>
    </row>
    <row r="170" spans="1:11">
      <c r="A170" s="104">
        <v>163</v>
      </c>
      <c r="B170" s="110">
        <v>35633</v>
      </c>
      <c r="C170" s="111">
        <v>43.781199999999998</v>
      </c>
      <c r="D170" s="111"/>
      <c r="E170" s="111">
        <f t="shared" si="18"/>
        <v>47.288568492005069</v>
      </c>
      <c r="F170" s="111">
        <f t="shared" si="15"/>
        <v>5.5330473988810143</v>
      </c>
      <c r="G170" s="111">
        <f t="shared" si="16"/>
        <v>52.821615890886086</v>
      </c>
      <c r="H170" s="111">
        <f t="shared" si="17"/>
        <v>41.755521093124052</v>
      </c>
      <c r="I170" s="29"/>
      <c r="J170" s="29"/>
      <c r="K170" s="57"/>
    </row>
    <row r="171" spans="1:11">
      <c r="A171" s="104">
        <v>164</v>
      </c>
      <c r="B171" s="110">
        <v>35634</v>
      </c>
      <c r="C171" s="111">
        <v>44.093800000000002</v>
      </c>
      <c r="D171" s="111"/>
      <c r="E171" s="111">
        <f t="shared" si="18"/>
        <v>47.354031890644961</v>
      </c>
      <c r="F171" s="111">
        <f t="shared" si="15"/>
        <v>5.5330473988810143</v>
      </c>
      <c r="G171" s="111">
        <f t="shared" si="16"/>
        <v>52.887079289525978</v>
      </c>
      <c r="H171" s="111">
        <f t="shared" si="17"/>
        <v>41.820984491763944</v>
      </c>
      <c r="I171" s="29"/>
      <c r="J171" s="29"/>
      <c r="K171" s="57"/>
    </row>
    <row r="172" spans="1:11">
      <c r="A172" s="103">
        <v>165</v>
      </c>
      <c r="B172" s="109">
        <v>35635</v>
      </c>
      <c r="C172" s="112">
        <v>44.843800000000002</v>
      </c>
      <c r="D172" s="112"/>
      <c r="E172" s="112">
        <f t="shared" si="18"/>
        <v>47.419495289284853</v>
      </c>
      <c r="F172" s="112">
        <f t="shared" si="15"/>
        <v>5.5330473988810143</v>
      </c>
      <c r="G172" s="112">
        <f t="shared" si="16"/>
        <v>52.95254268816587</v>
      </c>
      <c r="H172" s="112">
        <f t="shared" si="17"/>
        <v>41.886447890403836</v>
      </c>
      <c r="I172" s="28"/>
      <c r="J172" s="28"/>
      <c r="K172" s="54"/>
    </row>
    <row r="173" spans="1:11">
      <c r="A173" s="103">
        <v>166</v>
      </c>
      <c r="B173" s="109">
        <v>35636</v>
      </c>
      <c r="C173" s="112">
        <v>43.875</v>
      </c>
      <c r="D173" s="112"/>
      <c r="E173" s="112">
        <f t="shared" si="18"/>
        <v>47.484958687924752</v>
      </c>
      <c r="F173" s="112">
        <f t="shared" si="15"/>
        <v>5.5330473988810143</v>
      </c>
      <c r="G173" s="112">
        <f t="shared" si="16"/>
        <v>53.018006086805769</v>
      </c>
      <c r="H173" s="112">
        <f t="shared" si="17"/>
        <v>41.951911289043736</v>
      </c>
      <c r="I173" s="28"/>
      <c r="J173" s="28"/>
      <c r="K173" s="54"/>
    </row>
    <row r="174" spans="1:11">
      <c r="A174" s="71">
        <v>167</v>
      </c>
      <c r="B174" s="110">
        <v>35639</v>
      </c>
      <c r="C174" s="111">
        <v>42.843800000000002</v>
      </c>
      <c r="D174" s="111"/>
      <c r="E174" s="111">
        <f t="shared" si="18"/>
        <v>47.550422086564652</v>
      </c>
      <c r="F174" s="111">
        <f t="shared" si="15"/>
        <v>5.5330473988810143</v>
      </c>
      <c r="G174" s="111">
        <f t="shared" si="16"/>
        <v>53.083469485445669</v>
      </c>
      <c r="H174" s="111">
        <f t="shared" si="17"/>
        <v>42.017374687683635</v>
      </c>
      <c r="I174" s="29"/>
      <c r="J174" s="29"/>
      <c r="K174" s="57"/>
    </row>
    <row r="175" spans="1:11">
      <c r="A175" s="71">
        <v>168</v>
      </c>
      <c r="B175" s="110">
        <v>35640</v>
      </c>
      <c r="C175" s="111">
        <v>43.531199999999998</v>
      </c>
      <c r="D175" s="111"/>
      <c r="E175" s="111">
        <f t="shared" si="18"/>
        <v>47.615885485204544</v>
      </c>
      <c r="F175" s="111">
        <f t="shared" si="15"/>
        <v>5.5330473988810143</v>
      </c>
      <c r="G175" s="111">
        <f t="shared" si="16"/>
        <v>53.148932884085561</v>
      </c>
      <c r="H175" s="111">
        <f t="shared" si="17"/>
        <v>42.082838086323527</v>
      </c>
      <c r="I175" s="29"/>
      <c r="J175" s="29"/>
      <c r="K175" s="57"/>
    </row>
    <row r="176" spans="1:11">
      <c r="A176" s="103">
        <v>169</v>
      </c>
      <c r="B176" s="109">
        <v>35641</v>
      </c>
      <c r="C176" s="112">
        <v>44.3125</v>
      </c>
      <c r="D176" s="112"/>
      <c r="E176" s="112">
        <f t="shared" si="18"/>
        <v>47.681348883844443</v>
      </c>
      <c r="F176" s="112">
        <f t="shared" si="15"/>
        <v>5.5330473988810143</v>
      </c>
      <c r="G176" s="112">
        <f t="shared" si="16"/>
        <v>53.21439628272546</v>
      </c>
      <c r="H176" s="112">
        <f t="shared" si="17"/>
        <v>42.148301484963426</v>
      </c>
      <c r="I176" s="28"/>
      <c r="J176" s="28"/>
      <c r="K176" s="54"/>
    </row>
    <row r="177" spans="1:11">
      <c r="A177" s="103">
        <v>170</v>
      </c>
      <c r="B177" s="109">
        <v>35642</v>
      </c>
      <c r="C177" s="112">
        <v>44.4375</v>
      </c>
      <c r="D177" s="112"/>
      <c r="E177" s="112">
        <f t="shared" si="18"/>
        <v>47.746812282484342</v>
      </c>
      <c r="F177" s="112">
        <f t="shared" si="15"/>
        <v>5.5330473988810143</v>
      </c>
      <c r="G177" s="112">
        <f t="shared" si="16"/>
        <v>53.279859681365359</v>
      </c>
      <c r="H177" s="112">
        <f t="shared" si="17"/>
        <v>42.213764883603325</v>
      </c>
      <c r="I177" s="28"/>
      <c r="J177" s="28"/>
      <c r="K177" s="54"/>
    </row>
    <row r="178" spans="1:11">
      <c r="A178" s="104">
        <v>171</v>
      </c>
      <c r="B178" s="110">
        <v>35643</v>
      </c>
      <c r="C178" s="111">
        <v>44.281199999999998</v>
      </c>
      <c r="D178" s="111"/>
      <c r="E178" s="111">
        <f t="shared" ref="E178:E193" si="19">TREND(C$17:C$401,A$17:A$401,A178)</f>
        <v>47.812275681124234</v>
      </c>
      <c r="F178" s="111">
        <f t="shared" si="15"/>
        <v>5.5330473988810143</v>
      </c>
      <c r="G178" s="111">
        <f t="shared" si="16"/>
        <v>53.345323080005251</v>
      </c>
      <c r="H178" s="111">
        <f t="shared" si="17"/>
        <v>42.279228282243217</v>
      </c>
      <c r="I178" s="29"/>
      <c r="J178" s="29"/>
      <c r="K178" s="57"/>
    </row>
    <row r="179" spans="1:11">
      <c r="A179" s="104">
        <v>172</v>
      </c>
      <c r="B179" s="110">
        <v>35646</v>
      </c>
      <c r="C179" s="111">
        <v>44.25</v>
      </c>
      <c r="D179" s="111"/>
      <c r="E179" s="111">
        <f t="shared" si="19"/>
        <v>47.877739079764133</v>
      </c>
      <c r="F179" s="111">
        <f t="shared" si="15"/>
        <v>5.5330473988810143</v>
      </c>
      <c r="G179" s="111">
        <f t="shared" si="16"/>
        <v>53.41078647864515</v>
      </c>
      <c r="H179" s="111">
        <f t="shared" si="17"/>
        <v>42.344691680883116</v>
      </c>
      <c r="I179" s="29"/>
      <c r="J179" s="29"/>
      <c r="K179" s="57"/>
    </row>
    <row r="180" spans="1:11">
      <c r="A180" s="103">
        <v>173</v>
      </c>
      <c r="B180" s="109">
        <v>35647</v>
      </c>
      <c r="C180" s="112">
        <v>44.343800000000002</v>
      </c>
      <c r="D180" s="112"/>
      <c r="E180" s="112">
        <f t="shared" si="19"/>
        <v>47.943202478404032</v>
      </c>
      <c r="F180" s="112">
        <f t="shared" si="15"/>
        <v>5.5330473988810143</v>
      </c>
      <c r="G180" s="112">
        <f t="shared" si="16"/>
        <v>53.476249877285049</v>
      </c>
      <c r="H180" s="112">
        <f t="shared" si="17"/>
        <v>42.410155079523015</v>
      </c>
      <c r="I180" s="28"/>
      <c r="J180" s="28"/>
      <c r="K180" s="54"/>
    </row>
    <row r="181" spans="1:11">
      <c r="A181" s="103">
        <v>174</v>
      </c>
      <c r="B181" s="109">
        <v>35648</v>
      </c>
      <c r="C181" s="112">
        <v>45.468800000000002</v>
      </c>
      <c r="D181" s="112"/>
      <c r="E181" s="112">
        <f t="shared" si="19"/>
        <v>48.008665877043924</v>
      </c>
      <c r="F181" s="112">
        <f t="shared" si="15"/>
        <v>5.5330473988810143</v>
      </c>
      <c r="G181" s="112">
        <f t="shared" si="16"/>
        <v>53.541713275924941</v>
      </c>
      <c r="H181" s="112">
        <f t="shared" si="17"/>
        <v>42.475618478162907</v>
      </c>
      <c r="I181" s="28"/>
      <c r="J181" s="28"/>
      <c r="K181" s="54"/>
    </row>
    <row r="182" spans="1:11">
      <c r="A182" s="104">
        <v>175</v>
      </c>
      <c r="B182" s="110">
        <v>35649</v>
      </c>
      <c r="C182" s="111">
        <v>45.3125</v>
      </c>
      <c r="D182" s="111"/>
      <c r="E182" s="111">
        <f t="shared" si="19"/>
        <v>48.074129275683816</v>
      </c>
      <c r="F182" s="111">
        <f t="shared" si="15"/>
        <v>5.5330473988810143</v>
      </c>
      <c r="G182" s="111">
        <f t="shared" si="16"/>
        <v>53.607176674564833</v>
      </c>
      <c r="H182" s="111">
        <f t="shared" si="17"/>
        <v>42.541081876802799</v>
      </c>
      <c r="I182" s="29"/>
      <c r="J182" s="29"/>
      <c r="K182" s="57"/>
    </row>
    <row r="183" spans="1:11">
      <c r="A183" s="104">
        <v>176</v>
      </c>
      <c r="B183" s="110">
        <v>35650</v>
      </c>
      <c r="C183" s="111">
        <v>43.843800000000002</v>
      </c>
      <c r="D183" s="111"/>
      <c r="E183" s="111">
        <f t="shared" si="19"/>
        <v>48.139592674323715</v>
      </c>
      <c r="F183" s="111">
        <f t="shared" si="15"/>
        <v>5.5330473988810143</v>
      </c>
      <c r="G183" s="111">
        <f t="shared" si="16"/>
        <v>53.672640073204732</v>
      </c>
      <c r="H183" s="111">
        <f t="shared" si="17"/>
        <v>42.606545275442699</v>
      </c>
      <c r="I183" s="29"/>
      <c r="J183" s="29"/>
      <c r="K183" s="57"/>
    </row>
    <row r="184" spans="1:11">
      <c r="A184" s="103">
        <v>177</v>
      </c>
      <c r="B184" s="109">
        <v>35653</v>
      </c>
      <c r="C184" s="112">
        <v>44.218800000000002</v>
      </c>
      <c r="D184" s="112"/>
      <c r="E184" s="112">
        <f t="shared" si="19"/>
        <v>48.205056072963615</v>
      </c>
      <c r="F184" s="112">
        <f t="shared" si="15"/>
        <v>5.5330473988810143</v>
      </c>
      <c r="G184" s="112">
        <f t="shared" si="16"/>
        <v>53.738103471844632</v>
      </c>
      <c r="H184" s="112">
        <f t="shared" si="17"/>
        <v>42.672008674082598</v>
      </c>
      <c r="I184" s="28"/>
      <c r="J184" s="28"/>
      <c r="K184" s="54"/>
    </row>
    <row r="185" spans="1:11">
      <c r="A185" s="103">
        <v>178</v>
      </c>
      <c r="B185" s="109">
        <v>35654</v>
      </c>
      <c r="C185" s="112">
        <v>43.625</v>
      </c>
      <c r="D185" s="166"/>
      <c r="E185" s="112">
        <f t="shared" si="19"/>
        <v>48.270519471603507</v>
      </c>
      <c r="F185" s="112">
        <f t="shared" si="15"/>
        <v>5.5330473988810143</v>
      </c>
      <c r="G185" s="112">
        <f t="shared" si="16"/>
        <v>53.803566870484524</v>
      </c>
      <c r="H185" s="112">
        <f t="shared" si="17"/>
        <v>42.73747207272249</v>
      </c>
      <c r="I185" s="28"/>
      <c r="J185" s="28"/>
      <c r="K185" s="54"/>
    </row>
    <row r="186" spans="1:11">
      <c r="A186" s="104">
        <v>179</v>
      </c>
      <c r="B186" s="110">
        <v>35655</v>
      </c>
      <c r="C186" s="111">
        <v>43.906199999999998</v>
      </c>
      <c r="D186" s="111"/>
      <c r="E186" s="111">
        <f t="shared" si="19"/>
        <v>48.335982870243406</v>
      </c>
      <c r="F186" s="111">
        <f t="shared" si="15"/>
        <v>5.5330473988810143</v>
      </c>
      <c r="G186" s="111">
        <f t="shared" si="16"/>
        <v>53.869030269124423</v>
      </c>
      <c r="H186" s="111">
        <f t="shared" si="17"/>
        <v>42.802935471362389</v>
      </c>
      <c r="I186" s="29"/>
      <c r="J186" s="29"/>
      <c r="K186" s="57"/>
    </row>
    <row r="187" spans="1:11">
      <c r="A187" s="104">
        <v>180</v>
      </c>
      <c r="B187" s="110">
        <v>35656</v>
      </c>
      <c r="C187" s="111">
        <v>43.875</v>
      </c>
      <c r="D187" s="111"/>
      <c r="E187" s="111">
        <f t="shared" si="19"/>
        <v>48.401446268883305</v>
      </c>
      <c r="F187" s="111">
        <f t="shared" si="15"/>
        <v>5.5330473988810143</v>
      </c>
      <c r="G187" s="111">
        <f t="shared" si="16"/>
        <v>53.934493667764322</v>
      </c>
      <c r="H187" s="111">
        <f t="shared" si="17"/>
        <v>42.868398870002288</v>
      </c>
      <c r="I187" s="29"/>
      <c r="J187" s="29"/>
      <c r="K187" s="57"/>
    </row>
    <row r="188" spans="1:11">
      <c r="A188" s="103">
        <v>181</v>
      </c>
      <c r="B188" s="109">
        <v>35657</v>
      </c>
      <c r="C188" s="112">
        <v>43.531199999999998</v>
      </c>
      <c r="D188" s="112"/>
      <c r="E188" s="112">
        <f t="shared" si="19"/>
        <v>48.466909667523197</v>
      </c>
      <c r="F188" s="112">
        <f t="shared" si="15"/>
        <v>5.5330473988810143</v>
      </c>
      <c r="G188" s="112">
        <f t="shared" si="16"/>
        <v>53.999957066404214</v>
      </c>
      <c r="H188" s="112">
        <f t="shared" si="17"/>
        <v>42.93386226864218</v>
      </c>
      <c r="I188" s="28"/>
      <c r="J188" s="28"/>
      <c r="K188" s="54"/>
    </row>
    <row r="189" spans="1:11">
      <c r="A189" s="103">
        <v>182</v>
      </c>
      <c r="B189" s="109">
        <v>35660</v>
      </c>
      <c r="C189" s="112">
        <v>43</v>
      </c>
      <c r="D189" s="112"/>
      <c r="E189" s="112">
        <f t="shared" si="19"/>
        <v>48.532373066163096</v>
      </c>
      <c r="F189" s="112">
        <f t="shared" si="15"/>
        <v>5.5330473988810143</v>
      </c>
      <c r="G189" s="112">
        <f t="shared" si="16"/>
        <v>54.065420465044113</v>
      </c>
      <c r="H189" s="112">
        <f t="shared" si="17"/>
        <v>42.999325667282079</v>
      </c>
      <c r="I189" s="28"/>
      <c r="J189" s="28"/>
      <c r="K189" s="54"/>
    </row>
    <row r="190" spans="1:11">
      <c r="A190" s="104">
        <v>183</v>
      </c>
      <c r="B190" s="110">
        <v>35661</v>
      </c>
      <c r="C190" s="111">
        <v>43.125</v>
      </c>
      <c r="D190" s="111"/>
      <c r="E190" s="111">
        <f t="shared" si="19"/>
        <v>48.597836464802988</v>
      </c>
      <c r="F190" s="111">
        <f t="shared" si="15"/>
        <v>5.5330473988810143</v>
      </c>
      <c r="G190" s="111">
        <f t="shared" si="16"/>
        <v>54.130883863684005</v>
      </c>
      <c r="H190" s="111">
        <f t="shared" si="17"/>
        <v>43.064789065921971</v>
      </c>
      <c r="I190" s="29"/>
      <c r="J190" s="29"/>
      <c r="K190" s="57"/>
    </row>
    <row r="191" spans="1:11">
      <c r="A191" s="104">
        <v>184</v>
      </c>
      <c r="B191" s="110">
        <v>35662</v>
      </c>
      <c r="C191" s="111">
        <v>44.625</v>
      </c>
      <c r="D191" s="111"/>
      <c r="E191" s="111">
        <f t="shared" si="19"/>
        <v>48.663299863442887</v>
      </c>
      <c r="F191" s="111">
        <f t="shared" si="15"/>
        <v>5.5330473988810143</v>
      </c>
      <c r="G191" s="111">
        <f t="shared" si="16"/>
        <v>54.196347262323904</v>
      </c>
      <c r="H191" s="111">
        <f t="shared" si="17"/>
        <v>43.13025246456187</v>
      </c>
      <c r="I191" s="29"/>
      <c r="J191" s="29"/>
      <c r="K191" s="57"/>
    </row>
    <row r="192" spans="1:11">
      <c r="A192" s="103">
        <v>185</v>
      </c>
      <c r="B192" s="109">
        <v>35663</v>
      </c>
      <c r="C192" s="112">
        <v>44.593800000000002</v>
      </c>
      <c r="D192" s="112"/>
      <c r="E192" s="112">
        <f t="shared" si="19"/>
        <v>48.728763262082779</v>
      </c>
      <c r="F192" s="112">
        <f t="shared" si="15"/>
        <v>5.5330473988810143</v>
      </c>
      <c r="G192" s="112">
        <f t="shared" si="16"/>
        <v>54.261810660963796</v>
      </c>
      <c r="H192" s="112">
        <f t="shared" si="17"/>
        <v>43.195715863201762</v>
      </c>
      <c r="I192" s="28"/>
      <c r="J192" s="28"/>
      <c r="K192" s="54"/>
    </row>
    <row r="193" spans="1:11">
      <c r="A193" s="103">
        <v>186</v>
      </c>
      <c r="B193" s="109">
        <v>35664</v>
      </c>
      <c r="C193" s="112">
        <v>44.593800000000002</v>
      </c>
      <c r="D193" s="112"/>
      <c r="E193" s="112">
        <f t="shared" si="19"/>
        <v>48.794226660722678</v>
      </c>
      <c r="F193" s="112">
        <f t="shared" si="15"/>
        <v>5.5330473988810143</v>
      </c>
      <c r="G193" s="112">
        <f t="shared" si="16"/>
        <v>54.327274059603695</v>
      </c>
      <c r="H193" s="112">
        <f t="shared" si="17"/>
        <v>43.261179261841662</v>
      </c>
      <c r="I193" s="28"/>
      <c r="J193" s="28"/>
      <c r="K193" s="54"/>
    </row>
    <row r="194" spans="1:11">
      <c r="A194" s="104">
        <v>187</v>
      </c>
      <c r="B194" s="110">
        <v>35667</v>
      </c>
      <c r="C194" s="111">
        <v>44.718800000000002</v>
      </c>
      <c r="D194" s="111"/>
      <c r="E194" s="111">
        <f t="shared" ref="E194:E209" si="20">TREND(C$17:C$401,A$17:A$401,A194)</f>
        <v>48.859690059362578</v>
      </c>
      <c r="F194" s="111">
        <f t="shared" si="15"/>
        <v>5.5330473988810143</v>
      </c>
      <c r="G194" s="111">
        <f t="shared" si="16"/>
        <v>54.392737458243595</v>
      </c>
      <c r="H194" s="111">
        <f t="shared" si="17"/>
        <v>43.326642660481561</v>
      </c>
      <c r="I194" s="29"/>
      <c r="J194" s="29"/>
      <c r="K194" s="57"/>
    </row>
    <row r="195" spans="1:11">
      <c r="A195" s="104">
        <v>188</v>
      </c>
      <c r="B195" s="110">
        <v>35668</v>
      </c>
      <c r="C195" s="111">
        <v>43.968800000000002</v>
      </c>
      <c r="D195" s="111"/>
      <c r="E195" s="111">
        <f t="shared" si="20"/>
        <v>48.92515345800247</v>
      </c>
      <c r="F195" s="111">
        <f t="shared" si="15"/>
        <v>5.5330473988810143</v>
      </c>
      <c r="G195" s="111">
        <f t="shared" si="16"/>
        <v>54.458200856883487</v>
      </c>
      <c r="H195" s="111">
        <f t="shared" si="17"/>
        <v>43.392106059121453</v>
      </c>
      <c r="I195" s="29"/>
      <c r="J195" s="29"/>
      <c r="K195" s="57"/>
    </row>
    <row r="196" spans="1:11">
      <c r="A196" s="103">
        <v>189</v>
      </c>
      <c r="B196" s="109">
        <v>35669</v>
      </c>
      <c r="C196" s="112">
        <v>43.125</v>
      </c>
      <c r="D196" s="112"/>
      <c r="E196" s="112">
        <f t="shared" si="20"/>
        <v>48.990616856642369</v>
      </c>
      <c r="F196" s="112">
        <f t="shared" si="15"/>
        <v>5.5330473988810143</v>
      </c>
      <c r="G196" s="112">
        <f t="shared" si="16"/>
        <v>54.523664255523386</v>
      </c>
      <c r="H196" s="112">
        <f t="shared" si="17"/>
        <v>43.457569457761352</v>
      </c>
      <c r="I196" s="28"/>
      <c r="J196" s="28"/>
      <c r="K196" s="54"/>
    </row>
    <row r="197" spans="1:11">
      <c r="A197" s="103">
        <v>190</v>
      </c>
      <c r="B197" s="109">
        <v>35670</v>
      </c>
      <c r="C197" s="112">
        <v>43</v>
      </c>
      <c r="D197" s="112"/>
      <c r="E197" s="112">
        <f t="shared" si="20"/>
        <v>49.056080255282268</v>
      </c>
      <c r="F197" s="112">
        <f t="shared" si="15"/>
        <v>5.5330473988810143</v>
      </c>
      <c r="G197" s="112">
        <f t="shared" si="16"/>
        <v>54.589127654163285</v>
      </c>
      <c r="H197" s="112">
        <f t="shared" si="17"/>
        <v>43.523032856401251</v>
      </c>
      <c r="I197" s="28"/>
      <c r="J197" s="28"/>
      <c r="K197" s="54"/>
    </row>
    <row r="198" spans="1:11">
      <c r="A198" s="104">
        <v>191</v>
      </c>
      <c r="B198" s="110">
        <v>35671</v>
      </c>
      <c r="C198" s="111">
        <v>43.25</v>
      </c>
      <c r="D198" s="111"/>
      <c r="E198" s="111">
        <f t="shared" si="20"/>
        <v>49.12154365392216</v>
      </c>
      <c r="F198" s="111">
        <f t="shared" si="15"/>
        <v>5.5330473988810143</v>
      </c>
      <c r="G198" s="111">
        <f t="shared" si="16"/>
        <v>54.654591052803177</v>
      </c>
      <c r="H198" s="111">
        <f t="shared" si="17"/>
        <v>43.588496255041143</v>
      </c>
      <c r="I198" s="29"/>
      <c r="J198" s="29"/>
      <c r="K198" s="57"/>
    </row>
    <row r="199" spans="1:11">
      <c r="A199" s="104">
        <v>192</v>
      </c>
      <c r="B199" s="110">
        <v>35675</v>
      </c>
      <c r="C199" s="111">
        <v>44.281199999999998</v>
      </c>
      <c r="D199" s="111"/>
      <c r="E199" s="111">
        <f t="shared" si="20"/>
        <v>49.187007052562059</v>
      </c>
      <c r="F199" s="111">
        <f t="shared" si="15"/>
        <v>5.5330473988810143</v>
      </c>
      <c r="G199" s="111">
        <f t="shared" si="16"/>
        <v>54.720054451443076</v>
      </c>
      <c r="H199" s="111">
        <f t="shared" si="17"/>
        <v>43.653959653681042</v>
      </c>
      <c r="I199" s="29"/>
      <c r="J199" s="29"/>
      <c r="K199" s="57"/>
    </row>
    <row r="200" spans="1:11">
      <c r="A200" s="103">
        <v>193</v>
      </c>
      <c r="B200" s="109">
        <v>35676</v>
      </c>
      <c r="C200" s="112">
        <v>45.875</v>
      </c>
      <c r="D200" s="112"/>
      <c r="E200" s="112">
        <f t="shared" si="20"/>
        <v>49.252470451201951</v>
      </c>
      <c r="F200" s="112">
        <f t="shared" si="15"/>
        <v>5.5330473988810143</v>
      </c>
      <c r="G200" s="112">
        <f t="shared" si="16"/>
        <v>54.785517850082968</v>
      </c>
      <c r="H200" s="112">
        <f t="shared" si="17"/>
        <v>43.719423052320934</v>
      </c>
      <c r="I200" s="28"/>
      <c r="J200" s="28"/>
      <c r="K200" s="54"/>
    </row>
    <row r="201" spans="1:11">
      <c r="A201" s="103">
        <v>194</v>
      </c>
      <c r="B201" s="109">
        <v>35677</v>
      </c>
      <c r="C201" s="112">
        <v>46.25</v>
      </c>
      <c r="D201" s="112"/>
      <c r="E201" s="112">
        <f t="shared" si="20"/>
        <v>49.31793384984185</v>
      </c>
      <c r="F201" s="112">
        <f t="shared" si="15"/>
        <v>5.5330473988810143</v>
      </c>
      <c r="G201" s="112">
        <f t="shared" si="16"/>
        <v>54.850981248722867</v>
      </c>
      <c r="H201" s="112">
        <f t="shared" si="17"/>
        <v>43.784886450960833</v>
      </c>
      <c r="I201" s="28"/>
      <c r="J201" s="28"/>
      <c r="K201" s="54"/>
    </row>
    <row r="202" spans="1:11">
      <c r="A202" s="104">
        <v>195</v>
      </c>
      <c r="B202" s="110">
        <v>35678</v>
      </c>
      <c r="C202" s="111">
        <v>47.156199999999998</v>
      </c>
      <c r="D202" s="111"/>
      <c r="E202" s="111">
        <f t="shared" si="20"/>
        <v>49.383397248481742</v>
      </c>
      <c r="F202" s="111">
        <f t="shared" si="15"/>
        <v>5.5330473988810143</v>
      </c>
      <c r="G202" s="111">
        <f t="shared" si="16"/>
        <v>54.916444647362759</v>
      </c>
      <c r="H202" s="111">
        <f t="shared" si="17"/>
        <v>43.850349849600725</v>
      </c>
      <c r="I202" s="29"/>
      <c r="J202" s="29"/>
      <c r="K202" s="57"/>
    </row>
    <row r="203" spans="1:11">
      <c r="A203" s="104">
        <v>196</v>
      </c>
      <c r="B203" s="110">
        <v>35681</v>
      </c>
      <c r="C203" s="111">
        <v>49.656199999999998</v>
      </c>
      <c r="D203" s="111"/>
      <c r="E203" s="111">
        <f t="shared" si="20"/>
        <v>49.448860647121641</v>
      </c>
      <c r="F203" s="111">
        <f t="shared" si="15"/>
        <v>5.5330473988810143</v>
      </c>
      <c r="G203" s="111">
        <f t="shared" si="16"/>
        <v>54.981908046002658</v>
      </c>
      <c r="H203" s="111">
        <f t="shared" si="17"/>
        <v>43.915813248240624</v>
      </c>
      <c r="I203" s="29"/>
      <c r="J203" s="29"/>
      <c r="K203" s="57"/>
    </row>
    <row r="204" spans="1:11">
      <c r="A204" s="103">
        <v>197</v>
      </c>
      <c r="B204" s="109">
        <v>35682</v>
      </c>
      <c r="C204" s="112">
        <v>49.625</v>
      </c>
      <c r="D204" s="112"/>
      <c r="E204" s="112">
        <f t="shared" si="20"/>
        <v>49.514324045761541</v>
      </c>
      <c r="F204" s="112">
        <f t="shared" si="15"/>
        <v>5.5330473988810143</v>
      </c>
      <c r="G204" s="112">
        <f t="shared" si="16"/>
        <v>55.047371444642557</v>
      </c>
      <c r="H204" s="112">
        <f t="shared" si="17"/>
        <v>43.981276646880524</v>
      </c>
      <c r="I204" s="28"/>
      <c r="J204" s="28"/>
      <c r="K204" s="54"/>
    </row>
    <row r="205" spans="1:11">
      <c r="A205" s="103">
        <v>198</v>
      </c>
      <c r="B205" s="109">
        <v>35683</v>
      </c>
      <c r="C205" s="112">
        <v>49.75</v>
      </c>
      <c r="D205" s="112"/>
      <c r="E205" s="112">
        <f t="shared" si="20"/>
        <v>49.579787444401433</v>
      </c>
      <c r="F205" s="112">
        <f t="shared" si="15"/>
        <v>5.5330473988810143</v>
      </c>
      <c r="G205" s="112">
        <f t="shared" si="16"/>
        <v>55.11283484328245</v>
      </c>
      <c r="H205" s="112">
        <f t="shared" si="17"/>
        <v>44.046740045520416</v>
      </c>
      <c r="I205" s="28"/>
      <c r="J205" s="28"/>
      <c r="K205" s="54"/>
    </row>
    <row r="206" spans="1:11">
      <c r="A206" s="104">
        <v>199</v>
      </c>
      <c r="B206" s="110">
        <v>35684</v>
      </c>
      <c r="C206" s="111">
        <v>50.375</v>
      </c>
      <c r="D206" s="111"/>
      <c r="E206" s="111">
        <f t="shared" si="20"/>
        <v>49.645250843041332</v>
      </c>
      <c r="F206" s="111">
        <f t="shared" si="15"/>
        <v>5.5330473988810143</v>
      </c>
      <c r="G206" s="111">
        <f t="shared" si="16"/>
        <v>55.178298241922349</v>
      </c>
      <c r="H206" s="111">
        <f t="shared" si="17"/>
        <v>44.112203444160315</v>
      </c>
      <c r="I206" s="29"/>
      <c r="J206" s="29"/>
      <c r="K206" s="57"/>
    </row>
    <row r="207" spans="1:11">
      <c r="A207" s="104">
        <v>200</v>
      </c>
      <c r="B207" s="110">
        <v>35685</v>
      </c>
      <c r="C207" s="111">
        <v>49.875</v>
      </c>
      <c r="D207" s="111"/>
      <c r="E207" s="111">
        <f t="shared" si="20"/>
        <v>49.710714241681231</v>
      </c>
      <c r="F207" s="111">
        <f t="shared" si="15"/>
        <v>5.5330473988810143</v>
      </c>
      <c r="G207" s="111">
        <f t="shared" si="16"/>
        <v>55.243761640562248</v>
      </c>
      <c r="H207" s="111">
        <f t="shared" si="17"/>
        <v>44.177666842800214</v>
      </c>
      <c r="I207" s="29"/>
      <c r="J207" s="29"/>
      <c r="K207" s="57"/>
    </row>
    <row r="208" spans="1:11">
      <c r="A208" s="103">
        <v>201</v>
      </c>
      <c r="B208" s="109">
        <v>35688</v>
      </c>
      <c r="C208" s="112">
        <v>50.625</v>
      </c>
      <c r="D208" s="112"/>
      <c r="E208" s="112">
        <f t="shared" si="20"/>
        <v>49.776177640321123</v>
      </c>
      <c r="F208" s="112">
        <f t="shared" si="15"/>
        <v>5.5330473988810143</v>
      </c>
      <c r="G208" s="112">
        <f t="shared" si="16"/>
        <v>55.30922503920214</v>
      </c>
      <c r="H208" s="112">
        <f t="shared" si="17"/>
        <v>44.243130241440106</v>
      </c>
      <c r="I208" s="28"/>
      <c r="J208" s="28"/>
      <c r="K208" s="54"/>
    </row>
    <row r="209" spans="1:11">
      <c r="A209" s="103">
        <v>202</v>
      </c>
      <c r="B209" s="109">
        <v>35689</v>
      </c>
      <c r="C209" s="112">
        <v>50.781199999999998</v>
      </c>
      <c r="D209" s="112"/>
      <c r="E209" s="112">
        <f t="shared" si="20"/>
        <v>49.841641038961022</v>
      </c>
      <c r="F209" s="112">
        <f t="shared" si="15"/>
        <v>5.5330473988810143</v>
      </c>
      <c r="G209" s="112">
        <f t="shared" si="16"/>
        <v>55.374688437842039</v>
      </c>
      <c r="H209" s="112">
        <f t="shared" si="17"/>
        <v>44.308593640080005</v>
      </c>
      <c r="I209" s="28"/>
      <c r="J209" s="28"/>
      <c r="K209" s="54"/>
    </row>
    <row r="210" spans="1:11">
      <c r="A210" s="104">
        <v>203</v>
      </c>
      <c r="B210" s="110">
        <v>35690</v>
      </c>
      <c r="C210" s="111">
        <v>51</v>
      </c>
      <c r="D210" s="111"/>
      <c r="E210" s="111">
        <f t="shared" ref="E210:E225" si="21">TREND(C$17:C$401,A$17:A$401,A210)</f>
        <v>49.907104437600914</v>
      </c>
      <c r="F210" s="111">
        <f t="shared" ref="F210:F273" si="22">$D$6*2</f>
        <v>5.5330473988810143</v>
      </c>
      <c r="G210" s="111">
        <f t="shared" ref="G210:G273" si="23">E210+F210</f>
        <v>55.440151836481931</v>
      </c>
      <c r="H210" s="111">
        <f t="shared" ref="H210:H273" si="24">E210-F210</f>
        <v>44.374057038719897</v>
      </c>
      <c r="I210" s="29"/>
      <c r="J210" s="29"/>
      <c r="K210" s="57"/>
    </row>
    <row r="211" spans="1:11">
      <c r="A211" s="104">
        <v>204</v>
      </c>
      <c r="B211" s="110">
        <v>35691</v>
      </c>
      <c r="C211" s="111">
        <v>51.9375</v>
      </c>
      <c r="D211" s="111"/>
      <c r="E211" s="111">
        <f t="shared" si="21"/>
        <v>49.972567836240813</v>
      </c>
      <c r="F211" s="111">
        <f t="shared" si="22"/>
        <v>5.5330473988810143</v>
      </c>
      <c r="G211" s="111">
        <f t="shared" si="23"/>
        <v>55.50561523512183</v>
      </c>
      <c r="H211" s="111">
        <f t="shared" si="24"/>
        <v>44.439520437359796</v>
      </c>
      <c r="I211" s="29"/>
      <c r="J211" s="29"/>
      <c r="K211" s="57"/>
    </row>
    <row r="212" spans="1:11">
      <c r="A212" s="103">
        <v>205</v>
      </c>
      <c r="B212" s="109">
        <v>35692</v>
      </c>
      <c r="C212" s="112">
        <v>53.5625</v>
      </c>
      <c r="D212" s="112"/>
      <c r="E212" s="112">
        <f t="shared" si="21"/>
        <v>50.038031234880705</v>
      </c>
      <c r="F212" s="112">
        <f t="shared" si="22"/>
        <v>5.5330473988810143</v>
      </c>
      <c r="G212" s="112">
        <f t="shared" si="23"/>
        <v>55.571078633761722</v>
      </c>
      <c r="H212" s="112">
        <f t="shared" si="24"/>
        <v>44.504983835999688</v>
      </c>
      <c r="I212" s="28"/>
      <c r="J212" s="28"/>
      <c r="K212" s="54"/>
    </row>
    <row r="213" spans="1:11">
      <c r="A213" s="103">
        <v>206</v>
      </c>
      <c r="B213" s="109">
        <v>35695</v>
      </c>
      <c r="C213" s="112">
        <v>53.343800000000002</v>
      </c>
      <c r="D213" s="112"/>
      <c r="E213" s="112">
        <f t="shared" si="21"/>
        <v>50.103494633520604</v>
      </c>
      <c r="F213" s="112">
        <f t="shared" si="22"/>
        <v>5.5330473988810143</v>
      </c>
      <c r="G213" s="112">
        <f t="shared" si="23"/>
        <v>55.636542032401621</v>
      </c>
      <c r="H213" s="112">
        <f t="shared" si="24"/>
        <v>44.570447234639587</v>
      </c>
      <c r="I213" s="28"/>
      <c r="J213" s="28"/>
      <c r="K213" s="54"/>
    </row>
    <row r="214" spans="1:11">
      <c r="A214" s="104">
        <v>207</v>
      </c>
      <c r="B214" s="110">
        <v>35696</v>
      </c>
      <c r="C214" s="111">
        <v>51.031199999999998</v>
      </c>
      <c r="D214" s="111"/>
      <c r="E214" s="111">
        <f t="shared" si="21"/>
        <v>50.168958032160504</v>
      </c>
      <c r="F214" s="111">
        <f t="shared" si="22"/>
        <v>5.5330473988810143</v>
      </c>
      <c r="G214" s="111">
        <f t="shared" si="23"/>
        <v>55.70200543104152</v>
      </c>
      <c r="H214" s="111">
        <f t="shared" si="24"/>
        <v>44.635910633279487</v>
      </c>
      <c r="I214" s="29"/>
      <c r="J214" s="29"/>
      <c r="K214" s="57"/>
    </row>
    <row r="215" spans="1:11">
      <c r="A215" s="104">
        <v>208</v>
      </c>
      <c r="B215" s="110">
        <v>35697</v>
      </c>
      <c r="C215" s="111">
        <v>50.9375</v>
      </c>
      <c r="D215" s="111"/>
      <c r="E215" s="111">
        <f t="shared" si="21"/>
        <v>50.234421430800396</v>
      </c>
      <c r="F215" s="111">
        <f t="shared" si="22"/>
        <v>5.5330473988810143</v>
      </c>
      <c r="G215" s="111">
        <f t="shared" si="23"/>
        <v>55.767468829681413</v>
      </c>
      <c r="H215" s="111">
        <f t="shared" si="24"/>
        <v>44.701374031919379</v>
      </c>
      <c r="I215" s="29"/>
      <c r="J215" s="29"/>
      <c r="K215" s="57"/>
    </row>
    <row r="216" spans="1:11">
      <c r="A216" s="103">
        <v>209</v>
      </c>
      <c r="B216" s="109">
        <v>35698</v>
      </c>
      <c r="C216" s="112">
        <v>49.906199999999998</v>
      </c>
      <c r="D216" s="112"/>
      <c r="E216" s="112">
        <f t="shared" si="21"/>
        <v>50.299884829440295</v>
      </c>
      <c r="F216" s="112">
        <f t="shared" si="22"/>
        <v>5.5330473988810143</v>
      </c>
      <c r="G216" s="112">
        <f t="shared" si="23"/>
        <v>55.832932228321312</v>
      </c>
      <c r="H216" s="112">
        <f t="shared" si="24"/>
        <v>44.766837430559278</v>
      </c>
      <c r="I216" s="28"/>
      <c r="J216" s="28"/>
      <c r="K216" s="54"/>
    </row>
    <row r="217" spans="1:11">
      <c r="A217" s="103">
        <v>210</v>
      </c>
      <c r="B217" s="109">
        <v>35699</v>
      </c>
      <c r="C217" s="112">
        <v>49.0625</v>
      </c>
      <c r="D217" s="112"/>
      <c r="E217" s="112">
        <f t="shared" si="21"/>
        <v>50.365348228080194</v>
      </c>
      <c r="F217" s="112">
        <f t="shared" si="22"/>
        <v>5.5330473988810143</v>
      </c>
      <c r="G217" s="112">
        <f t="shared" si="23"/>
        <v>55.898395626961211</v>
      </c>
      <c r="H217" s="112">
        <f t="shared" si="24"/>
        <v>44.832300829199177</v>
      </c>
      <c r="I217" s="28"/>
      <c r="J217" s="28"/>
      <c r="K217" s="54"/>
    </row>
    <row r="218" spans="1:11">
      <c r="A218" s="104">
        <v>211</v>
      </c>
      <c r="B218" s="110">
        <v>35702</v>
      </c>
      <c r="C218" s="111">
        <v>49.156199999999998</v>
      </c>
      <c r="D218" s="111"/>
      <c r="E218" s="111">
        <f t="shared" si="21"/>
        <v>50.430811626720086</v>
      </c>
      <c r="F218" s="111">
        <f t="shared" si="22"/>
        <v>5.5330473988810143</v>
      </c>
      <c r="G218" s="111">
        <f t="shared" si="23"/>
        <v>55.963859025601103</v>
      </c>
      <c r="H218" s="111">
        <f t="shared" si="24"/>
        <v>44.897764227839069</v>
      </c>
      <c r="I218" s="29"/>
      <c r="J218" s="29"/>
      <c r="K218" s="57"/>
    </row>
    <row r="219" spans="1:11">
      <c r="A219" s="104">
        <v>212</v>
      </c>
      <c r="B219" s="110">
        <v>35703</v>
      </c>
      <c r="C219" s="111">
        <v>47.093800000000002</v>
      </c>
      <c r="D219" s="111"/>
      <c r="E219" s="111">
        <f t="shared" si="21"/>
        <v>50.496275025359985</v>
      </c>
      <c r="F219" s="111">
        <f t="shared" si="22"/>
        <v>5.5330473988810143</v>
      </c>
      <c r="G219" s="111">
        <f t="shared" si="23"/>
        <v>56.029322424241002</v>
      </c>
      <c r="H219" s="111">
        <f t="shared" si="24"/>
        <v>44.963227626478968</v>
      </c>
      <c r="I219" s="29"/>
      <c r="J219" s="29"/>
      <c r="K219" s="57"/>
    </row>
    <row r="220" spans="1:11">
      <c r="A220" s="103">
        <v>213</v>
      </c>
      <c r="B220" s="109">
        <v>35704</v>
      </c>
      <c r="C220" s="112">
        <v>48.031199999999998</v>
      </c>
      <c r="D220" s="112"/>
      <c r="E220" s="112">
        <f t="shared" si="21"/>
        <v>50.561738423999877</v>
      </c>
      <c r="F220" s="112">
        <f t="shared" si="22"/>
        <v>5.5330473988810143</v>
      </c>
      <c r="G220" s="112">
        <f t="shared" si="23"/>
        <v>56.094785822880894</v>
      </c>
      <c r="H220" s="112">
        <f t="shared" si="24"/>
        <v>45.02869102511886</v>
      </c>
      <c r="I220" s="28"/>
      <c r="J220" s="28"/>
      <c r="K220" s="54"/>
    </row>
    <row r="221" spans="1:11">
      <c r="A221" s="103">
        <v>214</v>
      </c>
      <c r="B221" s="109">
        <v>35705</v>
      </c>
      <c r="C221" s="112">
        <v>47.4375</v>
      </c>
      <c r="D221" s="112"/>
      <c r="E221" s="112">
        <f t="shared" si="21"/>
        <v>50.627201822639776</v>
      </c>
      <c r="F221" s="112">
        <f t="shared" si="22"/>
        <v>5.5330473988810143</v>
      </c>
      <c r="G221" s="112">
        <f t="shared" si="23"/>
        <v>56.160249221520793</v>
      </c>
      <c r="H221" s="112">
        <f t="shared" si="24"/>
        <v>45.094154423758759</v>
      </c>
      <c r="I221" s="28"/>
      <c r="J221" s="28"/>
      <c r="K221" s="54"/>
    </row>
    <row r="222" spans="1:11">
      <c r="A222" s="104">
        <v>215</v>
      </c>
      <c r="B222" s="110">
        <v>35706</v>
      </c>
      <c r="C222" s="111">
        <v>47.3125</v>
      </c>
      <c r="D222" s="111"/>
      <c r="E222" s="111">
        <f t="shared" si="21"/>
        <v>50.692665221279668</v>
      </c>
      <c r="F222" s="111">
        <f t="shared" si="22"/>
        <v>5.5330473988810143</v>
      </c>
      <c r="G222" s="111">
        <f t="shared" si="23"/>
        <v>56.225712620160685</v>
      </c>
      <c r="H222" s="111">
        <f t="shared" si="24"/>
        <v>45.159617822398651</v>
      </c>
      <c r="I222" s="29"/>
      <c r="J222" s="29"/>
      <c r="K222" s="57"/>
    </row>
    <row r="223" spans="1:11">
      <c r="A223" s="104">
        <v>216</v>
      </c>
      <c r="B223" s="110">
        <v>35709</v>
      </c>
      <c r="C223" s="111">
        <v>48.375</v>
      </c>
      <c r="D223" s="111"/>
      <c r="E223" s="111">
        <f t="shared" si="21"/>
        <v>50.758128619919567</v>
      </c>
      <c r="F223" s="111">
        <f t="shared" si="22"/>
        <v>5.5330473988810143</v>
      </c>
      <c r="G223" s="111">
        <f t="shared" si="23"/>
        <v>56.291176018800584</v>
      </c>
      <c r="H223" s="111">
        <f t="shared" si="24"/>
        <v>45.22508122103855</v>
      </c>
      <c r="I223" s="29"/>
      <c r="J223" s="29"/>
      <c r="K223" s="57"/>
    </row>
    <row r="224" spans="1:11">
      <c r="A224" s="103">
        <v>217</v>
      </c>
      <c r="B224" s="109">
        <v>35710</v>
      </c>
      <c r="C224" s="112">
        <v>48.718800000000002</v>
      </c>
      <c r="D224" s="112"/>
      <c r="E224" s="112">
        <f t="shared" si="21"/>
        <v>50.823592018559467</v>
      </c>
      <c r="F224" s="112">
        <f t="shared" si="22"/>
        <v>5.5330473988810143</v>
      </c>
      <c r="G224" s="112">
        <f t="shared" si="23"/>
        <v>56.356639417440483</v>
      </c>
      <c r="H224" s="112">
        <f t="shared" si="24"/>
        <v>45.29054461967845</v>
      </c>
      <c r="I224" s="28"/>
      <c r="J224" s="28"/>
      <c r="K224" s="54"/>
    </row>
    <row r="225" spans="1:11">
      <c r="A225" s="103">
        <v>218</v>
      </c>
      <c r="B225" s="109">
        <v>35711</v>
      </c>
      <c r="C225" s="112">
        <v>49.343800000000002</v>
      </c>
      <c r="D225" s="112"/>
      <c r="E225" s="112">
        <f t="shared" si="21"/>
        <v>50.889055417199359</v>
      </c>
      <c r="F225" s="112">
        <f t="shared" si="22"/>
        <v>5.5330473988810143</v>
      </c>
      <c r="G225" s="112">
        <f t="shared" si="23"/>
        <v>56.422102816080375</v>
      </c>
      <c r="H225" s="112">
        <f t="shared" si="24"/>
        <v>45.356008018318342</v>
      </c>
      <c r="I225" s="28"/>
      <c r="J225" s="28"/>
      <c r="K225" s="54"/>
    </row>
    <row r="226" spans="1:11">
      <c r="A226" s="104">
        <v>219</v>
      </c>
      <c r="B226" s="110">
        <v>35712</v>
      </c>
      <c r="C226" s="111">
        <v>50.4375</v>
      </c>
      <c r="D226" s="111"/>
      <c r="E226" s="111">
        <f t="shared" ref="E226:E241" si="25">TREND(C$17:C$401,A$17:A$401,A226)</f>
        <v>50.954518815839258</v>
      </c>
      <c r="F226" s="111">
        <f t="shared" si="22"/>
        <v>5.5330473988810143</v>
      </c>
      <c r="G226" s="111">
        <f t="shared" si="23"/>
        <v>56.487566214720275</v>
      </c>
      <c r="H226" s="111">
        <f t="shared" si="24"/>
        <v>45.421471416958241</v>
      </c>
      <c r="I226" s="29"/>
      <c r="J226" s="29"/>
      <c r="K226" s="57"/>
    </row>
    <row r="227" spans="1:11">
      <c r="A227" s="104">
        <v>220</v>
      </c>
      <c r="B227" s="110">
        <v>35713</v>
      </c>
      <c r="C227" s="111">
        <v>50.843800000000002</v>
      </c>
      <c r="D227" s="111"/>
      <c r="E227" s="111">
        <f t="shared" si="25"/>
        <v>51.019982214479157</v>
      </c>
      <c r="F227" s="111">
        <f t="shared" si="22"/>
        <v>5.5330473988810143</v>
      </c>
      <c r="G227" s="111">
        <f t="shared" si="23"/>
        <v>56.553029613360174</v>
      </c>
      <c r="H227" s="111">
        <f t="shared" si="24"/>
        <v>45.48693481559814</v>
      </c>
      <c r="I227" s="29"/>
      <c r="J227" s="29"/>
      <c r="K227" s="57"/>
    </row>
    <row r="228" spans="1:11">
      <c r="A228" s="103">
        <v>221</v>
      </c>
      <c r="B228" s="109">
        <v>35716</v>
      </c>
      <c r="C228" s="112">
        <v>50.781199999999998</v>
      </c>
      <c r="D228" s="112"/>
      <c r="E228" s="112">
        <f t="shared" si="25"/>
        <v>51.085445613119049</v>
      </c>
      <c r="F228" s="112">
        <f t="shared" si="22"/>
        <v>5.5330473988810143</v>
      </c>
      <c r="G228" s="112">
        <f t="shared" si="23"/>
        <v>56.618493012000066</v>
      </c>
      <c r="H228" s="112">
        <f t="shared" si="24"/>
        <v>45.552398214238032</v>
      </c>
      <c r="I228" s="28"/>
      <c r="J228" s="28"/>
      <c r="K228" s="54"/>
    </row>
    <row r="229" spans="1:11">
      <c r="A229" s="103">
        <v>222</v>
      </c>
      <c r="B229" s="109">
        <v>35717</v>
      </c>
      <c r="C229" s="112">
        <v>52.3125</v>
      </c>
      <c r="D229" s="112"/>
      <c r="E229" s="112">
        <f t="shared" si="25"/>
        <v>51.150909011758948</v>
      </c>
      <c r="F229" s="112">
        <f t="shared" si="22"/>
        <v>5.5330473988810143</v>
      </c>
      <c r="G229" s="112">
        <f t="shared" si="23"/>
        <v>56.683956410639965</v>
      </c>
      <c r="H229" s="112">
        <f t="shared" si="24"/>
        <v>45.617861612877931</v>
      </c>
      <c r="I229" s="28"/>
      <c r="J229" s="28"/>
      <c r="K229" s="54"/>
    </row>
    <row r="230" spans="1:11">
      <c r="A230" s="71">
        <v>223</v>
      </c>
      <c r="B230" s="110">
        <v>35718</v>
      </c>
      <c r="C230" s="111">
        <v>53.468800000000002</v>
      </c>
      <c r="D230" s="111"/>
      <c r="E230" s="111">
        <f t="shared" si="25"/>
        <v>51.21637241039884</v>
      </c>
      <c r="F230" s="111">
        <f t="shared" si="22"/>
        <v>5.5330473988810143</v>
      </c>
      <c r="G230" s="111">
        <f t="shared" si="23"/>
        <v>56.749419809279857</v>
      </c>
      <c r="H230" s="111">
        <f t="shared" si="24"/>
        <v>45.683325011517823</v>
      </c>
      <c r="I230" s="29"/>
      <c r="J230" s="29"/>
      <c r="K230" s="57"/>
    </row>
    <row r="231" spans="1:11">
      <c r="A231" s="71">
        <v>224</v>
      </c>
      <c r="B231" s="110">
        <v>35719</v>
      </c>
      <c r="C231" s="111">
        <v>52.625</v>
      </c>
      <c r="D231" s="111"/>
      <c r="E231" s="111">
        <f t="shared" si="25"/>
        <v>51.281835809038739</v>
      </c>
      <c r="F231" s="111">
        <f t="shared" si="22"/>
        <v>5.5330473988810143</v>
      </c>
      <c r="G231" s="111">
        <f t="shared" si="23"/>
        <v>56.814883207919756</v>
      </c>
      <c r="H231" s="111">
        <f t="shared" si="24"/>
        <v>45.748788410157722</v>
      </c>
      <c r="I231" s="29"/>
      <c r="J231" s="29"/>
      <c r="K231" s="57"/>
    </row>
    <row r="232" spans="1:11">
      <c r="A232" s="103">
        <v>225</v>
      </c>
      <c r="B232" s="109">
        <v>35720</v>
      </c>
      <c r="C232" s="112">
        <v>51.375</v>
      </c>
      <c r="D232" s="112"/>
      <c r="E232" s="112">
        <f t="shared" si="25"/>
        <v>51.347299207678631</v>
      </c>
      <c r="F232" s="112">
        <f t="shared" si="22"/>
        <v>5.5330473988810143</v>
      </c>
      <c r="G232" s="112">
        <f t="shared" si="23"/>
        <v>56.880346606559648</v>
      </c>
      <c r="H232" s="112">
        <f t="shared" si="24"/>
        <v>45.814251808797614</v>
      </c>
      <c r="I232" s="28"/>
      <c r="J232" s="28"/>
      <c r="K232" s="54"/>
    </row>
    <row r="233" spans="1:11">
      <c r="A233" s="103">
        <v>226</v>
      </c>
      <c r="B233" s="109">
        <v>35723</v>
      </c>
      <c r="C233" s="112">
        <v>52.75</v>
      </c>
      <c r="D233" s="112"/>
      <c r="E233" s="112">
        <f t="shared" si="25"/>
        <v>51.41276260631853</v>
      </c>
      <c r="F233" s="112">
        <f t="shared" si="22"/>
        <v>5.5330473988810143</v>
      </c>
      <c r="G233" s="112">
        <f t="shared" si="23"/>
        <v>56.945810005199547</v>
      </c>
      <c r="H233" s="112">
        <f t="shared" si="24"/>
        <v>45.879715207437513</v>
      </c>
      <c r="I233" s="28"/>
      <c r="J233" s="28"/>
      <c r="K233" s="54"/>
    </row>
    <row r="234" spans="1:11">
      <c r="A234" s="104">
        <v>227</v>
      </c>
      <c r="B234" s="110">
        <v>35724</v>
      </c>
      <c r="C234" s="111">
        <v>53.656199999999998</v>
      </c>
      <c r="D234" s="111"/>
      <c r="E234" s="111">
        <f t="shared" si="25"/>
        <v>51.478226004958429</v>
      </c>
      <c r="F234" s="111">
        <f t="shared" si="22"/>
        <v>5.5330473988810143</v>
      </c>
      <c r="G234" s="111">
        <f t="shared" si="23"/>
        <v>57.011273403839446</v>
      </c>
      <c r="H234" s="111">
        <f t="shared" si="24"/>
        <v>45.945178606077413</v>
      </c>
      <c r="I234" s="29"/>
      <c r="J234" s="29"/>
      <c r="K234" s="57"/>
    </row>
    <row r="235" spans="1:11">
      <c r="A235" s="104">
        <v>228</v>
      </c>
      <c r="B235" s="110">
        <v>35725</v>
      </c>
      <c r="C235" s="111">
        <v>53.375</v>
      </c>
      <c r="D235" s="111"/>
      <c r="E235" s="111">
        <f t="shared" si="25"/>
        <v>51.543689403598322</v>
      </c>
      <c r="F235" s="111">
        <f t="shared" si="22"/>
        <v>5.5330473988810143</v>
      </c>
      <c r="G235" s="111">
        <f t="shared" si="23"/>
        <v>57.076736802479338</v>
      </c>
      <c r="H235" s="111">
        <f t="shared" si="24"/>
        <v>46.010642004717305</v>
      </c>
      <c r="I235" s="29"/>
      <c r="J235" s="29"/>
      <c r="K235" s="57"/>
    </row>
    <row r="236" spans="1:11">
      <c r="A236" s="103">
        <v>229</v>
      </c>
      <c r="B236" s="109">
        <v>35726</v>
      </c>
      <c r="C236" s="112">
        <v>53.4375</v>
      </c>
      <c r="D236" s="112"/>
      <c r="E236" s="112">
        <f t="shared" si="25"/>
        <v>51.609152802238221</v>
      </c>
      <c r="F236" s="112">
        <f t="shared" si="22"/>
        <v>5.5330473988810143</v>
      </c>
      <c r="G236" s="112">
        <f t="shared" si="23"/>
        <v>57.142200201119238</v>
      </c>
      <c r="H236" s="112">
        <f t="shared" si="24"/>
        <v>46.076105403357204</v>
      </c>
      <c r="I236" s="28"/>
      <c r="J236" s="28"/>
      <c r="K236" s="54"/>
    </row>
    <row r="237" spans="1:11">
      <c r="A237" s="103">
        <v>230</v>
      </c>
      <c r="B237" s="109">
        <v>35727</v>
      </c>
      <c r="C237" s="112">
        <v>53.031199999999998</v>
      </c>
      <c r="D237" s="112"/>
      <c r="E237" s="112">
        <f t="shared" si="25"/>
        <v>51.67461620087812</v>
      </c>
      <c r="F237" s="112">
        <f t="shared" si="22"/>
        <v>5.5330473988810143</v>
      </c>
      <c r="G237" s="112">
        <f t="shared" si="23"/>
        <v>57.207663599759137</v>
      </c>
      <c r="H237" s="112">
        <f t="shared" si="24"/>
        <v>46.141568801997103</v>
      </c>
      <c r="I237" s="28"/>
      <c r="J237" s="28"/>
      <c r="K237" s="54"/>
    </row>
    <row r="238" spans="1:11">
      <c r="A238" s="104">
        <v>231</v>
      </c>
      <c r="B238" s="110">
        <v>35730</v>
      </c>
      <c r="C238" s="111">
        <v>49.593800000000002</v>
      </c>
      <c r="D238" s="111"/>
      <c r="E238" s="111">
        <f t="shared" si="25"/>
        <v>51.740079599518012</v>
      </c>
      <c r="F238" s="111">
        <f t="shared" si="22"/>
        <v>5.5330473988810143</v>
      </c>
      <c r="G238" s="111">
        <f t="shared" si="23"/>
        <v>57.273126998399029</v>
      </c>
      <c r="H238" s="111">
        <f t="shared" si="24"/>
        <v>46.207032200636995</v>
      </c>
      <c r="I238" s="29"/>
      <c r="J238" s="29"/>
      <c r="K238" s="57"/>
    </row>
    <row r="239" spans="1:11">
      <c r="A239" s="104">
        <v>232</v>
      </c>
      <c r="B239" s="110">
        <v>35731</v>
      </c>
      <c r="C239" s="111">
        <v>51.25</v>
      </c>
      <c r="D239" s="111"/>
      <c r="E239" s="111">
        <f t="shared" si="25"/>
        <v>51.805542998157911</v>
      </c>
      <c r="F239" s="111">
        <f t="shared" si="22"/>
        <v>5.5330473988810143</v>
      </c>
      <c r="G239" s="111">
        <f t="shared" si="23"/>
        <v>57.338590397038928</v>
      </c>
      <c r="H239" s="111">
        <f t="shared" si="24"/>
        <v>46.272495599276894</v>
      </c>
      <c r="I239" s="29"/>
      <c r="J239" s="29"/>
      <c r="K239" s="57"/>
    </row>
    <row r="240" spans="1:11">
      <c r="A240" s="103">
        <v>233</v>
      </c>
      <c r="B240" s="109">
        <v>35732</v>
      </c>
      <c r="C240" s="112">
        <v>50.5</v>
      </c>
      <c r="D240" s="112"/>
      <c r="E240" s="112">
        <f t="shared" si="25"/>
        <v>51.871006396797803</v>
      </c>
      <c r="F240" s="112">
        <f t="shared" si="22"/>
        <v>5.5330473988810143</v>
      </c>
      <c r="G240" s="112">
        <f t="shared" si="23"/>
        <v>57.40405379567882</v>
      </c>
      <c r="H240" s="112">
        <f t="shared" si="24"/>
        <v>46.337958997916786</v>
      </c>
      <c r="I240" s="28"/>
      <c r="J240" s="28"/>
      <c r="K240" s="54"/>
    </row>
    <row r="241" spans="1:11">
      <c r="A241" s="103">
        <v>234</v>
      </c>
      <c r="B241" s="109">
        <v>35733</v>
      </c>
      <c r="C241" s="112">
        <v>49.281199999999998</v>
      </c>
      <c r="D241" s="166"/>
      <c r="E241" s="112">
        <f t="shared" si="25"/>
        <v>51.936469795437702</v>
      </c>
      <c r="F241" s="112">
        <f t="shared" si="22"/>
        <v>5.5330473988810143</v>
      </c>
      <c r="G241" s="112">
        <f t="shared" si="23"/>
        <v>57.469517194318719</v>
      </c>
      <c r="H241" s="112">
        <f t="shared" si="24"/>
        <v>46.403422396556685</v>
      </c>
      <c r="I241" s="28"/>
      <c r="J241" s="28"/>
      <c r="K241" s="54"/>
    </row>
    <row r="242" spans="1:11">
      <c r="A242" s="104">
        <v>235</v>
      </c>
      <c r="B242" s="110">
        <v>35734</v>
      </c>
      <c r="C242" s="111">
        <v>50.375</v>
      </c>
      <c r="D242" s="111"/>
      <c r="E242" s="111">
        <f t="shared" ref="E242:E257" si="26">TREND(C$17:C$401,A$17:A$401,A242)</f>
        <v>52.001933194077594</v>
      </c>
      <c r="F242" s="111">
        <f t="shared" si="22"/>
        <v>5.5330473988810143</v>
      </c>
      <c r="G242" s="111">
        <f t="shared" si="23"/>
        <v>57.534980592958611</v>
      </c>
      <c r="H242" s="111">
        <f t="shared" si="24"/>
        <v>46.468885795196577</v>
      </c>
      <c r="I242" s="29"/>
      <c r="J242" s="29"/>
      <c r="K242" s="57"/>
    </row>
    <row r="243" spans="1:11">
      <c r="A243" s="104">
        <v>236</v>
      </c>
      <c r="B243" s="110">
        <v>35737</v>
      </c>
      <c r="C243" s="111">
        <v>52.906199999999998</v>
      </c>
      <c r="D243" s="111"/>
      <c r="E243" s="111">
        <f t="shared" si="26"/>
        <v>52.067396592717493</v>
      </c>
      <c r="F243" s="111">
        <f t="shared" si="22"/>
        <v>5.5330473988810143</v>
      </c>
      <c r="G243" s="111">
        <f t="shared" si="23"/>
        <v>57.60044399159851</v>
      </c>
      <c r="H243" s="111">
        <f t="shared" si="24"/>
        <v>46.534349193836476</v>
      </c>
      <c r="I243" s="29"/>
      <c r="J243" s="29"/>
      <c r="K243" s="57"/>
    </row>
    <row r="244" spans="1:11">
      <c r="A244" s="103">
        <v>237</v>
      </c>
      <c r="B244" s="109">
        <v>35738</v>
      </c>
      <c r="C244" s="112">
        <v>52.468800000000002</v>
      </c>
      <c r="D244" s="112"/>
      <c r="E244" s="112">
        <f t="shared" si="26"/>
        <v>52.132859991357392</v>
      </c>
      <c r="F244" s="112">
        <f t="shared" si="22"/>
        <v>5.5330473988810143</v>
      </c>
      <c r="G244" s="112">
        <f t="shared" si="23"/>
        <v>57.665907390238409</v>
      </c>
      <c r="H244" s="112">
        <f t="shared" si="24"/>
        <v>46.599812592476376</v>
      </c>
      <c r="I244" s="28"/>
      <c r="J244" s="28"/>
      <c r="K244" s="54"/>
    </row>
    <row r="245" spans="1:11">
      <c r="A245" s="103">
        <v>238</v>
      </c>
      <c r="B245" s="109">
        <v>35739</v>
      </c>
      <c r="C245" s="112">
        <v>52.4375</v>
      </c>
      <c r="D245" s="112"/>
      <c r="E245" s="112">
        <f t="shared" si="26"/>
        <v>52.198323389997284</v>
      </c>
      <c r="F245" s="112">
        <f t="shared" si="22"/>
        <v>5.5330473988810143</v>
      </c>
      <c r="G245" s="112">
        <f t="shared" si="23"/>
        <v>57.731370788878301</v>
      </c>
      <c r="H245" s="112">
        <f t="shared" si="24"/>
        <v>46.665275991116268</v>
      </c>
      <c r="I245" s="28"/>
      <c r="J245" s="28"/>
      <c r="K245" s="54"/>
    </row>
    <row r="246" spans="1:11">
      <c r="A246" s="104">
        <v>239</v>
      </c>
      <c r="B246" s="110">
        <v>35740</v>
      </c>
      <c r="C246" s="111">
        <v>52.4375</v>
      </c>
      <c r="D246" s="111"/>
      <c r="E246" s="111">
        <f t="shared" si="26"/>
        <v>52.263786788637184</v>
      </c>
      <c r="F246" s="111">
        <f t="shared" si="22"/>
        <v>5.5330473988810143</v>
      </c>
      <c r="G246" s="111">
        <f t="shared" si="23"/>
        <v>57.796834187518201</v>
      </c>
      <c r="H246" s="111">
        <f t="shared" si="24"/>
        <v>46.730739389756167</v>
      </c>
      <c r="I246" s="29"/>
      <c r="J246" s="29"/>
      <c r="K246" s="57"/>
    </row>
    <row r="247" spans="1:11">
      <c r="A247" s="104">
        <v>240</v>
      </c>
      <c r="B247" s="110">
        <v>35741</v>
      </c>
      <c r="C247" s="111">
        <v>52.343800000000002</v>
      </c>
      <c r="D247" s="111"/>
      <c r="E247" s="111">
        <f t="shared" si="26"/>
        <v>52.329250187277083</v>
      </c>
      <c r="F247" s="111">
        <f t="shared" si="22"/>
        <v>5.5330473988810143</v>
      </c>
      <c r="G247" s="111">
        <f t="shared" si="23"/>
        <v>57.8622975861581</v>
      </c>
      <c r="H247" s="111">
        <f t="shared" si="24"/>
        <v>46.796202788396066</v>
      </c>
      <c r="I247" s="29"/>
      <c r="J247" s="29"/>
      <c r="K247" s="57"/>
    </row>
    <row r="248" spans="1:11">
      <c r="A248" s="103">
        <v>241</v>
      </c>
      <c r="B248" s="109">
        <v>35744</v>
      </c>
      <c r="C248" s="112">
        <v>50.8125</v>
      </c>
      <c r="D248" s="112"/>
      <c r="E248" s="112">
        <f t="shared" si="26"/>
        <v>52.394713585916975</v>
      </c>
      <c r="F248" s="112">
        <f t="shared" si="22"/>
        <v>5.5330473988810143</v>
      </c>
      <c r="G248" s="112">
        <f t="shared" si="23"/>
        <v>57.927760984797992</v>
      </c>
      <c r="H248" s="112">
        <f t="shared" si="24"/>
        <v>46.861666187035958</v>
      </c>
      <c r="I248" s="28"/>
      <c r="J248" s="28"/>
      <c r="K248" s="54"/>
    </row>
    <row r="249" spans="1:11">
      <c r="A249" s="103">
        <v>242</v>
      </c>
      <c r="B249" s="109">
        <v>35745</v>
      </c>
      <c r="C249" s="112">
        <v>51.5625</v>
      </c>
      <c r="D249" s="112"/>
      <c r="E249" s="112">
        <f t="shared" si="26"/>
        <v>52.460176984556874</v>
      </c>
      <c r="F249" s="112">
        <f t="shared" si="22"/>
        <v>5.5330473988810143</v>
      </c>
      <c r="G249" s="112">
        <f t="shared" si="23"/>
        <v>57.993224383437891</v>
      </c>
      <c r="H249" s="112">
        <f t="shared" si="24"/>
        <v>46.927129585675857</v>
      </c>
      <c r="I249" s="28"/>
      <c r="J249" s="28"/>
      <c r="K249" s="54"/>
    </row>
    <row r="250" spans="1:11">
      <c r="A250" s="104">
        <v>243</v>
      </c>
      <c r="B250" s="110">
        <v>35746</v>
      </c>
      <c r="C250" s="111">
        <v>50.343800000000002</v>
      </c>
      <c r="D250" s="111"/>
      <c r="E250" s="111">
        <f t="shared" si="26"/>
        <v>52.525640383196766</v>
      </c>
      <c r="F250" s="111">
        <f t="shared" si="22"/>
        <v>5.5330473988810143</v>
      </c>
      <c r="G250" s="111">
        <f t="shared" si="23"/>
        <v>58.058687782077783</v>
      </c>
      <c r="H250" s="111">
        <f t="shared" si="24"/>
        <v>46.992592984315749</v>
      </c>
      <c r="I250" s="29"/>
      <c r="J250" s="29"/>
      <c r="K250" s="57"/>
    </row>
    <row r="251" spans="1:11">
      <c r="A251" s="104">
        <v>244</v>
      </c>
      <c r="B251" s="110">
        <v>35747</v>
      </c>
      <c r="C251" s="111">
        <v>49.5</v>
      </c>
      <c r="D251" s="111"/>
      <c r="E251" s="111">
        <f t="shared" si="26"/>
        <v>52.591103781836665</v>
      </c>
      <c r="F251" s="111">
        <f t="shared" si="22"/>
        <v>5.5330473988810143</v>
      </c>
      <c r="G251" s="111">
        <f t="shared" si="23"/>
        <v>58.124151180717682</v>
      </c>
      <c r="H251" s="111">
        <f t="shared" si="24"/>
        <v>47.058056382955648</v>
      </c>
      <c r="I251" s="29"/>
      <c r="J251" s="29"/>
      <c r="K251" s="57"/>
    </row>
    <row r="252" spans="1:11">
      <c r="A252" s="103">
        <v>245</v>
      </c>
      <c r="B252" s="109">
        <v>35748</v>
      </c>
      <c r="C252" s="112">
        <v>51.343800000000002</v>
      </c>
      <c r="D252" s="112"/>
      <c r="E252" s="112">
        <f t="shared" si="26"/>
        <v>52.656567180476557</v>
      </c>
      <c r="F252" s="112">
        <f t="shared" si="22"/>
        <v>5.5330473988810143</v>
      </c>
      <c r="G252" s="112">
        <f t="shared" si="23"/>
        <v>58.189614579357574</v>
      </c>
      <c r="H252" s="112">
        <f t="shared" si="24"/>
        <v>47.12351978159554</v>
      </c>
      <c r="I252" s="28"/>
      <c r="J252" s="28"/>
      <c r="K252" s="54"/>
    </row>
    <row r="253" spans="1:11">
      <c r="A253" s="103">
        <v>246</v>
      </c>
      <c r="B253" s="109">
        <v>35751</v>
      </c>
      <c r="C253" s="112">
        <v>52.0625</v>
      </c>
      <c r="D253" s="112"/>
      <c r="E253" s="112">
        <f t="shared" si="26"/>
        <v>52.722030579116456</v>
      </c>
      <c r="F253" s="112">
        <f t="shared" si="22"/>
        <v>5.5330473988810143</v>
      </c>
      <c r="G253" s="112">
        <f t="shared" si="23"/>
        <v>58.255077977997473</v>
      </c>
      <c r="H253" s="112">
        <f t="shared" si="24"/>
        <v>47.188983180235439</v>
      </c>
      <c r="I253" s="28"/>
      <c r="J253" s="28"/>
      <c r="K253" s="54"/>
    </row>
    <row r="254" spans="1:11">
      <c r="A254" s="104">
        <v>247</v>
      </c>
      <c r="B254" s="110">
        <v>35752</v>
      </c>
      <c r="C254" s="111">
        <v>51.968800000000002</v>
      </c>
      <c r="D254" s="111"/>
      <c r="E254" s="111">
        <f t="shared" si="26"/>
        <v>52.787493977756355</v>
      </c>
      <c r="F254" s="111">
        <f t="shared" si="22"/>
        <v>5.5330473988810143</v>
      </c>
      <c r="G254" s="111">
        <f t="shared" si="23"/>
        <v>58.320541376637372</v>
      </c>
      <c r="H254" s="111">
        <f t="shared" si="24"/>
        <v>47.254446578875339</v>
      </c>
      <c r="I254" s="29"/>
      <c r="J254" s="29"/>
      <c r="K254" s="57"/>
    </row>
    <row r="255" spans="1:11">
      <c r="A255" s="104">
        <v>248</v>
      </c>
      <c r="B255" s="110">
        <v>35753</v>
      </c>
      <c r="C255" s="111">
        <v>51.656199999999998</v>
      </c>
      <c r="D255" s="111"/>
      <c r="E255" s="111">
        <f t="shared" si="26"/>
        <v>52.852957376396247</v>
      </c>
      <c r="F255" s="111">
        <f t="shared" si="22"/>
        <v>5.5330473988810143</v>
      </c>
      <c r="G255" s="111">
        <f t="shared" si="23"/>
        <v>58.386004775277264</v>
      </c>
      <c r="H255" s="111">
        <f t="shared" si="24"/>
        <v>47.319909977515231</v>
      </c>
      <c r="I255" s="29"/>
      <c r="J255" s="29"/>
      <c r="K255" s="57"/>
    </row>
    <row r="256" spans="1:11">
      <c r="A256" s="103">
        <v>249</v>
      </c>
      <c r="B256" s="109">
        <v>35754</v>
      </c>
      <c r="C256" s="112">
        <v>53.4375</v>
      </c>
      <c r="D256" s="112"/>
      <c r="E256" s="112">
        <f t="shared" si="26"/>
        <v>52.918420775036147</v>
      </c>
      <c r="F256" s="112">
        <f t="shared" si="22"/>
        <v>5.5330473988810143</v>
      </c>
      <c r="G256" s="112">
        <f t="shared" si="23"/>
        <v>58.451468173917164</v>
      </c>
      <c r="H256" s="112">
        <f t="shared" si="24"/>
        <v>47.38537337615513</v>
      </c>
      <c r="I256" s="28"/>
      <c r="J256" s="28"/>
      <c r="K256" s="54"/>
    </row>
    <row r="257" spans="1:11">
      <c r="A257" s="103">
        <v>250</v>
      </c>
      <c r="B257" s="109">
        <v>35755</v>
      </c>
      <c r="C257" s="112">
        <v>55.031199999999998</v>
      </c>
      <c r="D257" s="112"/>
      <c r="E257" s="112">
        <f t="shared" si="26"/>
        <v>52.983884173676046</v>
      </c>
      <c r="F257" s="112">
        <f t="shared" si="22"/>
        <v>5.5330473988810143</v>
      </c>
      <c r="G257" s="112">
        <f t="shared" si="23"/>
        <v>58.516931572557063</v>
      </c>
      <c r="H257" s="112">
        <f t="shared" si="24"/>
        <v>47.450836774795029</v>
      </c>
      <c r="I257" s="28"/>
      <c r="J257" s="28"/>
      <c r="K257" s="54"/>
    </row>
    <row r="258" spans="1:11">
      <c r="A258" s="104">
        <v>251</v>
      </c>
      <c r="B258" s="110">
        <v>35758</v>
      </c>
      <c r="C258" s="111">
        <v>54.468800000000002</v>
      </c>
      <c r="D258" s="111"/>
      <c r="E258" s="111">
        <f t="shared" ref="E258:E273" si="27">TREND(C$17:C$401,A$17:A$401,A258)</f>
        <v>53.049347572315938</v>
      </c>
      <c r="F258" s="111">
        <f t="shared" si="22"/>
        <v>5.5330473988810143</v>
      </c>
      <c r="G258" s="111">
        <f t="shared" si="23"/>
        <v>58.582394971196955</v>
      </c>
      <c r="H258" s="111">
        <f t="shared" si="24"/>
        <v>47.516300173434921</v>
      </c>
      <c r="I258" s="29"/>
      <c r="J258" s="29"/>
      <c r="K258" s="57"/>
    </row>
    <row r="259" spans="1:11">
      <c r="A259" s="104">
        <v>252</v>
      </c>
      <c r="B259" s="110">
        <v>35759</v>
      </c>
      <c r="C259" s="111">
        <v>54.718800000000002</v>
      </c>
      <c r="D259" s="111"/>
      <c r="E259" s="111">
        <f t="shared" si="27"/>
        <v>53.11481097095583</v>
      </c>
      <c r="F259" s="111">
        <f t="shared" si="22"/>
        <v>5.5330473988810143</v>
      </c>
      <c r="G259" s="111">
        <f t="shared" si="23"/>
        <v>58.647858369836847</v>
      </c>
      <c r="H259" s="111">
        <f t="shared" si="24"/>
        <v>47.581763572074813</v>
      </c>
      <c r="I259" s="29"/>
      <c r="J259" s="29"/>
      <c r="K259" s="57"/>
    </row>
    <row r="260" spans="1:11">
      <c r="A260" s="103">
        <v>253</v>
      </c>
      <c r="B260" s="109">
        <v>35760</v>
      </c>
      <c r="C260" s="112">
        <v>55.3125</v>
      </c>
      <c r="D260" s="112"/>
      <c r="E260" s="112">
        <f t="shared" si="27"/>
        <v>53.180274369595729</v>
      </c>
      <c r="F260" s="112">
        <f t="shared" si="22"/>
        <v>5.5330473988810143</v>
      </c>
      <c r="G260" s="112">
        <f t="shared" si="23"/>
        <v>58.713321768476746</v>
      </c>
      <c r="H260" s="112">
        <f t="shared" si="24"/>
        <v>47.647226970714712</v>
      </c>
      <c r="I260" s="28"/>
      <c r="J260" s="28"/>
      <c r="K260" s="54"/>
    </row>
    <row r="261" spans="1:11">
      <c r="A261" s="103">
        <v>254</v>
      </c>
      <c r="B261" s="109">
        <v>35762</v>
      </c>
      <c r="C261" s="112">
        <v>55.718800000000002</v>
      </c>
      <c r="D261" s="112"/>
      <c r="E261" s="112">
        <f t="shared" si="27"/>
        <v>53.245737768235628</v>
      </c>
      <c r="F261" s="112">
        <f t="shared" si="22"/>
        <v>5.5330473988810143</v>
      </c>
      <c r="G261" s="112">
        <f t="shared" si="23"/>
        <v>58.778785167116645</v>
      </c>
      <c r="H261" s="112">
        <f t="shared" si="24"/>
        <v>47.712690369354611</v>
      </c>
      <c r="I261" s="28"/>
      <c r="J261" s="28"/>
      <c r="K261" s="54"/>
    </row>
    <row r="262" spans="1:11">
      <c r="A262" s="104">
        <v>255</v>
      </c>
      <c r="B262" s="110">
        <v>35765</v>
      </c>
      <c r="C262" s="111">
        <v>58</v>
      </c>
      <c r="D262" s="111"/>
      <c r="E262" s="111">
        <f t="shared" si="27"/>
        <v>53.31120116687552</v>
      </c>
      <c r="F262" s="111">
        <f t="shared" si="22"/>
        <v>5.5330473988810143</v>
      </c>
      <c r="G262" s="111">
        <f t="shared" si="23"/>
        <v>58.844248565756537</v>
      </c>
      <c r="H262" s="111">
        <f t="shared" si="24"/>
        <v>47.778153767994503</v>
      </c>
      <c r="I262" s="29"/>
      <c r="J262" s="29"/>
      <c r="K262" s="57"/>
    </row>
    <row r="263" spans="1:11">
      <c r="A263" s="104">
        <v>256</v>
      </c>
      <c r="B263" s="110">
        <v>35766</v>
      </c>
      <c r="C263" s="111">
        <v>57.375</v>
      </c>
      <c r="D263" s="111"/>
      <c r="E263" s="111">
        <f t="shared" si="27"/>
        <v>53.376664565515419</v>
      </c>
      <c r="F263" s="111">
        <f t="shared" si="22"/>
        <v>5.5330473988810143</v>
      </c>
      <c r="G263" s="111">
        <f t="shared" si="23"/>
        <v>58.909711964396436</v>
      </c>
      <c r="H263" s="111">
        <f t="shared" si="24"/>
        <v>47.843617166634402</v>
      </c>
      <c r="I263" s="29"/>
      <c r="J263" s="29"/>
      <c r="K263" s="57"/>
    </row>
    <row r="264" spans="1:11">
      <c r="A264" s="103">
        <v>257</v>
      </c>
      <c r="B264" s="109">
        <v>35767</v>
      </c>
      <c r="C264" s="112">
        <v>56.5625</v>
      </c>
      <c r="D264" s="112"/>
      <c r="E264" s="112">
        <f t="shared" si="27"/>
        <v>53.442127964155318</v>
      </c>
      <c r="F264" s="112">
        <f t="shared" si="22"/>
        <v>5.5330473988810143</v>
      </c>
      <c r="G264" s="112">
        <f t="shared" si="23"/>
        <v>58.975175363036335</v>
      </c>
      <c r="H264" s="112">
        <f t="shared" si="24"/>
        <v>47.909080565274301</v>
      </c>
      <c r="I264" s="28"/>
      <c r="J264" s="28"/>
      <c r="K264" s="54"/>
    </row>
    <row r="265" spans="1:11">
      <c r="A265" s="103">
        <v>258</v>
      </c>
      <c r="B265" s="109">
        <v>35768</v>
      </c>
      <c r="C265" s="112">
        <v>57.531199999999998</v>
      </c>
      <c r="D265" s="112"/>
      <c r="E265" s="112">
        <f t="shared" si="27"/>
        <v>53.50759136279521</v>
      </c>
      <c r="F265" s="112">
        <f t="shared" si="22"/>
        <v>5.5330473988810143</v>
      </c>
      <c r="G265" s="112">
        <f t="shared" si="23"/>
        <v>59.040638761676227</v>
      </c>
      <c r="H265" s="112">
        <f t="shared" si="24"/>
        <v>47.974543963914194</v>
      </c>
      <c r="I265" s="28"/>
      <c r="J265" s="28"/>
      <c r="K265" s="54"/>
    </row>
    <row r="266" spans="1:11">
      <c r="A266" s="104">
        <v>259</v>
      </c>
      <c r="B266" s="110">
        <v>35769</v>
      </c>
      <c r="C266" s="111">
        <v>58.906199999999998</v>
      </c>
      <c r="D266" s="111"/>
      <c r="E266" s="111">
        <f t="shared" si="27"/>
        <v>53.57305476143511</v>
      </c>
      <c r="F266" s="111">
        <f t="shared" si="22"/>
        <v>5.5330473988810143</v>
      </c>
      <c r="G266" s="111">
        <f t="shared" si="23"/>
        <v>59.106102160316127</v>
      </c>
      <c r="H266" s="111">
        <f t="shared" si="24"/>
        <v>48.040007362554093</v>
      </c>
      <c r="I266" s="29"/>
      <c r="J266" s="29"/>
      <c r="K266" s="57"/>
    </row>
    <row r="267" spans="1:11">
      <c r="A267" s="104">
        <v>260</v>
      </c>
      <c r="B267" s="110">
        <v>35772</v>
      </c>
      <c r="C267" s="111">
        <v>59.593800000000002</v>
      </c>
      <c r="D267" s="111"/>
      <c r="E267" s="111">
        <f t="shared" si="27"/>
        <v>53.638518160075009</v>
      </c>
      <c r="F267" s="111">
        <f t="shared" si="22"/>
        <v>5.5330473988810143</v>
      </c>
      <c r="G267" s="111">
        <f t="shared" si="23"/>
        <v>59.171565558956026</v>
      </c>
      <c r="H267" s="111">
        <f t="shared" si="24"/>
        <v>48.105470761193992</v>
      </c>
      <c r="I267" s="29"/>
      <c r="J267" s="29"/>
      <c r="K267" s="57"/>
    </row>
    <row r="268" spans="1:11">
      <c r="A268" s="103">
        <v>261</v>
      </c>
      <c r="B268" s="109">
        <v>35773</v>
      </c>
      <c r="C268" s="112">
        <v>60</v>
      </c>
      <c r="D268" s="112"/>
      <c r="E268" s="112">
        <f t="shared" si="27"/>
        <v>53.703981558714901</v>
      </c>
      <c r="F268" s="112">
        <f t="shared" si="22"/>
        <v>5.5330473988810143</v>
      </c>
      <c r="G268" s="112">
        <f t="shared" si="23"/>
        <v>59.237028957595918</v>
      </c>
      <c r="H268" s="112">
        <f t="shared" si="24"/>
        <v>48.170934159833884</v>
      </c>
      <c r="I268" s="28"/>
      <c r="J268" s="28"/>
      <c r="K268" s="54"/>
    </row>
    <row r="269" spans="1:11">
      <c r="A269" s="103">
        <v>262</v>
      </c>
      <c r="B269" s="109">
        <v>35774</v>
      </c>
      <c r="C269" s="112">
        <v>60.1875</v>
      </c>
      <c r="D269" s="112"/>
      <c r="E269" s="112">
        <f t="shared" si="27"/>
        <v>53.769444957354793</v>
      </c>
      <c r="F269" s="112">
        <f t="shared" si="22"/>
        <v>5.5330473988810143</v>
      </c>
      <c r="G269" s="112">
        <f t="shared" si="23"/>
        <v>59.30249235623581</v>
      </c>
      <c r="H269" s="112">
        <f t="shared" si="24"/>
        <v>48.236397558473776</v>
      </c>
      <c r="I269" s="28"/>
      <c r="J269" s="28"/>
      <c r="K269" s="54"/>
    </row>
    <row r="270" spans="1:11">
      <c r="A270" s="104">
        <v>263</v>
      </c>
      <c r="B270" s="110">
        <v>35775</v>
      </c>
      <c r="C270" s="111">
        <v>58.875</v>
      </c>
      <c r="D270" s="111"/>
      <c r="E270" s="111">
        <f t="shared" si="27"/>
        <v>53.834908355994692</v>
      </c>
      <c r="F270" s="111">
        <f t="shared" si="22"/>
        <v>5.5330473988810143</v>
      </c>
      <c r="G270" s="111">
        <f t="shared" si="23"/>
        <v>59.367955754875709</v>
      </c>
      <c r="H270" s="111">
        <f t="shared" si="24"/>
        <v>48.301860957113675</v>
      </c>
      <c r="I270" s="29"/>
      <c r="J270" s="29"/>
      <c r="K270" s="57"/>
    </row>
    <row r="271" spans="1:11">
      <c r="A271" s="104">
        <v>264</v>
      </c>
      <c r="B271" s="110">
        <v>35776</v>
      </c>
      <c r="C271" s="111">
        <v>58.5</v>
      </c>
      <c r="D271" s="111"/>
      <c r="E271" s="111">
        <f t="shared" si="27"/>
        <v>53.900371754634591</v>
      </c>
      <c r="F271" s="111">
        <f t="shared" si="22"/>
        <v>5.5330473988810143</v>
      </c>
      <c r="G271" s="111">
        <f t="shared" si="23"/>
        <v>59.433419153515608</v>
      </c>
      <c r="H271" s="111">
        <f t="shared" si="24"/>
        <v>48.367324355753574</v>
      </c>
      <c r="I271" s="29"/>
      <c r="J271" s="29"/>
      <c r="K271" s="57"/>
    </row>
    <row r="272" spans="1:11">
      <c r="A272" s="103">
        <v>265</v>
      </c>
      <c r="B272" s="109">
        <v>35779</v>
      </c>
      <c r="C272" s="112">
        <v>59.218800000000002</v>
      </c>
      <c r="D272" s="112"/>
      <c r="E272" s="112">
        <f t="shared" si="27"/>
        <v>53.965835153274483</v>
      </c>
      <c r="F272" s="112">
        <f t="shared" si="22"/>
        <v>5.5330473988810143</v>
      </c>
      <c r="G272" s="112">
        <f t="shared" si="23"/>
        <v>59.4988825521555</v>
      </c>
      <c r="H272" s="112">
        <f t="shared" si="24"/>
        <v>48.432787754393466</v>
      </c>
      <c r="I272" s="28"/>
      <c r="J272" s="28"/>
      <c r="K272" s="54"/>
    </row>
    <row r="273" spans="1:11">
      <c r="A273" s="103">
        <v>266</v>
      </c>
      <c r="B273" s="109">
        <v>35780</v>
      </c>
      <c r="C273" s="112">
        <v>59</v>
      </c>
      <c r="D273" s="112"/>
      <c r="E273" s="112">
        <f t="shared" si="27"/>
        <v>54.031298551914382</v>
      </c>
      <c r="F273" s="112">
        <f t="shared" si="22"/>
        <v>5.5330473988810143</v>
      </c>
      <c r="G273" s="112">
        <f t="shared" si="23"/>
        <v>59.564345950795399</v>
      </c>
      <c r="H273" s="112">
        <f t="shared" si="24"/>
        <v>48.498251153033365</v>
      </c>
      <c r="I273" s="28"/>
      <c r="J273" s="28"/>
      <c r="K273" s="54"/>
    </row>
    <row r="274" spans="1:11">
      <c r="A274" s="104">
        <v>267</v>
      </c>
      <c r="B274" s="110">
        <v>35781</v>
      </c>
      <c r="C274" s="111">
        <v>58.8125</v>
      </c>
      <c r="D274" s="111"/>
      <c r="E274" s="111">
        <f t="shared" ref="E274:E289" si="28">TREND(C$17:C$401,A$17:A$401,A274)</f>
        <v>54.096761950554281</v>
      </c>
      <c r="F274" s="111">
        <f t="shared" ref="F274:F337" si="29">$D$6*2</f>
        <v>5.5330473988810143</v>
      </c>
      <c r="G274" s="111">
        <f t="shared" ref="G274:G337" si="30">E274+F274</f>
        <v>59.629809349435298</v>
      </c>
      <c r="H274" s="111">
        <f t="shared" ref="H274:H337" si="31">E274-F274</f>
        <v>48.563714551673264</v>
      </c>
      <c r="I274" s="29"/>
      <c r="J274" s="29"/>
      <c r="K274" s="57"/>
    </row>
    <row r="275" spans="1:11">
      <c r="A275" s="104">
        <v>268</v>
      </c>
      <c r="B275" s="110">
        <v>35782</v>
      </c>
      <c r="C275" s="111">
        <v>57.531199999999998</v>
      </c>
      <c r="D275" s="111"/>
      <c r="E275" s="111">
        <f t="shared" si="28"/>
        <v>54.162225349194173</v>
      </c>
      <c r="F275" s="111">
        <f t="shared" si="29"/>
        <v>5.5330473988810143</v>
      </c>
      <c r="G275" s="111">
        <f t="shared" si="30"/>
        <v>59.69527274807519</v>
      </c>
      <c r="H275" s="111">
        <f t="shared" si="31"/>
        <v>48.629177950313156</v>
      </c>
      <c r="I275" s="29"/>
      <c r="J275" s="29"/>
      <c r="K275" s="57"/>
    </row>
    <row r="276" spans="1:11">
      <c r="A276" s="103">
        <v>269</v>
      </c>
      <c r="B276" s="109">
        <v>35783</v>
      </c>
      <c r="C276" s="112">
        <v>58.406199999999998</v>
      </c>
      <c r="D276" s="112"/>
      <c r="E276" s="112">
        <f t="shared" si="28"/>
        <v>54.227688747834073</v>
      </c>
      <c r="F276" s="112">
        <f t="shared" si="29"/>
        <v>5.5330473988810143</v>
      </c>
      <c r="G276" s="112">
        <f t="shared" si="30"/>
        <v>59.760736146715089</v>
      </c>
      <c r="H276" s="112">
        <f t="shared" si="31"/>
        <v>48.694641348953056</v>
      </c>
      <c r="I276" s="28"/>
      <c r="J276" s="28"/>
      <c r="K276" s="54"/>
    </row>
    <row r="277" spans="1:11">
      <c r="A277" s="103">
        <v>270</v>
      </c>
      <c r="B277" s="109">
        <v>35786</v>
      </c>
      <c r="C277" s="112">
        <v>56.75</v>
      </c>
      <c r="D277" s="112"/>
      <c r="E277" s="112">
        <f t="shared" si="28"/>
        <v>54.293152146473972</v>
      </c>
      <c r="F277" s="112">
        <f t="shared" si="29"/>
        <v>5.5330473988810143</v>
      </c>
      <c r="G277" s="112">
        <f t="shared" si="30"/>
        <v>59.826199545354989</v>
      </c>
      <c r="H277" s="112">
        <f t="shared" si="31"/>
        <v>48.760104747592955</v>
      </c>
      <c r="I277" s="28"/>
      <c r="J277" s="28"/>
      <c r="K277" s="54"/>
    </row>
    <row r="278" spans="1:11">
      <c r="A278" s="104">
        <v>271</v>
      </c>
      <c r="B278" s="110">
        <v>35787</v>
      </c>
      <c r="C278" s="111">
        <v>56.218800000000002</v>
      </c>
      <c r="D278" s="111"/>
      <c r="E278" s="111">
        <f t="shared" si="28"/>
        <v>54.358615545113864</v>
      </c>
      <c r="F278" s="111">
        <f t="shared" si="29"/>
        <v>5.5330473988810143</v>
      </c>
      <c r="G278" s="111">
        <f t="shared" si="30"/>
        <v>59.891662943994881</v>
      </c>
      <c r="H278" s="111">
        <f t="shared" si="31"/>
        <v>48.825568146232847</v>
      </c>
      <c r="I278" s="29"/>
      <c r="J278" s="29"/>
      <c r="K278" s="57"/>
    </row>
    <row r="279" spans="1:11">
      <c r="A279" s="104">
        <v>272</v>
      </c>
      <c r="B279" s="110">
        <v>35788</v>
      </c>
      <c r="C279" s="111">
        <v>55.8125</v>
      </c>
      <c r="D279" s="111"/>
      <c r="E279" s="111">
        <f t="shared" si="28"/>
        <v>54.424078943753756</v>
      </c>
      <c r="F279" s="111">
        <f t="shared" si="29"/>
        <v>5.5330473988810143</v>
      </c>
      <c r="G279" s="111">
        <f t="shared" si="30"/>
        <v>59.957126342634773</v>
      </c>
      <c r="H279" s="111">
        <f t="shared" si="31"/>
        <v>48.891031544872739</v>
      </c>
      <c r="I279" s="29"/>
      <c r="J279" s="29"/>
      <c r="K279" s="57"/>
    </row>
    <row r="280" spans="1:11">
      <c r="A280" s="103">
        <v>273</v>
      </c>
      <c r="B280" s="109">
        <v>35790</v>
      </c>
      <c r="C280" s="112">
        <v>55.9375</v>
      </c>
      <c r="D280" s="112"/>
      <c r="E280" s="112">
        <f t="shared" si="28"/>
        <v>54.489542342393655</v>
      </c>
      <c r="F280" s="112">
        <f t="shared" si="29"/>
        <v>5.5330473988810143</v>
      </c>
      <c r="G280" s="112">
        <f t="shared" si="30"/>
        <v>60.022589741274672</v>
      </c>
      <c r="H280" s="112">
        <f t="shared" si="31"/>
        <v>48.956494943512638</v>
      </c>
      <c r="I280" s="28"/>
      <c r="J280" s="28"/>
      <c r="K280" s="54"/>
    </row>
    <row r="281" spans="1:11">
      <c r="A281" s="103">
        <v>274</v>
      </c>
      <c r="B281" s="109">
        <v>35793</v>
      </c>
      <c r="C281" s="112">
        <v>55.4375</v>
      </c>
      <c r="D281" s="112"/>
      <c r="E281" s="112">
        <f t="shared" si="28"/>
        <v>54.555005741033554</v>
      </c>
      <c r="F281" s="112">
        <f t="shared" si="29"/>
        <v>5.5330473988810143</v>
      </c>
      <c r="G281" s="112">
        <f t="shared" si="30"/>
        <v>60.088053139914571</v>
      </c>
      <c r="H281" s="112">
        <f t="shared" si="31"/>
        <v>49.021958342152537</v>
      </c>
      <c r="I281" s="28"/>
      <c r="J281" s="28"/>
      <c r="K281" s="54"/>
    </row>
    <row r="282" spans="1:11">
      <c r="A282" s="104">
        <v>275</v>
      </c>
      <c r="B282" s="110">
        <v>35794</v>
      </c>
      <c r="C282" s="111">
        <v>57.875</v>
      </c>
      <c r="D282" s="111"/>
      <c r="E282" s="111">
        <f t="shared" si="28"/>
        <v>54.620469139673446</v>
      </c>
      <c r="F282" s="111">
        <f t="shared" si="29"/>
        <v>5.5330473988810143</v>
      </c>
      <c r="G282" s="111">
        <f t="shared" si="30"/>
        <v>60.153516538554463</v>
      </c>
      <c r="H282" s="111">
        <f t="shared" si="31"/>
        <v>49.087421740792429</v>
      </c>
      <c r="I282" s="29"/>
      <c r="J282" s="29"/>
      <c r="K282" s="57"/>
    </row>
    <row r="283" spans="1:11">
      <c r="A283" s="104">
        <v>276</v>
      </c>
      <c r="B283" s="110">
        <v>35795</v>
      </c>
      <c r="C283" s="111">
        <v>59.5</v>
      </c>
      <c r="D283" s="111"/>
      <c r="E283" s="111">
        <f t="shared" si="28"/>
        <v>54.685932538313345</v>
      </c>
      <c r="F283" s="111">
        <f t="shared" si="29"/>
        <v>5.5330473988810143</v>
      </c>
      <c r="G283" s="111">
        <f t="shared" si="30"/>
        <v>60.218979937194362</v>
      </c>
      <c r="H283" s="111">
        <f t="shared" si="31"/>
        <v>49.152885139432328</v>
      </c>
      <c r="I283" s="29"/>
      <c r="J283" s="29"/>
      <c r="K283" s="57"/>
    </row>
    <row r="284" spans="1:11">
      <c r="A284" s="103">
        <v>277</v>
      </c>
      <c r="B284" s="109">
        <v>35797</v>
      </c>
      <c r="C284" s="112">
        <v>58.656199999999998</v>
      </c>
      <c r="D284" s="112"/>
      <c r="E284" s="112">
        <f t="shared" si="28"/>
        <v>54.751395936953244</v>
      </c>
      <c r="F284" s="112">
        <f t="shared" si="29"/>
        <v>5.5330473988810143</v>
      </c>
      <c r="G284" s="112">
        <f t="shared" si="30"/>
        <v>60.284443335834261</v>
      </c>
      <c r="H284" s="112">
        <f t="shared" si="31"/>
        <v>49.218348538072227</v>
      </c>
      <c r="I284" s="28"/>
      <c r="J284" s="28"/>
      <c r="K284" s="54"/>
    </row>
    <row r="285" spans="1:11">
      <c r="A285" s="103">
        <v>278</v>
      </c>
      <c r="B285" s="109">
        <v>35800</v>
      </c>
      <c r="C285" s="112">
        <v>58.906199999999998</v>
      </c>
      <c r="D285" s="112"/>
      <c r="E285" s="112">
        <f t="shared" si="28"/>
        <v>54.816859335593136</v>
      </c>
      <c r="F285" s="112">
        <f t="shared" si="29"/>
        <v>5.5330473988810143</v>
      </c>
      <c r="G285" s="112">
        <f t="shared" si="30"/>
        <v>60.349906734474153</v>
      </c>
      <c r="H285" s="112">
        <f t="shared" si="31"/>
        <v>49.283811936712119</v>
      </c>
      <c r="I285" s="28"/>
      <c r="J285" s="28"/>
      <c r="K285" s="54"/>
    </row>
    <row r="286" spans="1:11">
      <c r="A286" s="71">
        <v>279</v>
      </c>
      <c r="B286" s="110">
        <v>35801</v>
      </c>
      <c r="C286" s="111">
        <v>58.906199999999998</v>
      </c>
      <c r="D286" s="111"/>
      <c r="E286" s="111">
        <f t="shared" si="28"/>
        <v>54.882322734233028</v>
      </c>
      <c r="F286" s="111">
        <f t="shared" si="29"/>
        <v>5.5330473988810143</v>
      </c>
      <c r="G286" s="111">
        <f t="shared" si="30"/>
        <v>60.415370133114045</v>
      </c>
      <c r="H286" s="111">
        <f t="shared" si="31"/>
        <v>49.349275335352011</v>
      </c>
      <c r="I286" s="29"/>
      <c r="J286" s="29"/>
      <c r="K286" s="57"/>
    </row>
    <row r="287" spans="1:11">
      <c r="A287" s="71">
        <v>280</v>
      </c>
      <c r="B287" s="110">
        <v>35802</v>
      </c>
      <c r="C287" s="111">
        <v>60.25</v>
      </c>
      <c r="D287" s="111"/>
      <c r="E287" s="111">
        <f t="shared" si="28"/>
        <v>54.947786132872935</v>
      </c>
      <c r="F287" s="111">
        <f t="shared" si="29"/>
        <v>5.5330473988810143</v>
      </c>
      <c r="G287" s="111">
        <f t="shared" si="30"/>
        <v>60.480833531753952</v>
      </c>
      <c r="H287" s="111">
        <f t="shared" si="31"/>
        <v>49.414738733991918</v>
      </c>
      <c r="I287" s="29"/>
      <c r="J287" s="29"/>
      <c r="K287" s="57"/>
    </row>
    <row r="288" spans="1:11">
      <c r="A288" s="103">
        <v>281</v>
      </c>
      <c r="B288" s="109">
        <v>35803</v>
      </c>
      <c r="C288" s="112">
        <v>58.5</v>
      </c>
      <c r="D288" s="112"/>
      <c r="E288" s="112">
        <f t="shared" si="28"/>
        <v>55.013249531512827</v>
      </c>
      <c r="F288" s="112">
        <f t="shared" si="29"/>
        <v>5.5330473988810143</v>
      </c>
      <c r="G288" s="112">
        <f t="shared" si="30"/>
        <v>60.546296930393844</v>
      </c>
      <c r="H288" s="112">
        <f t="shared" si="31"/>
        <v>49.48020213263181</v>
      </c>
      <c r="I288" s="28"/>
      <c r="J288" s="28"/>
      <c r="K288" s="54"/>
    </row>
    <row r="289" spans="1:11">
      <c r="A289" s="103">
        <v>282</v>
      </c>
      <c r="B289" s="109">
        <v>35804</v>
      </c>
      <c r="C289" s="112">
        <v>57.218800000000002</v>
      </c>
      <c r="D289" s="112"/>
      <c r="E289" s="112">
        <f t="shared" si="28"/>
        <v>55.078712930152719</v>
      </c>
      <c r="F289" s="112">
        <f t="shared" si="29"/>
        <v>5.5330473988810143</v>
      </c>
      <c r="G289" s="112">
        <f t="shared" si="30"/>
        <v>60.611760329033736</v>
      </c>
      <c r="H289" s="112">
        <f t="shared" si="31"/>
        <v>49.545665531271702</v>
      </c>
      <c r="I289" s="28"/>
      <c r="J289" s="28"/>
      <c r="K289" s="54"/>
    </row>
    <row r="290" spans="1:11">
      <c r="A290" s="104">
        <v>283</v>
      </c>
      <c r="B290" s="110">
        <v>35807</v>
      </c>
      <c r="C290" s="111">
        <v>59.156199999999998</v>
      </c>
      <c r="D290" s="111"/>
      <c r="E290" s="111">
        <f t="shared" ref="E290:E305" si="32">TREND(C$17:C$401,A$17:A$401,A290)</f>
        <v>55.144176328792618</v>
      </c>
      <c r="F290" s="111">
        <f t="shared" si="29"/>
        <v>5.5330473988810143</v>
      </c>
      <c r="G290" s="111">
        <f t="shared" si="30"/>
        <v>60.677223727673635</v>
      </c>
      <c r="H290" s="111">
        <f t="shared" si="31"/>
        <v>49.611128929911601</v>
      </c>
      <c r="I290" s="29"/>
      <c r="J290" s="29"/>
      <c r="K290" s="57"/>
    </row>
    <row r="291" spans="1:11">
      <c r="A291" s="104">
        <v>284</v>
      </c>
      <c r="B291" s="110">
        <v>35808</v>
      </c>
      <c r="C291" s="111">
        <v>59.0625</v>
      </c>
      <c r="D291" s="111"/>
      <c r="E291" s="111">
        <f t="shared" si="32"/>
        <v>55.209639727432517</v>
      </c>
      <c r="F291" s="111">
        <f t="shared" si="29"/>
        <v>5.5330473988810143</v>
      </c>
      <c r="G291" s="111">
        <f t="shared" si="30"/>
        <v>60.742687126313534</v>
      </c>
      <c r="H291" s="111">
        <f t="shared" si="31"/>
        <v>49.6765923285515</v>
      </c>
      <c r="I291" s="29"/>
      <c r="J291" s="29"/>
      <c r="K291" s="57"/>
    </row>
    <row r="292" spans="1:11">
      <c r="A292" s="103">
        <v>285</v>
      </c>
      <c r="B292" s="109">
        <v>35809</v>
      </c>
      <c r="C292" s="112">
        <v>58</v>
      </c>
      <c r="D292" s="112"/>
      <c r="E292" s="112">
        <f t="shared" si="32"/>
        <v>55.275103126072409</v>
      </c>
      <c r="F292" s="112">
        <f t="shared" si="29"/>
        <v>5.5330473988810143</v>
      </c>
      <c r="G292" s="112">
        <f t="shared" si="30"/>
        <v>60.808150524953426</v>
      </c>
      <c r="H292" s="112">
        <f t="shared" si="31"/>
        <v>49.742055727191392</v>
      </c>
      <c r="I292" s="28"/>
      <c r="J292" s="28"/>
      <c r="K292" s="54"/>
    </row>
    <row r="293" spans="1:11">
      <c r="A293" s="103">
        <v>286</v>
      </c>
      <c r="B293" s="109">
        <v>35810</v>
      </c>
      <c r="C293" s="112">
        <v>57.718800000000002</v>
      </c>
      <c r="D293" s="112"/>
      <c r="E293" s="112">
        <f t="shared" si="32"/>
        <v>55.340566524712308</v>
      </c>
      <c r="F293" s="112">
        <f t="shared" si="29"/>
        <v>5.5330473988810143</v>
      </c>
      <c r="G293" s="112">
        <f t="shared" si="30"/>
        <v>60.873613923593325</v>
      </c>
      <c r="H293" s="112">
        <f t="shared" si="31"/>
        <v>49.807519125831291</v>
      </c>
      <c r="I293" s="28"/>
      <c r="J293" s="28"/>
      <c r="K293" s="54"/>
    </row>
    <row r="294" spans="1:11">
      <c r="A294" s="104">
        <v>287</v>
      </c>
      <c r="B294" s="110">
        <v>35811</v>
      </c>
      <c r="C294" s="111">
        <v>58.75</v>
      </c>
      <c r="D294" s="111"/>
      <c r="E294" s="111">
        <f t="shared" si="32"/>
        <v>55.406029923352207</v>
      </c>
      <c r="F294" s="111">
        <f t="shared" si="29"/>
        <v>5.5330473988810143</v>
      </c>
      <c r="G294" s="111">
        <f t="shared" si="30"/>
        <v>60.939077322233224</v>
      </c>
      <c r="H294" s="111">
        <f t="shared" si="31"/>
        <v>49.87298252447119</v>
      </c>
      <c r="I294" s="29"/>
      <c r="J294" s="29"/>
      <c r="K294" s="57"/>
    </row>
    <row r="295" spans="1:11">
      <c r="A295" s="104">
        <v>288</v>
      </c>
      <c r="B295" s="110">
        <v>35815</v>
      </c>
      <c r="C295" s="111">
        <v>60.281199999999998</v>
      </c>
      <c r="D295" s="111"/>
      <c r="E295" s="111">
        <f t="shared" si="32"/>
        <v>55.471493321992099</v>
      </c>
      <c r="F295" s="111">
        <f t="shared" si="29"/>
        <v>5.5330473988810143</v>
      </c>
      <c r="G295" s="111">
        <f t="shared" si="30"/>
        <v>61.004540720873116</v>
      </c>
      <c r="H295" s="111">
        <f t="shared" si="31"/>
        <v>49.938445923111082</v>
      </c>
      <c r="I295" s="29"/>
      <c r="J295" s="29"/>
      <c r="K295" s="57"/>
    </row>
    <row r="296" spans="1:11">
      <c r="A296" s="103">
        <v>289</v>
      </c>
      <c r="B296" s="109">
        <v>35816</v>
      </c>
      <c r="C296" s="112">
        <v>59</v>
      </c>
      <c r="D296" s="112"/>
      <c r="E296" s="112">
        <f t="shared" si="32"/>
        <v>55.536956720631991</v>
      </c>
      <c r="F296" s="112">
        <f t="shared" si="29"/>
        <v>5.5330473988810143</v>
      </c>
      <c r="G296" s="112">
        <f t="shared" si="30"/>
        <v>61.070004119513008</v>
      </c>
      <c r="H296" s="112">
        <f t="shared" si="31"/>
        <v>50.003909321750974</v>
      </c>
      <c r="I296" s="28"/>
      <c r="J296" s="28"/>
      <c r="K296" s="54"/>
    </row>
    <row r="297" spans="1:11">
      <c r="A297" s="103">
        <v>290</v>
      </c>
      <c r="B297" s="109">
        <v>35817</v>
      </c>
      <c r="C297" s="112">
        <v>58.625</v>
      </c>
      <c r="D297" s="166"/>
      <c r="E297" s="112">
        <f t="shared" si="32"/>
        <v>55.602420119271898</v>
      </c>
      <c r="F297" s="112">
        <f t="shared" si="29"/>
        <v>5.5330473988810143</v>
      </c>
      <c r="G297" s="112">
        <f t="shared" si="30"/>
        <v>61.135467518152915</v>
      </c>
      <c r="H297" s="112">
        <f t="shared" si="31"/>
        <v>50.069372720390881</v>
      </c>
      <c r="I297" s="28"/>
      <c r="J297" s="28"/>
      <c r="K297" s="54"/>
    </row>
    <row r="298" spans="1:11">
      <c r="A298" s="104">
        <v>291</v>
      </c>
      <c r="B298" s="110">
        <v>35818</v>
      </c>
      <c r="C298" s="111">
        <v>57</v>
      </c>
      <c r="D298" s="111"/>
      <c r="E298" s="111">
        <f t="shared" si="32"/>
        <v>55.66788351791179</v>
      </c>
      <c r="F298" s="111">
        <f t="shared" si="29"/>
        <v>5.5330473988810143</v>
      </c>
      <c r="G298" s="111">
        <f t="shared" si="30"/>
        <v>61.200930916792807</v>
      </c>
      <c r="H298" s="111">
        <f t="shared" si="31"/>
        <v>50.134836119030773</v>
      </c>
      <c r="I298" s="29"/>
      <c r="J298" s="29"/>
      <c r="K298" s="57"/>
    </row>
    <row r="299" spans="1:11">
      <c r="A299" s="104">
        <v>292</v>
      </c>
      <c r="B299" s="110">
        <v>35821</v>
      </c>
      <c r="C299" s="111">
        <v>56.156199999999998</v>
      </c>
      <c r="D299" s="111"/>
      <c r="E299" s="111">
        <f t="shared" si="32"/>
        <v>55.733346916551682</v>
      </c>
      <c r="F299" s="111">
        <f t="shared" si="29"/>
        <v>5.5330473988810143</v>
      </c>
      <c r="G299" s="111">
        <f t="shared" si="30"/>
        <v>61.266394315432699</v>
      </c>
      <c r="H299" s="111">
        <f t="shared" si="31"/>
        <v>50.200299517670665</v>
      </c>
      <c r="I299" s="29"/>
      <c r="J299" s="29"/>
      <c r="K299" s="57"/>
    </row>
    <row r="300" spans="1:11">
      <c r="A300" s="103">
        <v>293</v>
      </c>
      <c r="B300" s="109">
        <v>35822</v>
      </c>
      <c r="C300" s="112">
        <v>55.0625</v>
      </c>
      <c r="D300" s="112"/>
      <c r="E300" s="112">
        <f t="shared" si="32"/>
        <v>55.798810315191581</v>
      </c>
      <c r="F300" s="112">
        <f t="shared" si="29"/>
        <v>5.5330473988810143</v>
      </c>
      <c r="G300" s="112">
        <f t="shared" si="30"/>
        <v>61.331857714072598</v>
      </c>
      <c r="H300" s="112">
        <f t="shared" si="31"/>
        <v>50.265762916310564</v>
      </c>
      <c r="I300" s="28"/>
      <c r="J300" s="28"/>
      <c r="K300" s="54"/>
    </row>
    <row r="301" spans="1:11">
      <c r="A301" s="103">
        <v>294</v>
      </c>
      <c r="B301" s="109">
        <v>35823</v>
      </c>
      <c r="C301" s="112">
        <v>57.1875</v>
      </c>
      <c r="D301" s="112"/>
      <c r="E301" s="112">
        <f t="shared" si="32"/>
        <v>55.86427371383148</v>
      </c>
      <c r="F301" s="112">
        <f t="shared" si="29"/>
        <v>5.5330473988810143</v>
      </c>
      <c r="G301" s="112">
        <f t="shared" si="30"/>
        <v>61.397321112712497</v>
      </c>
      <c r="H301" s="112">
        <f t="shared" si="31"/>
        <v>50.331226314950463</v>
      </c>
      <c r="I301" s="28"/>
      <c r="J301" s="28"/>
      <c r="K301" s="54"/>
    </row>
    <row r="302" spans="1:11">
      <c r="A302" s="104">
        <v>295</v>
      </c>
      <c r="B302" s="110">
        <v>35824</v>
      </c>
      <c r="C302" s="111">
        <v>58.281199999999998</v>
      </c>
      <c r="D302" s="111"/>
      <c r="E302" s="111">
        <f t="shared" si="32"/>
        <v>55.929737112471372</v>
      </c>
      <c r="F302" s="111">
        <f t="shared" si="29"/>
        <v>5.5330473988810143</v>
      </c>
      <c r="G302" s="111">
        <f t="shared" si="30"/>
        <v>61.462784511352389</v>
      </c>
      <c r="H302" s="111">
        <f t="shared" si="31"/>
        <v>50.396689713590355</v>
      </c>
      <c r="I302" s="29"/>
      <c r="J302" s="29"/>
      <c r="K302" s="57"/>
    </row>
    <row r="303" spans="1:11">
      <c r="A303" s="104">
        <v>296</v>
      </c>
      <c r="B303" s="110">
        <v>35825</v>
      </c>
      <c r="C303" s="111">
        <v>57.0625</v>
      </c>
      <c r="D303" s="111"/>
      <c r="E303" s="111">
        <f t="shared" si="32"/>
        <v>55.995200511111271</v>
      </c>
      <c r="F303" s="111">
        <f t="shared" si="29"/>
        <v>5.5330473988810143</v>
      </c>
      <c r="G303" s="111">
        <f t="shared" si="30"/>
        <v>61.528247909992288</v>
      </c>
      <c r="H303" s="111">
        <f t="shared" si="31"/>
        <v>50.462153112230254</v>
      </c>
      <c r="I303" s="29"/>
      <c r="J303" s="29"/>
      <c r="K303" s="57"/>
    </row>
    <row r="304" spans="1:11">
      <c r="A304" s="103">
        <v>297</v>
      </c>
      <c r="B304" s="109">
        <v>35828</v>
      </c>
      <c r="C304" s="112">
        <v>57.1875</v>
      </c>
      <c r="D304" s="112"/>
      <c r="E304" s="112">
        <f t="shared" si="32"/>
        <v>56.06066390975117</v>
      </c>
      <c r="F304" s="112">
        <f t="shared" si="29"/>
        <v>5.5330473988810143</v>
      </c>
      <c r="G304" s="112">
        <f t="shared" si="30"/>
        <v>61.593711308632187</v>
      </c>
      <c r="H304" s="112">
        <f t="shared" si="31"/>
        <v>50.527616510870153</v>
      </c>
      <c r="I304" s="28"/>
      <c r="J304" s="28"/>
      <c r="K304" s="54"/>
    </row>
    <row r="305" spans="1:11">
      <c r="A305" s="103">
        <v>298</v>
      </c>
      <c r="B305" s="109">
        <v>35829</v>
      </c>
      <c r="C305" s="112">
        <v>56.968800000000002</v>
      </c>
      <c r="D305" s="112"/>
      <c r="E305" s="112">
        <f t="shared" si="32"/>
        <v>56.126127308391062</v>
      </c>
      <c r="F305" s="112">
        <f t="shared" si="29"/>
        <v>5.5330473988810143</v>
      </c>
      <c r="G305" s="112">
        <f t="shared" si="30"/>
        <v>61.659174707272079</v>
      </c>
      <c r="H305" s="112">
        <f t="shared" si="31"/>
        <v>50.593079909510045</v>
      </c>
      <c r="I305" s="28"/>
      <c r="J305" s="28"/>
      <c r="K305" s="54"/>
    </row>
    <row r="306" spans="1:11">
      <c r="A306" s="104">
        <v>299</v>
      </c>
      <c r="B306" s="110">
        <v>35830</v>
      </c>
      <c r="C306" s="111">
        <v>56.125</v>
      </c>
      <c r="D306" s="111"/>
      <c r="E306" s="111">
        <f t="shared" ref="E306:E321" si="33">TREND(C$17:C$401,A$17:A$401,A306)</f>
        <v>56.191590707030954</v>
      </c>
      <c r="F306" s="111">
        <f t="shared" si="29"/>
        <v>5.5330473988810143</v>
      </c>
      <c r="G306" s="111">
        <f t="shared" si="30"/>
        <v>61.724638105911971</v>
      </c>
      <c r="H306" s="111">
        <f t="shared" si="31"/>
        <v>50.658543308149937</v>
      </c>
      <c r="I306" s="29"/>
      <c r="J306" s="29"/>
      <c r="K306" s="57"/>
    </row>
    <row r="307" spans="1:11">
      <c r="A307" s="104">
        <v>300</v>
      </c>
      <c r="B307" s="110">
        <v>35831</v>
      </c>
      <c r="C307" s="111">
        <v>56.781199999999998</v>
      </c>
      <c r="D307" s="111"/>
      <c r="E307" s="111">
        <f t="shared" si="33"/>
        <v>56.257054105670861</v>
      </c>
      <c r="F307" s="111">
        <f t="shared" si="29"/>
        <v>5.5330473988810143</v>
      </c>
      <c r="G307" s="111">
        <f t="shared" si="30"/>
        <v>61.790101504551878</v>
      </c>
      <c r="H307" s="111">
        <f t="shared" si="31"/>
        <v>50.724006706789844</v>
      </c>
      <c r="I307" s="29"/>
      <c r="J307" s="29"/>
      <c r="K307" s="57"/>
    </row>
    <row r="308" spans="1:11">
      <c r="A308" s="103">
        <v>301</v>
      </c>
      <c r="B308" s="109">
        <v>35832</v>
      </c>
      <c r="C308" s="112">
        <v>58.531199999999998</v>
      </c>
      <c r="D308" s="112"/>
      <c r="E308" s="112">
        <f t="shared" si="33"/>
        <v>56.322517504310753</v>
      </c>
      <c r="F308" s="112">
        <f t="shared" si="29"/>
        <v>5.5330473988810143</v>
      </c>
      <c r="G308" s="112">
        <f t="shared" si="30"/>
        <v>61.85556490319177</v>
      </c>
      <c r="H308" s="112">
        <f t="shared" si="31"/>
        <v>50.789470105429736</v>
      </c>
      <c r="I308" s="28"/>
      <c r="J308" s="28"/>
      <c r="K308" s="54"/>
    </row>
    <row r="309" spans="1:11">
      <c r="A309" s="103">
        <v>302</v>
      </c>
      <c r="B309" s="109">
        <v>35835</v>
      </c>
      <c r="C309" s="112">
        <v>59.375</v>
      </c>
      <c r="D309" s="112"/>
      <c r="E309" s="112">
        <f t="shared" si="33"/>
        <v>56.387980902950645</v>
      </c>
      <c r="F309" s="112">
        <f t="shared" si="29"/>
        <v>5.5330473988810143</v>
      </c>
      <c r="G309" s="112">
        <f t="shared" si="30"/>
        <v>61.921028301831662</v>
      </c>
      <c r="H309" s="112">
        <f t="shared" si="31"/>
        <v>50.854933504069628</v>
      </c>
      <c r="I309" s="28"/>
      <c r="J309" s="28"/>
      <c r="K309" s="54"/>
    </row>
    <row r="310" spans="1:11">
      <c r="A310" s="104">
        <v>303</v>
      </c>
      <c r="B310" s="110">
        <v>35836</v>
      </c>
      <c r="C310" s="111">
        <v>60</v>
      </c>
      <c r="D310" s="111"/>
      <c r="E310" s="111">
        <f t="shared" si="33"/>
        <v>56.453444301590544</v>
      </c>
      <c r="F310" s="111">
        <f t="shared" si="29"/>
        <v>5.5330473988810143</v>
      </c>
      <c r="G310" s="111">
        <f t="shared" si="30"/>
        <v>61.986491700471561</v>
      </c>
      <c r="H310" s="111">
        <f t="shared" si="31"/>
        <v>50.920396902709527</v>
      </c>
      <c r="I310" s="29"/>
      <c r="J310" s="29"/>
      <c r="K310" s="57"/>
    </row>
    <row r="311" spans="1:11">
      <c r="A311" s="104">
        <v>304</v>
      </c>
      <c r="B311" s="110">
        <v>35837</v>
      </c>
      <c r="C311" s="111">
        <v>59.968800000000002</v>
      </c>
      <c r="D311" s="111"/>
      <c r="E311" s="111">
        <f t="shared" si="33"/>
        <v>56.518907700230443</v>
      </c>
      <c r="F311" s="111">
        <f t="shared" si="29"/>
        <v>5.5330473988810143</v>
      </c>
      <c r="G311" s="111">
        <f t="shared" si="30"/>
        <v>62.05195509911146</v>
      </c>
      <c r="H311" s="111">
        <f t="shared" si="31"/>
        <v>50.985860301349426</v>
      </c>
      <c r="I311" s="29"/>
      <c r="J311" s="29"/>
      <c r="K311" s="57"/>
    </row>
    <row r="312" spans="1:11">
      <c r="A312" s="103">
        <v>305</v>
      </c>
      <c r="B312" s="109">
        <v>35838</v>
      </c>
      <c r="C312" s="112">
        <v>61.5625</v>
      </c>
      <c r="D312" s="112"/>
      <c r="E312" s="112">
        <f t="shared" si="33"/>
        <v>56.584371098870335</v>
      </c>
      <c r="F312" s="112">
        <f t="shared" si="29"/>
        <v>5.5330473988810143</v>
      </c>
      <c r="G312" s="112">
        <f t="shared" si="30"/>
        <v>62.117418497751352</v>
      </c>
      <c r="H312" s="112">
        <f t="shared" si="31"/>
        <v>51.051323699989318</v>
      </c>
      <c r="I312" s="28"/>
      <c r="J312" s="28"/>
      <c r="K312" s="54"/>
    </row>
    <row r="313" spans="1:11">
      <c r="A313" s="103">
        <v>306</v>
      </c>
      <c r="B313" s="109">
        <v>35839</v>
      </c>
      <c r="C313" s="112">
        <v>59.5</v>
      </c>
      <c r="D313" s="112"/>
      <c r="E313" s="112">
        <f t="shared" si="33"/>
        <v>56.649834497510234</v>
      </c>
      <c r="F313" s="112">
        <f t="shared" si="29"/>
        <v>5.5330473988810143</v>
      </c>
      <c r="G313" s="112">
        <f t="shared" si="30"/>
        <v>62.182881896391251</v>
      </c>
      <c r="H313" s="112">
        <f t="shared" si="31"/>
        <v>51.116787098629217</v>
      </c>
      <c r="I313" s="28"/>
      <c r="J313" s="28"/>
      <c r="K313" s="54"/>
    </row>
    <row r="314" spans="1:11">
      <c r="A314" s="104">
        <v>307</v>
      </c>
      <c r="B314" s="110">
        <v>35843</v>
      </c>
      <c r="C314" s="111">
        <v>60.625</v>
      </c>
      <c r="D314" s="111"/>
      <c r="E314" s="111">
        <f t="shared" si="33"/>
        <v>56.715297896150133</v>
      </c>
      <c r="F314" s="111">
        <f t="shared" si="29"/>
        <v>5.5330473988810143</v>
      </c>
      <c r="G314" s="111">
        <f t="shared" si="30"/>
        <v>62.24834529503115</v>
      </c>
      <c r="H314" s="111">
        <f t="shared" si="31"/>
        <v>51.182250497269116</v>
      </c>
      <c r="I314" s="29"/>
      <c r="J314" s="29"/>
      <c r="K314" s="57"/>
    </row>
    <row r="315" spans="1:11">
      <c r="A315" s="104">
        <v>308</v>
      </c>
      <c r="B315" s="110">
        <v>35844</v>
      </c>
      <c r="C315" s="111">
        <v>59.5</v>
      </c>
      <c r="D315" s="111"/>
      <c r="E315" s="111">
        <f t="shared" si="33"/>
        <v>56.780761294790025</v>
      </c>
      <c r="F315" s="111">
        <f t="shared" si="29"/>
        <v>5.5330473988810143</v>
      </c>
      <c r="G315" s="111">
        <f t="shared" si="30"/>
        <v>62.313808693671042</v>
      </c>
      <c r="H315" s="111">
        <f t="shared" si="31"/>
        <v>51.247713895909008</v>
      </c>
      <c r="I315" s="29"/>
      <c r="J315" s="29"/>
      <c r="K315" s="57"/>
    </row>
    <row r="316" spans="1:11">
      <c r="A316" s="103">
        <v>309</v>
      </c>
      <c r="B316" s="109">
        <v>35845</v>
      </c>
      <c r="C316" s="112">
        <v>59.156199999999998</v>
      </c>
      <c r="D316" s="112"/>
      <c r="E316" s="112">
        <f t="shared" si="33"/>
        <v>56.846224693429917</v>
      </c>
      <c r="F316" s="112">
        <f t="shared" si="29"/>
        <v>5.5330473988810143</v>
      </c>
      <c r="G316" s="112">
        <f t="shared" si="30"/>
        <v>62.379272092310934</v>
      </c>
      <c r="H316" s="112">
        <f t="shared" si="31"/>
        <v>51.3131772945489</v>
      </c>
      <c r="I316" s="28"/>
      <c r="J316" s="28"/>
      <c r="K316" s="54"/>
    </row>
    <row r="317" spans="1:11">
      <c r="A317" s="103">
        <v>310</v>
      </c>
      <c r="B317" s="109">
        <v>35846</v>
      </c>
      <c r="C317" s="112">
        <v>57.593800000000002</v>
      </c>
      <c r="D317" s="112"/>
      <c r="E317" s="112">
        <f t="shared" si="33"/>
        <v>56.911688092069824</v>
      </c>
      <c r="F317" s="112">
        <f t="shared" si="29"/>
        <v>5.5330473988810143</v>
      </c>
      <c r="G317" s="112">
        <f t="shared" si="30"/>
        <v>62.444735490950841</v>
      </c>
      <c r="H317" s="112">
        <f t="shared" si="31"/>
        <v>51.378640693188807</v>
      </c>
      <c r="I317" s="28"/>
      <c r="J317" s="28"/>
      <c r="K317" s="54"/>
    </row>
    <row r="318" spans="1:11">
      <c r="A318" s="104">
        <v>311</v>
      </c>
      <c r="B318" s="110">
        <v>35849</v>
      </c>
      <c r="C318" s="111">
        <v>58.375</v>
      </c>
      <c r="D318" s="111"/>
      <c r="E318" s="111">
        <f t="shared" si="33"/>
        <v>56.977151490709716</v>
      </c>
      <c r="F318" s="111">
        <f t="shared" si="29"/>
        <v>5.5330473988810143</v>
      </c>
      <c r="G318" s="111">
        <f t="shared" si="30"/>
        <v>62.510198889590733</v>
      </c>
      <c r="H318" s="111">
        <f t="shared" si="31"/>
        <v>51.444104091828699</v>
      </c>
      <c r="I318" s="29"/>
      <c r="J318" s="29"/>
      <c r="K318" s="57"/>
    </row>
    <row r="319" spans="1:11">
      <c r="A319" s="104">
        <v>312</v>
      </c>
      <c r="B319" s="110">
        <v>35850</v>
      </c>
      <c r="C319" s="111">
        <v>56.875</v>
      </c>
      <c r="D319" s="111"/>
      <c r="E319" s="111">
        <f t="shared" si="33"/>
        <v>57.042614889349608</v>
      </c>
      <c r="F319" s="111">
        <f t="shared" si="29"/>
        <v>5.5330473988810143</v>
      </c>
      <c r="G319" s="111">
        <f t="shared" si="30"/>
        <v>62.575662288230625</v>
      </c>
      <c r="H319" s="111">
        <f t="shared" si="31"/>
        <v>51.509567490468591</v>
      </c>
      <c r="I319" s="29"/>
      <c r="J319" s="29"/>
      <c r="K319" s="57"/>
    </row>
    <row r="320" spans="1:11">
      <c r="A320" s="103">
        <v>313</v>
      </c>
      <c r="B320" s="109">
        <v>35851</v>
      </c>
      <c r="C320" s="112">
        <v>58.343800000000002</v>
      </c>
      <c r="D320" s="112"/>
      <c r="E320" s="112">
        <f t="shared" si="33"/>
        <v>57.108078287989507</v>
      </c>
      <c r="F320" s="112">
        <f t="shared" si="29"/>
        <v>5.5330473988810143</v>
      </c>
      <c r="G320" s="112">
        <f t="shared" si="30"/>
        <v>62.641125686870524</v>
      </c>
      <c r="H320" s="112">
        <f t="shared" si="31"/>
        <v>51.57503088910849</v>
      </c>
      <c r="I320" s="28"/>
      <c r="J320" s="28"/>
      <c r="K320" s="54"/>
    </row>
    <row r="321" spans="1:11">
      <c r="A321" s="103">
        <v>314</v>
      </c>
      <c r="B321" s="109">
        <v>35852</v>
      </c>
      <c r="C321" s="112">
        <v>57.781199999999998</v>
      </c>
      <c r="D321" s="112"/>
      <c r="E321" s="112">
        <f t="shared" si="33"/>
        <v>57.173541686629406</v>
      </c>
      <c r="F321" s="112">
        <f t="shared" si="29"/>
        <v>5.5330473988810143</v>
      </c>
      <c r="G321" s="112">
        <f t="shared" si="30"/>
        <v>62.706589085510423</v>
      </c>
      <c r="H321" s="112">
        <f t="shared" si="31"/>
        <v>51.640494287748389</v>
      </c>
      <c r="I321" s="28"/>
      <c r="J321" s="28"/>
      <c r="K321" s="54"/>
    </row>
    <row r="322" spans="1:11">
      <c r="A322" s="104">
        <v>315</v>
      </c>
      <c r="B322" s="110">
        <v>35853</v>
      </c>
      <c r="C322" s="111">
        <v>56.531199999999998</v>
      </c>
      <c r="D322" s="111"/>
      <c r="E322" s="111">
        <f t="shared" ref="E322:E337" si="34">TREND(C$17:C$401,A$17:A$401,A322)</f>
        <v>57.239005085269298</v>
      </c>
      <c r="F322" s="111">
        <f t="shared" si="29"/>
        <v>5.5330473988810143</v>
      </c>
      <c r="G322" s="111">
        <f t="shared" si="30"/>
        <v>62.772052484150315</v>
      </c>
      <c r="H322" s="111">
        <f t="shared" si="31"/>
        <v>51.705957686388281</v>
      </c>
      <c r="I322" s="29"/>
      <c r="J322" s="29"/>
      <c r="K322" s="57"/>
    </row>
    <row r="323" spans="1:11">
      <c r="A323" s="104">
        <v>316</v>
      </c>
      <c r="B323" s="110">
        <v>35856</v>
      </c>
      <c r="C323" s="111">
        <v>56.593800000000002</v>
      </c>
      <c r="D323" s="111"/>
      <c r="E323" s="111">
        <f t="shared" si="34"/>
        <v>57.304468483909197</v>
      </c>
      <c r="F323" s="111">
        <f t="shared" si="29"/>
        <v>5.5330473988810143</v>
      </c>
      <c r="G323" s="111">
        <f t="shared" si="30"/>
        <v>62.837515882790214</v>
      </c>
      <c r="H323" s="111">
        <f t="shared" si="31"/>
        <v>51.77142108502818</v>
      </c>
      <c r="I323" s="29"/>
      <c r="J323" s="29"/>
      <c r="K323" s="57"/>
    </row>
    <row r="324" spans="1:11">
      <c r="A324" s="103">
        <v>317</v>
      </c>
      <c r="B324" s="109">
        <v>35857</v>
      </c>
      <c r="C324" s="112">
        <v>58.1875</v>
      </c>
      <c r="D324" s="112"/>
      <c r="E324" s="112">
        <f t="shared" si="34"/>
        <v>57.369931882549096</v>
      </c>
      <c r="F324" s="112">
        <f t="shared" si="29"/>
        <v>5.5330473988810143</v>
      </c>
      <c r="G324" s="112">
        <f t="shared" si="30"/>
        <v>62.902979281430113</v>
      </c>
      <c r="H324" s="112">
        <f t="shared" si="31"/>
        <v>51.836884483668079</v>
      </c>
      <c r="I324" s="28"/>
      <c r="J324" s="28"/>
      <c r="K324" s="54"/>
    </row>
    <row r="325" spans="1:11">
      <c r="A325" s="103">
        <v>318</v>
      </c>
      <c r="B325" s="109">
        <v>35858</v>
      </c>
      <c r="C325" s="112">
        <v>58.843800000000002</v>
      </c>
      <c r="D325" s="112"/>
      <c r="E325" s="112">
        <f t="shared" si="34"/>
        <v>57.435395281188988</v>
      </c>
      <c r="F325" s="112">
        <f t="shared" si="29"/>
        <v>5.5330473988810143</v>
      </c>
      <c r="G325" s="112">
        <f t="shared" si="30"/>
        <v>62.968442680070005</v>
      </c>
      <c r="H325" s="112">
        <f t="shared" si="31"/>
        <v>51.902347882307971</v>
      </c>
      <c r="I325" s="28"/>
      <c r="J325" s="28"/>
      <c r="K325" s="54"/>
    </row>
    <row r="326" spans="1:11">
      <c r="A326" s="104">
        <v>319</v>
      </c>
      <c r="B326" s="110">
        <v>35859</v>
      </c>
      <c r="C326" s="111">
        <v>57.843800000000002</v>
      </c>
      <c r="D326" s="111"/>
      <c r="E326" s="111">
        <f t="shared" si="34"/>
        <v>57.50085867982888</v>
      </c>
      <c r="F326" s="111">
        <f t="shared" si="29"/>
        <v>5.5330473988810143</v>
      </c>
      <c r="G326" s="111">
        <f t="shared" si="30"/>
        <v>63.033906078709897</v>
      </c>
      <c r="H326" s="111">
        <f t="shared" si="31"/>
        <v>51.967811280947863</v>
      </c>
      <c r="I326" s="29"/>
      <c r="J326" s="29"/>
      <c r="K326" s="57"/>
    </row>
    <row r="327" spans="1:11">
      <c r="A327" s="104">
        <v>320</v>
      </c>
      <c r="B327" s="110">
        <v>35860</v>
      </c>
      <c r="C327" s="111">
        <v>59.5</v>
      </c>
      <c r="D327" s="111"/>
      <c r="E327" s="111">
        <f t="shared" si="34"/>
        <v>57.566322078468779</v>
      </c>
      <c r="F327" s="111">
        <f t="shared" si="29"/>
        <v>5.5330473988810143</v>
      </c>
      <c r="G327" s="111">
        <f t="shared" si="30"/>
        <v>63.099369477349796</v>
      </c>
      <c r="H327" s="111">
        <f t="shared" si="31"/>
        <v>52.033274679587763</v>
      </c>
      <c r="I327" s="29"/>
      <c r="J327" s="29"/>
      <c r="K327" s="57"/>
    </row>
    <row r="328" spans="1:11">
      <c r="A328" s="103">
        <v>321</v>
      </c>
      <c r="B328" s="109">
        <v>35863</v>
      </c>
      <c r="C328" s="112">
        <v>59.468800000000002</v>
      </c>
      <c r="D328" s="112"/>
      <c r="E328" s="112">
        <f t="shared" si="34"/>
        <v>57.631785477108679</v>
      </c>
      <c r="F328" s="112">
        <f t="shared" si="29"/>
        <v>5.5330473988810143</v>
      </c>
      <c r="G328" s="112">
        <f t="shared" si="30"/>
        <v>63.164832875989696</v>
      </c>
      <c r="H328" s="112">
        <f t="shared" si="31"/>
        <v>52.098738078227662</v>
      </c>
      <c r="I328" s="28"/>
      <c r="J328" s="28"/>
      <c r="K328" s="54"/>
    </row>
    <row r="329" spans="1:11">
      <c r="A329" s="103">
        <v>322</v>
      </c>
      <c r="B329" s="109">
        <v>35864</v>
      </c>
      <c r="C329" s="112">
        <v>59.1875</v>
      </c>
      <c r="D329" s="112"/>
      <c r="E329" s="112">
        <f t="shared" si="34"/>
        <v>57.697248875748571</v>
      </c>
      <c r="F329" s="112">
        <f t="shared" si="29"/>
        <v>5.5330473988810143</v>
      </c>
      <c r="G329" s="112">
        <f t="shared" si="30"/>
        <v>63.230296274629588</v>
      </c>
      <c r="H329" s="112">
        <f t="shared" si="31"/>
        <v>52.164201476867554</v>
      </c>
      <c r="I329" s="28"/>
      <c r="J329" s="28"/>
      <c r="K329" s="54"/>
    </row>
    <row r="330" spans="1:11">
      <c r="A330" s="104">
        <v>323</v>
      </c>
      <c r="B330" s="110">
        <v>35865</v>
      </c>
      <c r="C330" s="111">
        <v>59.5625</v>
      </c>
      <c r="D330" s="111"/>
      <c r="E330" s="111">
        <f t="shared" si="34"/>
        <v>57.76271227438847</v>
      </c>
      <c r="F330" s="111">
        <f t="shared" si="29"/>
        <v>5.5330473988810143</v>
      </c>
      <c r="G330" s="111">
        <f t="shared" si="30"/>
        <v>63.295759673269487</v>
      </c>
      <c r="H330" s="111">
        <f t="shared" si="31"/>
        <v>52.229664875507453</v>
      </c>
      <c r="I330" s="29"/>
      <c r="J330" s="29"/>
      <c r="K330" s="57"/>
    </row>
    <row r="331" spans="1:11">
      <c r="A331" s="104">
        <v>324</v>
      </c>
      <c r="B331" s="110">
        <v>35866</v>
      </c>
      <c r="C331" s="111">
        <v>60.468800000000002</v>
      </c>
      <c r="D331" s="111"/>
      <c r="E331" s="111">
        <f t="shared" si="34"/>
        <v>57.828175673028369</v>
      </c>
      <c r="F331" s="111">
        <f t="shared" si="29"/>
        <v>5.5330473988810143</v>
      </c>
      <c r="G331" s="111">
        <f t="shared" si="30"/>
        <v>63.361223071909386</v>
      </c>
      <c r="H331" s="111">
        <f t="shared" si="31"/>
        <v>52.295128274147352</v>
      </c>
      <c r="I331" s="29"/>
      <c r="J331" s="29"/>
      <c r="K331" s="57"/>
    </row>
    <row r="332" spans="1:11">
      <c r="A332" s="103">
        <v>325</v>
      </c>
      <c r="B332" s="109">
        <v>35867</v>
      </c>
      <c r="C332" s="112">
        <v>60.531199999999998</v>
      </c>
      <c r="D332" s="112"/>
      <c r="E332" s="112">
        <f t="shared" si="34"/>
        <v>57.893639071668261</v>
      </c>
      <c r="F332" s="112">
        <f t="shared" si="29"/>
        <v>5.5330473988810143</v>
      </c>
      <c r="G332" s="112">
        <f t="shared" si="30"/>
        <v>63.426686470549278</v>
      </c>
      <c r="H332" s="112">
        <f t="shared" si="31"/>
        <v>52.360591672787244</v>
      </c>
      <c r="I332" s="28"/>
      <c r="J332" s="28"/>
      <c r="K332" s="54"/>
    </row>
    <row r="333" spans="1:11">
      <c r="A333" s="103">
        <v>326</v>
      </c>
      <c r="B333" s="109">
        <v>35870</v>
      </c>
      <c r="C333" s="112">
        <v>61.5</v>
      </c>
      <c r="D333" s="112"/>
      <c r="E333" s="112">
        <f t="shared" si="34"/>
        <v>57.95910247030816</v>
      </c>
      <c r="F333" s="112">
        <f t="shared" si="29"/>
        <v>5.5330473988810143</v>
      </c>
      <c r="G333" s="112">
        <f t="shared" si="30"/>
        <v>63.492149869189177</v>
      </c>
      <c r="H333" s="112">
        <f t="shared" si="31"/>
        <v>52.426055071427143</v>
      </c>
      <c r="I333" s="28"/>
      <c r="J333" s="28"/>
      <c r="K333" s="54"/>
    </row>
    <row r="334" spans="1:11">
      <c r="A334" s="104">
        <v>327</v>
      </c>
      <c r="B334" s="110">
        <v>35871</v>
      </c>
      <c r="C334" s="111">
        <v>61.4375</v>
      </c>
      <c r="D334" s="111"/>
      <c r="E334" s="111">
        <f t="shared" si="34"/>
        <v>58.024565868948059</v>
      </c>
      <c r="F334" s="111">
        <f t="shared" si="29"/>
        <v>5.5330473988810143</v>
      </c>
      <c r="G334" s="111">
        <f t="shared" si="30"/>
        <v>63.557613267829076</v>
      </c>
      <c r="H334" s="111">
        <f t="shared" si="31"/>
        <v>52.491518470067042</v>
      </c>
      <c r="I334" s="29"/>
      <c r="J334" s="29"/>
      <c r="K334" s="57"/>
    </row>
    <row r="335" spans="1:11">
      <c r="A335" s="104">
        <v>328</v>
      </c>
      <c r="B335" s="110">
        <v>35872</v>
      </c>
      <c r="C335" s="111">
        <v>60.0625</v>
      </c>
      <c r="D335" s="111"/>
      <c r="E335" s="111">
        <f t="shared" si="34"/>
        <v>58.090029267587951</v>
      </c>
      <c r="F335" s="111">
        <f t="shared" si="29"/>
        <v>5.5330473988810143</v>
      </c>
      <c r="G335" s="111">
        <f t="shared" si="30"/>
        <v>63.623076666468968</v>
      </c>
      <c r="H335" s="111">
        <f t="shared" si="31"/>
        <v>52.556981868706934</v>
      </c>
      <c r="I335" s="29"/>
      <c r="J335" s="29"/>
      <c r="K335" s="57"/>
    </row>
    <row r="336" spans="1:11">
      <c r="A336" s="103">
        <v>329</v>
      </c>
      <c r="B336" s="109">
        <v>35873</v>
      </c>
      <c r="C336" s="112">
        <v>60.656199999999998</v>
      </c>
      <c r="D336" s="112"/>
      <c r="E336" s="112">
        <f t="shared" si="34"/>
        <v>58.155492666227843</v>
      </c>
      <c r="F336" s="112">
        <f t="shared" si="29"/>
        <v>5.5330473988810143</v>
      </c>
      <c r="G336" s="112">
        <f t="shared" si="30"/>
        <v>63.68854006510886</v>
      </c>
      <c r="H336" s="112">
        <f t="shared" si="31"/>
        <v>52.622445267346826</v>
      </c>
      <c r="I336" s="28"/>
      <c r="J336" s="28"/>
      <c r="K336" s="54"/>
    </row>
    <row r="337" spans="1:11">
      <c r="A337" s="103">
        <v>330</v>
      </c>
      <c r="B337" s="109">
        <v>35874</v>
      </c>
      <c r="C337" s="112">
        <v>59.218800000000002</v>
      </c>
      <c r="D337" s="112"/>
      <c r="E337" s="112">
        <f t="shared" si="34"/>
        <v>58.220956064867742</v>
      </c>
      <c r="F337" s="112">
        <f t="shared" si="29"/>
        <v>5.5330473988810143</v>
      </c>
      <c r="G337" s="112">
        <f t="shared" si="30"/>
        <v>63.754003463748759</v>
      </c>
      <c r="H337" s="112">
        <f t="shared" si="31"/>
        <v>52.687908665986726</v>
      </c>
      <c r="I337" s="28"/>
      <c r="J337" s="28"/>
      <c r="K337" s="54"/>
    </row>
    <row r="338" spans="1:11">
      <c r="A338" s="104">
        <v>331</v>
      </c>
      <c r="B338" s="110">
        <v>35877</v>
      </c>
      <c r="C338" s="111">
        <v>57.875</v>
      </c>
      <c r="D338" s="111"/>
      <c r="E338" s="111">
        <f t="shared" ref="E338:E353" si="35">TREND(C$17:C$401,A$17:A$401,A338)</f>
        <v>58.286419463507642</v>
      </c>
      <c r="F338" s="111">
        <f t="shared" ref="F338:F401" si="36">$D$6*2</f>
        <v>5.5330473988810143</v>
      </c>
      <c r="G338" s="111">
        <f t="shared" ref="G338:G401" si="37">E338+F338</f>
        <v>63.819466862388659</v>
      </c>
      <c r="H338" s="111">
        <f t="shared" ref="H338:H401" si="38">E338-F338</f>
        <v>52.753372064626625</v>
      </c>
      <c r="I338" s="29"/>
      <c r="J338" s="29"/>
      <c r="K338" s="57"/>
    </row>
    <row r="339" spans="1:11">
      <c r="A339" s="104">
        <v>332</v>
      </c>
      <c r="B339" s="110">
        <v>35878</v>
      </c>
      <c r="C339" s="111">
        <v>58.593800000000002</v>
      </c>
      <c r="D339" s="111"/>
      <c r="E339" s="111">
        <f t="shared" si="35"/>
        <v>58.351882862147534</v>
      </c>
      <c r="F339" s="111">
        <f t="shared" si="36"/>
        <v>5.5330473988810143</v>
      </c>
      <c r="G339" s="111">
        <f t="shared" si="37"/>
        <v>63.884930261028551</v>
      </c>
      <c r="H339" s="111">
        <f t="shared" si="38"/>
        <v>52.818835463266517</v>
      </c>
      <c r="I339" s="29"/>
      <c r="J339" s="29"/>
      <c r="K339" s="57"/>
    </row>
    <row r="340" spans="1:11">
      <c r="A340" s="103">
        <v>333</v>
      </c>
      <c r="B340" s="109">
        <v>35879</v>
      </c>
      <c r="C340" s="112">
        <v>59.781199999999998</v>
      </c>
      <c r="D340" s="112"/>
      <c r="E340" s="112">
        <f t="shared" si="35"/>
        <v>58.417346260787433</v>
      </c>
      <c r="F340" s="112">
        <f t="shared" si="36"/>
        <v>5.5330473988810143</v>
      </c>
      <c r="G340" s="112">
        <f t="shared" si="37"/>
        <v>63.95039365966845</v>
      </c>
      <c r="H340" s="112">
        <f t="shared" si="38"/>
        <v>52.884298861906416</v>
      </c>
      <c r="I340" s="28"/>
      <c r="J340" s="28"/>
      <c r="K340" s="54"/>
    </row>
    <row r="341" spans="1:11">
      <c r="A341" s="103">
        <v>334</v>
      </c>
      <c r="B341" s="109">
        <v>35880</v>
      </c>
      <c r="C341" s="112">
        <v>58.593800000000002</v>
      </c>
      <c r="D341" s="112"/>
      <c r="E341" s="112">
        <f t="shared" si="35"/>
        <v>58.482809659427332</v>
      </c>
      <c r="F341" s="112">
        <f t="shared" si="36"/>
        <v>5.5330473988810143</v>
      </c>
      <c r="G341" s="112">
        <f t="shared" si="37"/>
        <v>64.015857058308342</v>
      </c>
      <c r="H341" s="112">
        <f t="shared" si="38"/>
        <v>52.949762260546315</v>
      </c>
      <c r="I341" s="28"/>
      <c r="J341" s="28"/>
      <c r="K341" s="54"/>
    </row>
    <row r="342" spans="1:11">
      <c r="A342" s="71">
        <v>335</v>
      </c>
      <c r="B342" s="110">
        <v>35881</v>
      </c>
      <c r="C342" s="111">
        <v>57.5</v>
      </c>
      <c r="D342" s="111"/>
      <c r="E342" s="111">
        <f t="shared" si="35"/>
        <v>58.548273058067224</v>
      </c>
      <c r="F342" s="111">
        <f t="shared" si="36"/>
        <v>5.5330473988810143</v>
      </c>
      <c r="G342" s="111">
        <f t="shared" si="37"/>
        <v>64.081320456948234</v>
      </c>
      <c r="H342" s="111">
        <f t="shared" si="38"/>
        <v>53.015225659186207</v>
      </c>
      <c r="I342" s="29"/>
      <c r="J342" s="29"/>
      <c r="K342" s="57"/>
    </row>
    <row r="343" spans="1:11">
      <c r="A343" s="71">
        <v>336</v>
      </c>
      <c r="B343" s="110">
        <v>35884</v>
      </c>
      <c r="C343" s="111">
        <v>58.25</v>
      </c>
      <c r="D343" s="111"/>
      <c r="E343" s="111">
        <f t="shared" si="35"/>
        <v>58.613736456707123</v>
      </c>
      <c r="F343" s="111">
        <f t="shared" si="36"/>
        <v>5.5330473988810143</v>
      </c>
      <c r="G343" s="111">
        <f t="shared" si="37"/>
        <v>64.14678385558814</v>
      </c>
      <c r="H343" s="111">
        <f t="shared" si="38"/>
        <v>53.080689057826106</v>
      </c>
      <c r="I343" s="29"/>
      <c r="J343" s="29"/>
      <c r="K343" s="57"/>
    </row>
    <row r="344" spans="1:11">
      <c r="A344" s="103">
        <v>337</v>
      </c>
      <c r="B344" s="109">
        <v>35885</v>
      </c>
      <c r="C344" s="112">
        <v>59.125</v>
      </c>
      <c r="D344" s="112"/>
      <c r="E344" s="112">
        <f t="shared" si="35"/>
        <v>58.679199855347022</v>
      </c>
      <c r="F344" s="112">
        <f t="shared" si="36"/>
        <v>5.5330473988810143</v>
      </c>
      <c r="G344" s="112">
        <f t="shared" si="37"/>
        <v>64.212247254228032</v>
      </c>
      <c r="H344" s="112">
        <f t="shared" si="38"/>
        <v>53.146152456466005</v>
      </c>
      <c r="I344" s="28"/>
      <c r="J344" s="28"/>
      <c r="K344" s="54"/>
    </row>
    <row r="345" spans="1:11">
      <c r="A345" s="103">
        <v>338</v>
      </c>
      <c r="B345" s="109">
        <v>35886</v>
      </c>
      <c r="C345" s="112">
        <v>58.468800000000002</v>
      </c>
      <c r="D345" s="112"/>
      <c r="E345" s="112">
        <f t="shared" si="35"/>
        <v>58.744663253986914</v>
      </c>
      <c r="F345" s="112">
        <f t="shared" si="36"/>
        <v>5.5330473988810143</v>
      </c>
      <c r="G345" s="112">
        <f t="shared" si="37"/>
        <v>64.277710652867924</v>
      </c>
      <c r="H345" s="112">
        <f t="shared" si="38"/>
        <v>53.211615855105897</v>
      </c>
      <c r="I345" s="28"/>
      <c r="J345" s="28"/>
      <c r="K345" s="54"/>
    </row>
    <row r="346" spans="1:11">
      <c r="A346" s="104">
        <v>339</v>
      </c>
      <c r="B346" s="110">
        <v>35887</v>
      </c>
      <c r="C346" s="111">
        <v>58.781199999999998</v>
      </c>
      <c r="D346" s="111"/>
      <c r="E346" s="111">
        <f t="shared" si="35"/>
        <v>58.810126652626806</v>
      </c>
      <c r="F346" s="111">
        <f t="shared" si="36"/>
        <v>5.5330473988810143</v>
      </c>
      <c r="G346" s="111">
        <f t="shared" si="37"/>
        <v>64.343174051507816</v>
      </c>
      <c r="H346" s="111">
        <f t="shared" si="38"/>
        <v>53.277079253745789</v>
      </c>
      <c r="I346" s="29"/>
      <c r="J346" s="29"/>
      <c r="K346" s="57"/>
    </row>
    <row r="347" spans="1:11">
      <c r="A347" s="104">
        <v>340</v>
      </c>
      <c r="B347" s="110">
        <v>35888</v>
      </c>
      <c r="C347" s="111">
        <v>58.8125</v>
      </c>
      <c r="D347" s="111"/>
      <c r="E347" s="111">
        <f t="shared" si="35"/>
        <v>58.875590051266705</v>
      </c>
      <c r="F347" s="111">
        <f t="shared" si="36"/>
        <v>5.5330473988810143</v>
      </c>
      <c r="G347" s="111">
        <f t="shared" si="37"/>
        <v>64.408637450147722</v>
      </c>
      <c r="H347" s="111">
        <f t="shared" si="38"/>
        <v>53.342542652385688</v>
      </c>
      <c r="I347" s="29"/>
      <c r="J347" s="29"/>
      <c r="K347" s="57"/>
    </row>
    <row r="348" spans="1:11">
      <c r="A348" s="103">
        <v>341</v>
      </c>
      <c r="B348" s="109">
        <v>35891</v>
      </c>
      <c r="C348" s="112">
        <v>58.5</v>
      </c>
      <c r="D348" s="112"/>
      <c r="E348" s="112">
        <f t="shared" si="35"/>
        <v>58.941053449906605</v>
      </c>
      <c r="F348" s="112">
        <f t="shared" si="36"/>
        <v>5.5330473988810143</v>
      </c>
      <c r="G348" s="112">
        <f t="shared" si="37"/>
        <v>64.474100848787614</v>
      </c>
      <c r="H348" s="112">
        <f t="shared" si="38"/>
        <v>53.408006051025588</v>
      </c>
      <c r="I348" s="28"/>
      <c r="J348" s="28"/>
      <c r="K348" s="54"/>
    </row>
    <row r="349" spans="1:11">
      <c r="A349" s="103">
        <v>342</v>
      </c>
      <c r="B349" s="109">
        <v>35892</v>
      </c>
      <c r="C349" s="112">
        <v>57.5</v>
      </c>
      <c r="D349" s="112"/>
      <c r="E349" s="112">
        <f t="shared" si="35"/>
        <v>59.006516848546497</v>
      </c>
      <c r="F349" s="112">
        <f t="shared" si="36"/>
        <v>5.5330473988810143</v>
      </c>
      <c r="G349" s="112">
        <f t="shared" si="37"/>
        <v>64.539564247427506</v>
      </c>
      <c r="H349" s="112">
        <f t="shared" si="38"/>
        <v>53.47346944966548</v>
      </c>
      <c r="I349" s="28"/>
      <c r="J349" s="28"/>
      <c r="K349" s="54"/>
    </row>
    <row r="350" spans="1:11">
      <c r="A350" s="104">
        <v>343</v>
      </c>
      <c r="B350" s="110">
        <v>35893</v>
      </c>
      <c r="C350" s="111">
        <v>56.9375</v>
      </c>
      <c r="D350" s="111"/>
      <c r="E350" s="111">
        <f t="shared" si="35"/>
        <v>59.071980247186396</v>
      </c>
      <c r="F350" s="111">
        <f t="shared" si="36"/>
        <v>5.5330473988810143</v>
      </c>
      <c r="G350" s="111">
        <f t="shared" si="37"/>
        <v>64.605027646067413</v>
      </c>
      <c r="H350" s="111">
        <f t="shared" si="38"/>
        <v>53.538932848305379</v>
      </c>
      <c r="I350" s="29"/>
      <c r="J350" s="29"/>
      <c r="K350" s="57"/>
    </row>
    <row r="351" spans="1:11">
      <c r="A351" s="104">
        <v>344</v>
      </c>
      <c r="B351" s="110">
        <v>35894</v>
      </c>
      <c r="C351" s="111">
        <v>57.718800000000002</v>
      </c>
      <c r="D351" s="111"/>
      <c r="E351" s="111">
        <f t="shared" si="35"/>
        <v>59.137443645826295</v>
      </c>
      <c r="F351" s="111">
        <f t="shared" si="36"/>
        <v>5.5330473988810143</v>
      </c>
      <c r="G351" s="111">
        <f t="shared" si="37"/>
        <v>64.670491044707305</v>
      </c>
      <c r="H351" s="111">
        <f t="shared" si="38"/>
        <v>53.604396246945278</v>
      </c>
      <c r="I351" s="29"/>
      <c r="J351" s="29"/>
      <c r="K351" s="57"/>
    </row>
    <row r="352" spans="1:11">
      <c r="A352" s="103">
        <v>345</v>
      </c>
      <c r="B352" s="109">
        <v>35898</v>
      </c>
      <c r="C352" s="112">
        <v>58.656199999999998</v>
      </c>
      <c r="D352" s="112"/>
      <c r="E352" s="112">
        <f t="shared" si="35"/>
        <v>59.202907044466187</v>
      </c>
      <c r="F352" s="112">
        <f t="shared" si="36"/>
        <v>5.5330473988810143</v>
      </c>
      <c r="G352" s="112">
        <f t="shared" si="37"/>
        <v>64.735954443347197</v>
      </c>
      <c r="H352" s="112">
        <f t="shared" si="38"/>
        <v>53.66985964558517</v>
      </c>
      <c r="I352" s="28"/>
      <c r="J352" s="28"/>
      <c r="K352" s="54"/>
    </row>
    <row r="353" spans="1:11">
      <c r="A353" s="103">
        <v>346</v>
      </c>
      <c r="B353" s="109">
        <v>35899</v>
      </c>
      <c r="C353" s="112">
        <v>59.25</v>
      </c>
      <c r="D353" s="166"/>
      <c r="E353" s="112">
        <f t="shared" si="35"/>
        <v>59.268370443106086</v>
      </c>
      <c r="F353" s="112">
        <f t="shared" si="36"/>
        <v>5.5330473988810143</v>
      </c>
      <c r="G353" s="112">
        <f t="shared" si="37"/>
        <v>64.801417841987103</v>
      </c>
      <c r="H353" s="112">
        <f t="shared" si="38"/>
        <v>53.735323044225069</v>
      </c>
      <c r="I353" s="28"/>
      <c r="J353" s="28"/>
      <c r="K353" s="54"/>
    </row>
    <row r="354" spans="1:11">
      <c r="A354" s="104">
        <v>347</v>
      </c>
      <c r="B354" s="110">
        <v>35900</v>
      </c>
      <c r="C354" s="111">
        <v>60.968800000000002</v>
      </c>
      <c r="D354" s="111"/>
      <c r="E354" s="111">
        <f t="shared" ref="E354:E369" si="39">TREND(C$17:C$401,A$17:A$401,A354)</f>
        <v>59.333833841745985</v>
      </c>
      <c r="F354" s="111">
        <f t="shared" si="36"/>
        <v>5.5330473988810143</v>
      </c>
      <c r="G354" s="111">
        <f t="shared" si="37"/>
        <v>64.866881240626995</v>
      </c>
      <c r="H354" s="111">
        <f t="shared" si="38"/>
        <v>53.800786442864968</v>
      </c>
      <c r="I354" s="29"/>
      <c r="J354" s="29"/>
      <c r="K354" s="57"/>
    </row>
    <row r="355" spans="1:11">
      <c r="A355" s="104">
        <v>348</v>
      </c>
      <c r="B355" s="110">
        <v>35901</v>
      </c>
      <c r="C355" s="111">
        <v>64.6875</v>
      </c>
      <c r="D355" s="111"/>
      <c r="E355" s="111">
        <f t="shared" si="39"/>
        <v>59.399297240385877</v>
      </c>
      <c r="F355" s="111">
        <f t="shared" si="36"/>
        <v>5.5330473988810143</v>
      </c>
      <c r="G355" s="111">
        <f t="shared" si="37"/>
        <v>64.932344639266887</v>
      </c>
      <c r="H355" s="111">
        <f t="shared" si="38"/>
        <v>53.86624984150486</v>
      </c>
      <c r="I355" s="29"/>
      <c r="J355" s="29"/>
      <c r="K355" s="57"/>
    </row>
    <row r="356" spans="1:11">
      <c r="A356" s="103">
        <v>349</v>
      </c>
      <c r="B356" s="109">
        <v>35902</v>
      </c>
      <c r="C356" s="112">
        <v>63.4375</v>
      </c>
      <c r="D356" s="112"/>
      <c r="E356" s="112">
        <f t="shared" si="39"/>
        <v>59.464760639025769</v>
      </c>
      <c r="F356" s="112">
        <f t="shared" si="36"/>
        <v>5.5330473988810143</v>
      </c>
      <c r="G356" s="112">
        <f t="shared" si="37"/>
        <v>64.997808037906779</v>
      </c>
      <c r="H356" s="112">
        <f t="shared" si="38"/>
        <v>53.931713240144752</v>
      </c>
      <c r="I356" s="28"/>
      <c r="J356" s="28"/>
      <c r="K356" s="54"/>
    </row>
    <row r="357" spans="1:11">
      <c r="A357" s="103">
        <v>350</v>
      </c>
      <c r="B357" s="109">
        <v>35905</v>
      </c>
      <c r="C357" s="112">
        <v>61.5</v>
      </c>
      <c r="D357" s="112"/>
      <c r="E357" s="112">
        <f t="shared" si="39"/>
        <v>59.530224037665668</v>
      </c>
      <c r="F357" s="112">
        <f t="shared" si="36"/>
        <v>5.5330473988810143</v>
      </c>
      <c r="G357" s="112">
        <f t="shared" si="37"/>
        <v>65.063271436546685</v>
      </c>
      <c r="H357" s="112">
        <f t="shared" si="38"/>
        <v>53.997176638784651</v>
      </c>
      <c r="I357" s="28"/>
      <c r="J357" s="28"/>
      <c r="K357" s="54"/>
    </row>
    <row r="358" spans="1:11">
      <c r="A358" s="104">
        <v>351</v>
      </c>
      <c r="B358" s="110">
        <v>35906</v>
      </c>
      <c r="C358" s="111">
        <v>62.5625</v>
      </c>
      <c r="D358" s="111"/>
      <c r="E358" s="111">
        <f t="shared" si="39"/>
        <v>59.595687436305568</v>
      </c>
      <c r="F358" s="111">
        <f t="shared" si="36"/>
        <v>5.5330473988810143</v>
      </c>
      <c r="G358" s="111">
        <f t="shared" si="37"/>
        <v>65.128734835186577</v>
      </c>
      <c r="H358" s="111">
        <f t="shared" si="38"/>
        <v>54.062640037424551</v>
      </c>
      <c r="I358" s="29"/>
      <c r="J358" s="29"/>
      <c r="K358" s="57"/>
    </row>
    <row r="359" spans="1:11">
      <c r="A359" s="104">
        <v>352</v>
      </c>
      <c r="B359" s="110">
        <v>35907</v>
      </c>
      <c r="C359" s="111">
        <v>61.5</v>
      </c>
      <c r="D359" s="111"/>
      <c r="E359" s="111">
        <f t="shared" si="39"/>
        <v>59.66115083494546</v>
      </c>
      <c r="F359" s="111">
        <f t="shared" si="36"/>
        <v>5.5330473988810143</v>
      </c>
      <c r="G359" s="111">
        <f t="shared" si="37"/>
        <v>65.194198233826469</v>
      </c>
      <c r="H359" s="111">
        <f t="shared" si="38"/>
        <v>54.128103436064443</v>
      </c>
      <c r="I359" s="29"/>
      <c r="J359" s="29"/>
      <c r="K359" s="57"/>
    </row>
    <row r="360" spans="1:11">
      <c r="A360" s="103">
        <v>353</v>
      </c>
      <c r="B360" s="109">
        <v>35908</v>
      </c>
      <c r="C360" s="112">
        <v>60.1875</v>
      </c>
      <c r="D360" s="112"/>
      <c r="E360" s="112">
        <f t="shared" si="39"/>
        <v>59.726614233585359</v>
      </c>
      <c r="F360" s="112">
        <f t="shared" si="36"/>
        <v>5.5330473988810143</v>
      </c>
      <c r="G360" s="112">
        <f t="shared" si="37"/>
        <v>65.259661632466376</v>
      </c>
      <c r="H360" s="112">
        <f t="shared" si="38"/>
        <v>54.193566834704342</v>
      </c>
      <c r="I360" s="28"/>
      <c r="J360" s="28"/>
      <c r="K360" s="54"/>
    </row>
    <row r="361" spans="1:11">
      <c r="A361" s="103">
        <v>354</v>
      </c>
      <c r="B361" s="109">
        <v>35909</v>
      </c>
      <c r="C361" s="112">
        <v>58.6875</v>
      </c>
      <c r="D361" s="112"/>
      <c r="E361" s="112">
        <f t="shared" si="39"/>
        <v>59.792077632225258</v>
      </c>
      <c r="F361" s="112">
        <f t="shared" si="36"/>
        <v>5.5330473988810143</v>
      </c>
      <c r="G361" s="112">
        <f t="shared" si="37"/>
        <v>65.325125031106268</v>
      </c>
      <c r="H361" s="112">
        <f t="shared" si="38"/>
        <v>54.259030233344241</v>
      </c>
      <c r="I361" s="28"/>
      <c r="J361" s="28"/>
      <c r="K361" s="54"/>
    </row>
    <row r="362" spans="1:11">
      <c r="A362" s="104">
        <v>355</v>
      </c>
      <c r="B362" s="110">
        <v>35912</v>
      </c>
      <c r="C362" s="111">
        <v>56.468800000000002</v>
      </c>
      <c r="D362" s="111"/>
      <c r="E362" s="111">
        <f t="shared" si="39"/>
        <v>59.85754103086515</v>
      </c>
      <c r="F362" s="111">
        <f t="shared" si="36"/>
        <v>5.5330473988810143</v>
      </c>
      <c r="G362" s="111">
        <f t="shared" si="37"/>
        <v>65.39058842974616</v>
      </c>
      <c r="H362" s="111">
        <f t="shared" si="38"/>
        <v>54.324493631984133</v>
      </c>
      <c r="I362" s="29"/>
      <c r="J362" s="29"/>
      <c r="K362" s="57"/>
    </row>
    <row r="363" spans="1:11">
      <c r="A363" s="104">
        <v>356</v>
      </c>
      <c r="B363" s="110">
        <v>35913</v>
      </c>
      <c r="C363" s="111">
        <v>56.531199999999998</v>
      </c>
      <c r="D363" s="111"/>
      <c r="E363" s="111">
        <f t="shared" si="39"/>
        <v>59.923004429505049</v>
      </c>
      <c r="F363" s="111">
        <f t="shared" si="36"/>
        <v>5.5330473988810143</v>
      </c>
      <c r="G363" s="111">
        <f t="shared" si="37"/>
        <v>65.456051828386066</v>
      </c>
      <c r="H363" s="111">
        <f t="shared" si="38"/>
        <v>54.389957030624032</v>
      </c>
      <c r="I363" s="29"/>
      <c r="J363" s="29"/>
      <c r="K363" s="57"/>
    </row>
    <row r="364" spans="1:11">
      <c r="A364" s="103">
        <v>357</v>
      </c>
      <c r="B364" s="109">
        <v>35914</v>
      </c>
      <c r="C364" s="112">
        <v>58.468800000000002</v>
      </c>
      <c r="D364" s="112"/>
      <c r="E364" s="112">
        <f t="shared" si="39"/>
        <v>59.988467828144948</v>
      </c>
      <c r="F364" s="112">
        <f t="shared" si="36"/>
        <v>5.5330473988810143</v>
      </c>
      <c r="G364" s="112">
        <f t="shared" si="37"/>
        <v>65.521515227025958</v>
      </c>
      <c r="H364" s="112">
        <f t="shared" si="38"/>
        <v>54.455420429263931</v>
      </c>
      <c r="I364" s="28"/>
      <c r="J364" s="28"/>
      <c r="K364" s="54"/>
    </row>
    <row r="365" spans="1:11">
      <c r="A365" s="103">
        <v>358</v>
      </c>
      <c r="B365" s="109">
        <v>35915</v>
      </c>
      <c r="C365" s="112">
        <v>58.125</v>
      </c>
      <c r="D365" s="112"/>
      <c r="E365" s="112">
        <f t="shared" si="39"/>
        <v>60.05393122678484</v>
      </c>
      <c r="F365" s="112">
        <f t="shared" si="36"/>
        <v>5.5330473988810143</v>
      </c>
      <c r="G365" s="112">
        <f t="shared" si="37"/>
        <v>65.58697862566585</v>
      </c>
      <c r="H365" s="112">
        <f t="shared" si="38"/>
        <v>54.520883827903823</v>
      </c>
      <c r="I365" s="28"/>
      <c r="J365" s="28"/>
      <c r="K365" s="54"/>
    </row>
    <row r="366" spans="1:11">
      <c r="A366" s="104">
        <v>359</v>
      </c>
      <c r="B366" s="110">
        <v>35916</v>
      </c>
      <c r="C366" s="111">
        <v>56.5</v>
      </c>
      <c r="D366" s="111"/>
      <c r="E366" s="111">
        <f t="shared" si="39"/>
        <v>60.119394625424732</v>
      </c>
      <c r="F366" s="111">
        <f t="shared" si="36"/>
        <v>5.5330473988810143</v>
      </c>
      <c r="G366" s="111">
        <f t="shared" si="37"/>
        <v>65.652442024305742</v>
      </c>
      <c r="H366" s="111">
        <f t="shared" si="38"/>
        <v>54.586347226543715</v>
      </c>
      <c r="I366" s="29"/>
      <c r="J366" s="29"/>
      <c r="K366" s="57"/>
    </row>
    <row r="367" spans="1:11">
      <c r="A367" s="104">
        <v>360</v>
      </c>
      <c r="B367" s="110">
        <v>35919</v>
      </c>
      <c r="C367" s="111">
        <v>57.406199999999998</v>
      </c>
      <c r="D367" s="111"/>
      <c r="E367" s="111">
        <f t="shared" si="39"/>
        <v>60.184858024064631</v>
      </c>
      <c r="F367" s="111">
        <f t="shared" si="36"/>
        <v>5.5330473988810143</v>
      </c>
      <c r="G367" s="111">
        <f t="shared" si="37"/>
        <v>65.717905422945648</v>
      </c>
      <c r="H367" s="111">
        <f t="shared" si="38"/>
        <v>54.651810625183614</v>
      </c>
      <c r="I367" s="29"/>
      <c r="J367" s="29"/>
      <c r="K367" s="57"/>
    </row>
    <row r="368" spans="1:11">
      <c r="A368" s="103">
        <v>361</v>
      </c>
      <c r="B368" s="109">
        <v>35920</v>
      </c>
      <c r="C368" s="112">
        <v>56.25</v>
      </c>
      <c r="D368" s="112"/>
      <c r="E368" s="112">
        <f t="shared" si="39"/>
        <v>60.250321422704531</v>
      </c>
      <c r="F368" s="112">
        <f t="shared" si="36"/>
        <v>5.5330473988810143</v>
      </c>
      <c r="G368" s="112">
        <f t="shared" si="37"/>
        <v>65.78336882158554</v>
      </c>
      <c r="H368" s="112">
        <f t="shared" si="38"/>
        <v>54.717274023823514</v>
      </c>
      <c r="I368" s="28"/>
      <c r="J368" s="28"/>
      <c r="K368" s="54"/>
    </row>
    <row r="369" spans="1:11">
      <c r="A369" s="103">
        <v>362</v>
      </c>
      <c r="B369" s="109">
        <v>35921</v>
      </c>
      <c r="C369" s="112">
        <v>55.75</v>
      </c>
      <c r="D369" s="112"/>
      <c r="E369" s="112">
        <f t="shared" si="39"/>
        <v>60.315784821344423</v>
      </c>
      <c r="F369" s="112">
        <f t="shared" si="36"/>
        <v>5.5330473988810143</v>
      </c>
      <c r="G369" s="112">
        <f t="shared" si="37"/>
        <v>65.848832220225432</v>
      </c>
      <c r="H369" s="112">
        <f t="shared" si="38"/>
        <v>54.782737422463406</v>
      </c>
      <c r="I369" s="28"/>
      <c r="J369" s="28"/>
      <c r="K369" s="54"/>
    </row>
    <row r="370" spans="1:11">
      <c r="A370" s="104">
        <v>363</v>
      </c>
      <c r="B370" s="110">
        <v>35922</v>
      </c>
      <c r="C370" s="111">
        <v>57.25</v>
      </c>
      <c r="D370" s="111"/>
      <c r="E370" s="111">
        <f t="shared" ref="E370:E385" si="40">TREND(C$17:C$401,A$17:A$401,A370)</f>
        <v>60.381248219984322</v>
      </c>
      <c r="F370" s="111">
        <f t="shared" si="36"/>
        <v>5.5330473988810143</v>
      </c>
      <c r="G370" s="111">
        <f t="shared" si="37"/>
        <v>65.914295618865339</v>
      </c>
      <c r="H370" s="111">
        <f t="shared" si="38"/>
        <v>54.848200821103305</v>
      </c>
      <c r="I370" s="29"/>
      <c r="J370" s="29"/>
      <c r="K370" s="57"/>
    </row>
    <row r="371" spans="1:11">
      <c r="A371" s="104">
        <v>364</v>
      </c>
      <c r="B371" s="110">
        <v>35923</v>
      </c>
      <c r="C371" s="111">
        <v>58.125</v>
      </c>
      <c r="D371" s="111"/>
      <c r="E371" s="111">
        <f t="shared" si="40"/>
        <v>60.446711618624221</v>
      </c>
      <c r="F371" s="111">
        <f t="shared" si="36"/>
        <v>5.5330473988810143</v>
      </c>
      <c r="G371" s="111">
        <f t="shared" si="37"/>
        <v>65.979759017505231</v>
      </c>
      <c r="H371" s="111">
        <f t="shared" si="38"/>
        <v>54.913664219743204</v>
      </c>
      <c r="I371" s="29"/>
      <c r="J371" s="29"/>
      <c r="K371" s="57"/>
    </row>
    <row r="372" spans="1:11">
      <c r="A372" s="103">
        <v>365</v>
      </c>
      <c r="B372" s="109">
        <v>35926</v>
      </c>
      <c r="C372" s="112">
        <v>57.093800000000002</v>
      </c>
      <c r="D372" s="112"/>
      <c r="E372" s="112">
        <f t="shared" si="40"/>
        <v>60.512175017264113</v>
      </c>
      <c r="F372" s="112">
        <f t="shared" si="36"/>
        <v>5.5330473988810143</v>
      </c>
      <c r="G372" s="112">
        <f t="shared" si="37"/>
        <v>66.045222416145123</v>
      </c>
      <c r="H372" s="112">
        <f t="shared" si="38"/>
        <v>54.979127618383096</v>
      </c>
      <c r="I372" s="28"/>
      <c r="J372" s="28"/>
      <c r="K372" s="54"/>
    </row>
    <row r="373" spans="1:11">
      <c r="A373" s="103">
        <v>366</v>
      </c>
      <c r="B373" s="109">
        <v>35927</v>
      </c>
      <c r="C373" s="112">
        <v>56.0625</v>
      </c>
      <c r="D373" s="112"/>
      <c r="E373" s="112">
        <f t="shared" si="40"/>
        <v>60.577638415904005</v>
      </c>
      <c r="F373" s="112">
        <f t="shared" si="36"/>
        <v>5.5330473988810143</v>
      </c>
      <c r="G373" s="112">
        <f t="shared" si="37"/>
        <v>66.110685814785015</v>
      </c>
      <c r="H373" s="112">
        <f t="shared" si="38"/>
        <v>55.044591017022988</v>
      </c>
      <c r="I373" s="28"/>
      <c r="J373" s="28"/>
      <c r="K373" s="54"/>
    </row>
    <row r="374" spans="1:11">
      <c r="A374" s="104">
        <v>367</v>
      </c>
      <c r="B374" s="110">
        <v>35928</v>
      </c>
      <c r="C374" s="111">
        <v>57.125</v>
      </c>
      <c r="D374" s="111"/>
      <c r="E374" s="111">
        <f t="shared" si="40"/>
        <v>60.643101814543911</v>
      </c>
      <c r="F374" s="111">
        <f t="shared" si="36"/>
        <v>5.5330473988810143</v>
      </c>
      <c r="G374" s="111">
        <f t="shared" si="37"/>
        <v>66.176149213424921</v>
      </c>
      <c r="H374" s="111">
        <f t="shared" si="38"/>
        <v>55.110054415662894</v>
      </c>
      <c r="I374" s="29"/>
      <c r="J374" s="29"/>
      <c r="K374" s="57"/>
    </row>
    <row r="375" spans="1:11">
      <c r="A375" s="104">
        <v>368</v>
      </c>
      <c r="B375" s="110">
        <v>35929</v>
      </c>
      <c r="C375" s="111">
        <v>57.0625</v>
      </c>
      <c r="D375" s="111"/>
      <c r="E375" s="111">
        <f t="shared" si="40"/>
        <v>60.708565213183803</v>
      </c>
      <c r="F375" s="111">
        <f t="shared" si="36"/>
        <v>5.5330473988810143</v>
      </c>
      <c r="G375" s="111">
        <f t="shared" si="37"/>
        <v>66.241612612064813</v>
      </c>
      <c r="H375" s="111">
        <f t="shared" si="38"/>
        <v>55.175517814302786</v>
      </c>
      <c r="I375" s="29"/>
      <c r="J375" s="29"/>
      <c r="K375" s="57"/>
    </row>
    <row r="376" spans="1:11">
      <c r="A376" s="103">
        <v>369</v>
      </c>
      <c r="B376" s="109">
        <v>35930</v>
      </c>
      <c r="C376" s="112">
        <v>57.125</v>
      </c>
      <c r="D376" s="112"/>
      <c r="E376" s="112">
        <f t="shared" si="40"/>
        <v>60.774028611823695</v>
      </c>
      <c r="F376" s="112">
        <f t="shared" si="36"/>
        <v>5.5330473988810143</v>
      </c>
      <c r="G376" s="112">
        <f t="shared" si="37"/>
        <v>66.307076010704705</v>
      </c>
      <c r="H376" s="112">
        <f t="shared" si="38"/>
        <v>55.240981212942678</v>
      </c>
      <c r="I376" s="28"/>
      <c r="J376" s="28"/>
      <c r="K376" s="54"/>
    </row>
    <row r="377" spans="1:11">
      <c r="A377" s="103">
        <v>370</v>
      </c>
      <c r="B377" s="109">
        <v>35933</v>
      </c>
      <c r="C377" s="112">
        <v>56.468800000000002</v>
      </c>
      <c r="D377" s="112"/>
      <c r="E377" s="112">
        <f t="shared" si="40"/>
        <v>60.839492010463594</v>
      </c>
      <c r="F377" s="112">
        <f t="shared" si="36"/>
        <v>5.5330473988810143</v>
      </c>
      <c r="G377" s="112">
        <f t="shared" si="37"/>
        <v>66.372539409344611</v>
      </c>
      <c r="H377" s="112">
        <f t="shared" si="38"/>
        <v>55.306444611582577</v>
      </c>
      <c r="I377" s="28"/>
      <c r="J377" s="28"/>
      <c r="K377" s="54"/>
    </row>
    <row r="378" spans="1:11">
      <c r="A378" s="104">
        <v>371</v>
      </c>
      <c r="B378" s="110">
        <v>35934</v>
      </c>
      <c r="C378" s="111">
        <v>55.125</v>
      </c>
      <c r="D378" s="111"/>
      <c r="E378" s="111">
        <f t="shared" si="40"/>
        <v>60.904955409103493</v>
      </c>
      <c r="F378" s="111">
        <f t="shared" si="36"/>
        <v>5.5330473988810143</v>
      </c>
      <c r="G378" s="111">
        <f t="shared" si="37"/>
        <v>66.438002807984503</v>
      </c>
      <c r="H378" s="111">
        <f t="shared" si="38"/>
        <v>55.371908010222477</v>
      </c>
      <c r="I378" s="29"/>
      <c r="J378" s="29"/>
      <c r="K378" s="57"/>
    </row>
    <row r="379" spans="1:11">
      <c r="A379" s="104">
        <v>372</v>
      </c>
      <c r="B379" s="110">
        <v>35935</v>
      </c>
      <c r="C379" s="111">
        <v>55.875</v>
      </c>
      <c r="D379" s="111"/>
      <c r="E379" s="111">
        <f t="shared" si="40"/>
        <v>60.970418807743386</v>
      </c>
      <c r="F379" s="111">
        <f t="shared" si="36"/>
        <v>5.5330473988810143</v>
      </c>
      <c r="G379" s="111">
        <f t="shared" si="37"/>
        <v>66.503466206624395</v>
      </c>
      <c r="H379" s="111">
        <f t="shared" si="38"/>
        <v>55.437371408862369</v>
      </c>
      <c r="I379" s="29"/>
      <c r="J379" s="29"/>
      <c r="K379" s="57"/>
    </row>
    <row r="380" spans="1:11">
      <c r="A380" s="103">
        <v>373</v>
      </c>
      <c r="B380" s="109">
        <v>35936</v>
      </c>
      <c r="C380" s="112">
        <v>55.875</v>
      </c>
      <c r="D380" s="112"/>
      <c r="E380" s="112">
        <f t="shared" si="40"/>
        <v>61.035882206383285</v>
      </c>
      <c r="F380" s="112">
        <f t="shared" si="36"/>
        <v>5.5330473988810143</v>
      </c>
      <c r="G380" s="112">
        <f t="shared" si="37"/>
        <v>66.568929605264302</v>
      </c>
      <c r="H380" s="112">
        <f t="shared" si="38"/>
        <v>55.502834807502268</v>
      </c>
      <c r="I380" s="28"/>
      <c r="J380" s="28"/>
      <c r="K380" s="54"/>
    </row>
    <row r="381" spans="1:11">
      <c r="A381" s="103">
        <v>374</v>
      </c>
      <c r="B381" s="109">
        <v>35937</v>
      </c>
      <c r="C381" s="112">
        <v>56.625</v>
      </c>
      <c r="D381" s="112"/>
      <c r="E381" s="112">
        <f t="shared" si="40"/>
        <v>61.101345605023184</v>
      </c>
      <c r="F381" s="112">
        <f t="shared" si="36"/>
        <v>5.5330473988810143</v>
      </c>
      <c r="G381" s="112">
        <f t="shared" si="37"/>
        <v>66.634393003904194</v>
      </c>
      <c r="H381" s="112">
        <f t="shared" si="38"/>
        <v>55.568298206142167</v>
      </c>
      <c r="I381" s="28"/>
      <c r="J381" s="28"/>
      <c r="K381" s="54"/>
    </row>
    <row r="382" spans="1:11">
      <c r="A382" s="104">
        <v>375</v>
      </c>
      <c r="B382" s="110">
        <v>35941</v>
      </c>
      <c r="C382" s="111">
        <v>57.468800000000002</v>
      </c>
      <c r="D382" s="111"/>
      <c r="E382" s="111">
        <f t="shared" si="40"/>
        <v>61.166809003663076</v>
      </c>
      <c r="F382" s="111">
        <f t="shared" si="36"/>
        <v>5.5330473988810143</v>
      </c>
      <c r="G382" s="111">
        <f t="shared" si="37"/>
        <v>66.699856402544086</v>
      </c>
      <c r="H382" s="111">
        <f t="shared" si="38"/>
        <v>55.633761604782059</v>
      </c>
      <c r="I382" s="29"/>
      <c r="J382" s="29"/>
      <c r="K382" s="57"/>
    </row>
    <row r="383" spans="1:11">
      <c r="A383" s="104">
        <v>376</v>
      </c>
      <c r="B383" s="110">
        <v>35942</v>
      </c>
      <c r="C383" s="111">
        <v>57.156199999999998</v>
      </c>
      <c r="D383" s="111"/>
      <c r="E383" s="111">
        <f t="shared" si="40"/>
        <v>61.232272402302968</v>
      </c>
      <c r="F383" s="111">
        <f t="shared" si="36"/>
        <v>5.5330473988810143</v>
      </c>
      <c r="G383" s="111">
        <f t="shared" si="37"/>
        <v>66.765319801183978</v>
      </c>
      <c r="H383" s="111">
        <f t="shared" si="38"/>
        <v>55.699225003421951</v>
      </c>
      <c r="I383" s="29"/>
      <c r="J383" s="29"/>
      <c r="K383" s="57"/>
    </row>
    <row r="384" spans="1:11">
      <c r="A384" s="103">
        <v>377</v>
      </c>
      <c r="B384" s="109">
        <v>35943</v>
      </c>
      <c r="C384" s="112">
        <v>57.25</v>
      </c>
      <c r="D384" s="112"/>
      <c r="E384" s="112">
        <f t="shared" si="40"/>
        <v>61.297735800942874</v>
      </c>
      <c r="F384" s="112">
        <f t="shared" si="36"/>
        <v>5.5330473988810143</v>
      </c>
      <c r="G384" s="112">
        <f t="shared" si="37"/>
        <v>66.830783199823884</v>
      </c>
      <c r="H384" s="112">
        <f t="shared" si="38"/>
        <v>55.764688402061857</v>
      </c>
      <c r="I384" s="28"/>
      <c r="J384" s="28"/>
      <c r="K384" s="54"/>
    </row>
    <row r="385" spans="1:11">
      <c r="A385" s="103">
        <v>378</v>
      </c>
      <c r="B385" s="109">
        <v>35944</v>
      </c>
      <c r="C385" s="112">
        <v>57.5</v>
      </c>
      <c r="D385" s="112"/>
      <c r="E385" s="112">
        <f t="shared" si="40"/>
        <v>61.363199199582766</v>
      </c>
      <c r="F385" s="112">
        <f t="shared" si="36"/>
        <v>5.5330473988810143</v>
      </c>
      <c r="G385" s="112">
        <f t="shared" si="37"/>
        <v>66.896246598463776</v>
      </c>
      <c r="H385" s="112">
        <f t="shared" si="38"/>
        <v>55.830151800701749</v>
      </c>
      <c r="I385" s="28"/>
      <c r="J385" s="28"/>
      <c r="K385" s="54"/>
    </row>
    <row r="386" spans="1:11">
      <c r="A386" s="104">
        <v>379</v>
      </c>
      <c r="B386" s="110">
        <v>35947</v>
      </c>
      <c r="C386" s="111">
        <v>56</v>
      </c>
      <c r="D386" s="111"/>
      <c r="E386" s="111">
        <f t="shared" ref="E386:E401" si="41">TREND(C$17:C$401,A$17:A$401,A386)</f>
        <v>61.428662598222658</v>
      </c>
      <c r="F386" s="111">
        <f t="shared" si="36"/>
        <v>5.5330473988810143</v>
      </c>
      <c r="G386" s="111">
        <f t="shared" si="37"/>
        <v>66.961709997103668</v>
      </c>
      <c r="H386" s="111">
        <f t="shared" si="38"/>
        <v>55.895615199341641</v>
      </c>
      <c r="I386" s="29"/>
      <c r="J386" s="29"/>
      <c r="K386" s="57"/>
    </row>
    <row r="387" spans="1:11">
      <c r="A387" s="104">
        <v>380</v>
      </c>
      <c r="B387" s="110">
        <v>35948</v>
      </c>
      <c r="C387" s="111">
        <v>56.4375</v>
      </c>
      <c r="D387" s="111"/>
      <c r="E387" s="111">
        <f t="shared" si="41"/>
        <v>61.494125996862557</v>
      </c>
      <c r="F387" s="111">
        <f t="shared" si="36"/>
        <v>5.5330473988810143</v>
      </c>
      <c r="G387" s="111">
        <f t="shared" si="37"/>
        <v>67.027173395743574</v>
      </c>
      <c r="H387" s="111">
        <f t="shared" si="38"/>
        <v>55.96107859798154</v>
      </c>
      <c r="I387" s="29"/>
      <c r="J387" s="29"/>
      <c r="K387" s="57"/>
    </row>
    <row r="388" spans="1:11">
      <c r="A388" s="103">
        <v>381</v>
      </c>
      <c r="B388" s="109">
        <v>35949</v>
      </c>
      <c r="C388" s="112">
        <v>58.343800000000002</v>
      </c>
      <c r="D388" s="112"/>
      <c r="E388" s="112">
        <f t="shared" si="41"/>
        <v>61.559589395502456</v>
      </c>
      <c r="F388" s="112">
        <f t="shared" si="36"/>
        <v>5.5330473988810143</v>
      </c>
      <c r="G388" s="112">
        <f t="shared" si="37"/>
        <v>67.092636794383466</v>
      </c>
      <c r="H388" s="112">
        <f t="shared" si="38"/>
        <v>56.02654199662144</v>
      </c>
      <c r="I388" s="28"/>
      <c r="J388" s="28"/>
      <c r="K388" s="54"/>
    </row>
    <row r="389" spans="1:11">
      <c r="A389" s="103">
        <v>382</v>
      </c>
      <c r="B389" s="109">
        <v>35950</v>
      </c>
      <c r="C389" s="112">
        <v>58.75</v>
      </c>
      <c r="D389" s="112"/>
      <c r="E389" s="112">
        <f t="shared" si="41"/>
        <v>61.625052794142348</v>
      </c>
      <c r="F389" s="112">
        <f t="shared" si="36"/>
        <v>5.5330473988810143</v>
      </c>
      <c r="G389" s="112">
        <f t="shared" si="37"/>
        <v>67.158100193023358</v>
      </c>
      <c r="H389" s="112">
        <f t="shared" si="38"/>
        <v>56.092005395261332</v>
      </c>
      <c r="I389" s="28"/>
      <c r="J389" s="28"/>
      <c r="K389" s="54"/>
    </row>
    <row r="390" spans="1:11">
      <c r="A390" s="104">
        <v>383</v>
      </c>
      <c r="B390" s="110">
        <v>35951</v>
      </c>
      <c r="C390" s="111">
        <v>58.968800000000002</v>
      </c>
      <c r="D390" s="111"/>
      <c r="E390" s="111">
        <f t="shared" si="41"/>
        <v>61.690516192782248</v>
      </c>
      <c r="F390" s="111">
        <f t="shared" si="36"/>
        <v>5.5330473988810143</v>
      </c>
      <c r="G390" s="111">
        <f t="shared" si="37"/>
        <v>67.223563591663265</v>
      </c>
      <c r="H390" s="111">
        <f t="shared" si="38"/>
        <v>56.157468793901231</v>
      </c>
      <c r="I390" s="29"/>
      <c r="J390" s="29"/>
      <c r="K390" s="57"/>
    </row>
    <row r="391" spans="1:11">
      <c r="A391" s="104">
        <v>384</v>
      </c>
      <c r="B391" s="110">
        <v>35954</v>
      </c>
      <c r="C391" s="111">
        <v>60.343800000000002</v>
      </c>
      <c r="D391" s="111"/>
      <c r="E391" s="111">
        <f t="shared" si="41"/>
        <v>61.755979591422147</v>
      </c>
      <c r="F391" s="111">
        <f t="shared" si="36"/>
        <v>5.5330473988810143</v>
      </c>
      <c r="G391" s="111">
        <f t="shared" si="37"/>
        <v>67.289026990303157</v>
      </c>
      <c r="H391" s="111">
        <f t="shared" si="38"/>
        <v>56.22293219254113</v>
      </c>
      <c r="I391" s="29"/>
      <c r="J391" s="29"/>
      <c r="K391" s="57"/>
    </row>
    <row r="392" spans="1:11">
      <c r="A392" s="103">
        <v>385</v>
      </c>
      <c r="B392" s="109">
        <v>35955</v>
      </c>
      <c r="C392" s="112">
        <v>62.75</v>
      </c>
      <c r="D392" s="112"/>
      <c r="E392" s="112">
        <f t="shared" si="41"/>
        <v>61.821442990062039</v>
      </c>
      <c r="F392" s="112">
        <f t="shared" si="36"/>
        <v>5.5330473988810143</v>
      </c>
      <c r="G392" s="112">
        <f t="shared" si="37"/>
        <v>67.354490388943049</v>
      </c>
      <c r="H392" s="112">
        <f t="shared" si="38"/>
        <v>56.288395591181022</v>
      </c>
      <c r="I392" s="28"/>
      <c r="J392" s="28"/>
      <c r="K392" s="54"/>
    </row>
    <row r="393" spans="1:11">
      <c r="A393" s="103">
        <v>386</v>
      </c>
      <c r="B393" s="109">
        <v>35956</v>
      </c>
      <c r="C393" s="112">
        <v>63.468800000000002</v>
      </c>
      <c r="D393" s="112"/>
      <c r="E393" s="112">
        <f t="shared" si="41"/>
        <v>61.886906388701931</v>
      </c>
      <c r="F393" s="112">
        <f t="shared" si="36"/>
        <v>5.5330473988810143</v>
      </c>
      <c r="G393" s="112">
        <f t="shared" si="37"/>
        <v>67.419953787582941</v>
      </c>
      <c r="H393" s="112">
        <f t="shared" si="38"/>
        <v>56.353858989820914</v>
      </c>
      <c r="I393" s="28"/>
      <c r="J393" s="28"/>
      <c r="K393" s="54"/>
    </row>
    <row r="394" spans="1:11">
      <c r="A394" s="104">
        <v>387</v>
      </c>
      <c r="B394" s="110">
        <v>35957</v>
      </c>
      <c r="C394" s="111">
        <v>62.968800000000002</v>
      </c>
      <c r="D394" s="111"/>
      <c r="E394" s="111">
        <f t="shared" si="41"/>
        <v>61.952369787341837</v>
      </c>
      <c r="F394" s="111">
        <f t="shared" si="36"/>
        <v>5.5330473988810143</v>
      </c>
      <c r="G394" s="111">
        <f t="shared" si="37"/>
        <v>67.485417186222847</v>
      </c>
      <c r="H394" s="111">
        <f t="shared" si="38"/>
        <v>56.41932238846082</v>
      </c>
      <c r="I394" s="29"/>
      <c r="J394" s="29"/>
      <c r="K394" s="57"/>
    </row>
    <row r="395" spans="1:11">
      <c r="A395" s="104">
        <v>388</v>
      </c>
      <c r="B395" s="110">
        <v>35958</v>
      </c>
      <c r="C395" s="111">
        <v>62.531199999999998</v>
      </c>
      <c r="D395" s="111"/>
      <c r="E395" s="111">
        <f t="shared" si="41"/>
        <v>62.017833185981729</v>
      </c>
      <c r="F395" s="111">
        <f t="shared" si="36"/>
        <v>5.5330473988810143</v>
      </c>
      <c r="G395" s="111">
        <f t="shared" si="37"/>
        <v>67.550880584862739</v>
      </c>
      <c r="H395" s="111">
        <f t="shared" si="38"/>
        <v>56.484785787100712</v>
      </c>
      <c r="I395" s="29"/>
      <c r="J395" s="29"/>
      <c r="K395" s="57"/>
    </row>
    <row r="396" spans="1:11">
      <c r="A396" s="103">
        <v>389</v>
      </c>
      <c r="B396" s="109">
        <v>35961</v>
      </c>
      <c r="C396" s="112">
        <v>62.9375</v>
      </c>
      <c r="D396" s="112"/>
      <c r="E396" s="112">
        <f t="shared" si="41"/>
        <v>62.083296584621621</v>
      </c>
      <c r="F396" s="112">
        <f t="shared" si="36"/>
        <v>5.5330473988810143</v>
      </c>
      <c r="G396" s="112">
        <f t="shared" si="37"/>
        <v>67.616343983502631</v>
      </c>
      <c r="H396" s="112">
        <f t="shared" si="38"/>
        <v>56.550249185740604</v>
      </c>
      <c r="I396" s="28"/>
      <c r="J396" s="28"/>
      <c r="K396" s="54"/>
    </row>
    <row r="397" spans="1:11">
      <c r="A397" s="103">
        <v>390</v>
      </c>
      <c r="B397" s="109">
        <v>35962</v>
      </c>
      <c r="C397" s="112">
        <v>63.5</v>
      </c>
      <c r="D397" s="112"/>
      <c r="E397" s="112">
        <f t="shared" si="41"/>
        <v>62.14875998326152</v>
      </c>
      <c r="F397" s="112">
        <f t="shared" si="36"/>
        <v>5.5330473988810143</v>
      </c>
      <c r="G397" s="112">
        <f t="shared" si="37"/>
        <v>67.681807382142537</v>
      </c>
      <c r="H397" s="112">
        <f t="shared" si="38"/>
        <v>56.615712584380503</v>
      </c>
      <c r="I397" s="28"/>
      <c r="J397" s="28"/>
      <c r="K397" s="54"/>
    </row>
    <row r="398" spans="1:11">
      <c r="A398" s="71">
        <v>391</v>
      </c>
      <c r="B398" s="110">
        <v>35963</v>
      </c>
      <c r="C398" s="111">
        <v>62.75</v>
      </c>
      <c r="D398" s="111"/>
      <c r="E398" s="111">
        <f t="shared" si="41"/>
        <v>62.214223381901419</v>
      </c>
      <c r="F398" s="111">
        <f t="shared" si="36"/>
        <v>5.5330473988810143</v>
      </c>
      <c r="G398" s="111">
        <f t="shared" si="37"/>
        <v>67.747270780782429</v>
      </c>
      <c r="H398" s="111">
        <f t="shared" si="38"/>
        <v>56.681175983020402</v>
      </c>
      <c r="I398" s="29"/>
      <c r="J398" s="29"/>
      <c r="K398" s="57"/>
    </row>
    <row r="399" spans="1:11">
      <c r="A399" s="71">
        <v>392</v>
      </c>
      <c r="B399" s="110">
        <v>35964</v>
      </c>
      <c r="C399" s="111">
        <v>62.718800000000002</v>
      </c>
      <c r="D399" s="111"/>
      <c r="E399" s="111">
        <f t="shared" si="41"/>
        <v>62.279686780541311</v>
      </c>
      <c r="F399" s="111">
        <f t="shared" si="36"/>
        <v>5.5330473988810143</v>
      </c>
      <c r="G399" s="111">
        <f t="shared" si="37"/>
        <v>67.812734179422321</v>
      </c>
      <c r="H399" s="111">
        <f t="shared" si="38"/>
        <v>56.746639381660295</v>
      </c>
      <c r="I399" s="29"/>
      <c r="J399" s="29"/>
      <c r="K399" s="57"/>
    </row>
    <row r="400" spans="1:11">
      <c r="A400" s="103">
        <v>393</v>
      </c>
      <c r="B400" s="109">
        <v>35965</v>
      </c>
      <c r="C400" s="112">
        <v>63.5</v>
      </c>
      <c r="D400" s="112"/>
      <c r="E400" s="112">
        <f t="shared" si="41"/>
        <v>62.345150179181211</v>
      </c>
      <c r="F400" s="112">
        <f t="shared" si="36"/>
        <v>5.5330473988810143</v>
      </c>
      <c r="G400" s="112">
        <f t="shared" si="37"/>
        <v>67.878197578062228</v>
      </c>
      <c r="H400" s="112">
        <f t="shared" si="38"/>
        <v>56.812102780300194</v>
      </c>
      <c r="I400" s="28"/>
      <c r="J400" s="28"/>
      <c r="K400" s="54"/>
    </row>
    <row r="401" spans="1:11">
      <c r="A401" s="103">
        <v>394</v>
      </c>
      <c r="B401" s="109">
        <v>35968</v>
      </c>
      <c r="C401" s="112">
        <v>62.906199999999998</v>
      </c>
      <c r="D401" s="192" t="s">
        <v>382</v>
      </c>
      <c r="E401" s="112">
        <f t="shared" si="41"/>
        <v>62.41061357782111</v>
      </c>
      <c r="F401" s="112">
        <f t="shared" si="36"/>
        <v>5.5330473988810143</v>
      </c>
      <c r="G401" s="112">
        <f t="shared" si="37"/>
        <v>67.94366097670212</v>
      </c>
      <c r="H401" s="112">
        <f t="shared" si="38"/>
        <v>56.877566178940093</v>
      </c>
      <c r="I401" s="28"/>
      <c r="J401" s="28"/>
      <c r="K401" s="54"/>
    </row>
    <row r="402" spans="1:11">
      <c r="A402" s="104">
        <v>395</v>
      </c>
      <c r="B402" s="110">
        <v>35969</v>
      </c>
      <c r="C402" s="111">
        <v>61.906199999999998</v>
      </c>
      <c r="D402" s="111"/>
      <c r="E402" s="111"/>
      <c r="F402" s="111"/>
      <c r="G402" s="111"/>
      <c r="H402" s="111"/>
      <c r="I402" s="29"/>
      <c r="J402" s="29"/>
      <c r="K402" s="57"/>
    </row>
    <row r="403" spans="1:11">
      <c r="A403" s="104">
        <v>396</v>
      </c>
      <c r="B403" s="110">
        <v>35970</v>
      </c>
      <c r="C403" s="111">
        <v>61.5</v>
      </c>
      <c r="D403" s="111"/>
      <c r="E403" s="111"/>
      <c r="F403" s="111"/>
      <c r="G403" s="111"/>
      <c r="H403" s="111"/>
      <c r="I403" s="29"/>
      <c r="J403" s="29"/>
      <c r="K403" s="57"/>
    </row>
    <row r="404" spans="1:11">
      <c r="A404" s="103">
        <v>397</v>
      </c>
      <c r="B404" s="109">
        <v>35971</v>
      </c>
      <c r="C404" s="112">
        <v>62.8125</v>
      </c>
      <c r="D404" s="112"/>
      <c r="E404" s="112"/>
      <c r="F404" s="112"/>
      <c r="G404" s="112"/>
      <c r="H404" s="112"/>
      <c r="I404" s="28"/>
      <c r="J404" s="28"/>
      <c r="K404" s="54"/>
    </row>
    <row r="405" spans="1:11">
      <c r="A405" s="103">
        <v>398</v>
      </c>
      <c r="B405" s="109">
        <v>35972</v>
      </c>
      <c r="C405" s="112">
        <v>63.1875</v>
      </c>
      <c r="D405" s="112"/>
      <c r="E405" s="112"/>
      <c r="F405" s="112"/>
      <c r="G405" s="112"/>
      <c r="H405" s="112"/>
      <c r="I405" s="28"/>
      <c r="J405" s="28"/>
      <c r="K405" s="54"/>
    </row>
    <row r="406" spans="1:11">
      <c r="A406" s="104">
        <v>399</v>
      </c>
      <c r="B406" s="110">
        <v>35975</v>
      </c>
      <c r="C406" s="111">
        <v>64.156199999999998</v>
      </c>
      <c r="D406" s="111"/>
      <c r="E406" s="111"/>
      <c r="F406" s="111"/>
      <c r="G406" s="111"/>
      <c r="H406" s="111"/>
      <c r="I406" s="29"/>
      <c r="J406" s="29"/>
      <c r="K406" s="57"/>
    </row>
    <row r="407" spans="1:11">
      <c r="A407" s="104">
        <v>400</v>
      </c>
      <c r="B407" s="110">
        <v>35976</v>
      </c>
      <c r="C407" s="111">
        <v>64.625</v>
      </c>
      <c r="D407" s="111"/>
      <c r="E407" s="111"/>
      <c r="F407" s="111"/>
      <c r="G407" s="111"/>
      <c r="H407" s="111"/>
      <c r="I407" s="29"/>
      <c r="J407" s="29"/>
      <c r="K407" s="57"/>
    </row>
    <row r="408" spans="1:11">
      <c r="A408" s="103">
        <v>401</v>
      </c>
      <c r="B408" s="109">
        <v>35977</v>
      </c>
      <c r="C408" s="112">
        <v>65.593800000000002</v>
      </c>
      <c r="D408" s="112"/>
      <c r="E408" s="112"/>
      <c r="F408" s="112"/>
      <c r="G408" s="112"/>
      <c r="H408" s="112"/>
      <c r="I408" s="28"/>
      <c r="J408" s="28"/>
      <c r="K408" s="54"/>
    </row>
    <row r="411" spans="1:11">
      <c r="A411" t="s">
        <v>597</v>
      </c>
    </row>
    <row r="412" spans="1:11">
      <c r="A412" t="s">
        <v>598</v>
      </c>
    </row>
    <row r="413" spans="1:11">
      <c r="A413" t="s">
        <v>599</v>
      </c>
    </row>
    <row r="414" spans="1:11">
      <c r="A414" t="s">
        <v>600</v>
      </c>
    </row>
    <row r="415" spans="1:11">
      <c r="A415" t="s">
        <v>601</v>
      </c>
    </row>
  </sheetData>
  <mergeCells count="1">
    <mergeCell ref="B5:K5"/>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7281"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7282"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7283"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7284"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97285" r:id="rId7" name="Button 5">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7286" r:id="rId8"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7287" r:id="rId9"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7288" r:id="rId10"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enableFormatConditionsCalculation="0"/>
  <dimension ref="A1:N47"/>
  <sheetViews>
    <sheetView workbookViewId="0"/>
  </sheetViews>
  <sheetFormatPr baseColWidth="10" defaultColWidth="8.83203125" defaultRowHeight="12" x14ac:dyDescent="0"/>
  <cols>
    <col min="1" max="1" width="11" customWidth="1"/>
    <col min="2" max="2" width="10.6640625" customWidth="1"/>
    <col min="3" max="3" width="10.5" customWidth="1"/>
    <col min="4" max="4" width="14.83203125" customWidth="1"/>
    <col min="5" max="5" width="11.33203125" customWidth="1"/>
    <col min="6" max="6" width="12.33203125" customWidth="1"/>
    <col min="7" max="8" width="10.3320312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425</v>
      </c>
      <c r="C3" s="21"/>
      <c r="D3" s="21"/>
      <c r="E3" s="21"/>
      <c r="F3" s="21"/>
      <c r="G3" s="21"/>
      <c r="H3" s="21"/>
      <c r="I3" s="21"/>
      <c r="J3" s="21"/>
      <c r="K3" s="21"/>
    </row>
    <row r="4" spans="1:14" ht="15">
      <c r="A4" s="118" t="s">
        <v>779</v>
      </c>
      <c r="B4" s="127" t="s">
        <v>1342</v>
      </c>
      <c r="C4" s="21"/>
      <c r="D4" s="21"/>
      <c r="E4" s="21"/>
      <c r="F4" s="21"/>
      <c r="G4" s="21"/>
      <c r="H4" s="21"/>
      <c r="I4" s="21"/>
      <c r="J4" s="21"/>
      <c r="K4" s="21"/>
    </row>
    <row r="5" spans="1:14" ht="41.25" customHeight="1">
      <c r="A5" s="19"/>
      <c r="B5" s="20"/>
      <c r="C5" s="21"/>
      <c r="D5" s="21"/>
      <c r="E5" s="21"/>
      <c r="F5" s="21"/>
      <c r="G5" s="21"/>
      <c r="H5" s="21"/>
      <c r="I5" s="21"/>
      <c r="J5" s="21"/>
      <c r="K5" s="21"/>
    </row>
    <row r="6" spans="1:14" ht="15">
      <c r="A6" s="19"/>
      <c r="B6" s="127" t="s">
        <v>1341</v>
      </c>
      <c r="C6" s="21"/>
      <c r="D6" s="21"/>
      <c r="E6" s="21"/>
      <c r="F6" s="21"/>
      <c r="G6" s="21"/>
      <c r="H6" s="21"/>
      <c r="I6" s="21"/>
      <c r="J6" s="21"/>
      <c r="K6" s="21"/>
    </row>
    <row r="7" spans="1:14" ht="15">
      <c r="A7" s="19"/>
      <c r="B7" s="20"/>
      <c r="C7" s="21"/>
      <c r="D7" s="21"/>
      <c r="E7" s="149" t="s">
        <v>1340</v>
      </c>
      <c r="F7" s="21"/>
      <c r="G7" s="21"/>
      <c r="H7" s="21"/>
      <c r="I7" s="21"/>
      <c r="J7" s="21"/>
      <c r="K7" s="21"/>
    </row>
    <row r="8" spans="1:14" ht="42" customHeight="1">
      <c r="A8" s="22" t="s">
        <v>1090</v>
      </c>
      <c r="B8" s="31" t="s">
        <v>1091</v>
      </c>
      <c r="C8" s="31" t="s">
        <v>1092</v>
      </c>
      <c r="D8" s="31" t="s">
        <v>1347</v>
      </c>
      <c r="E8" s="31" t="s">
        <v>1348</v>
      </c>
      <c r="F8" s="31" t="s">
        <v>1349</v>
      </c>
      <c r="G8" s="31"/>
      <c r="H8" s="31"/>
      <c r="I8" s="22"/>
      <c r="J8" s="22"/>
      <c r="K8" s="22"/>
    </row>
    <row r="9" spans="1:14">
      <c r="A9" s="26">
        <v>35545</v>
      </c>
      <c r="B9" s="77">
        <v>789</v>
      </c>
      <c r="C9" s="77">
        <v>1662</v>
      </c>
      <c r="D9" s="77">
        <f>B9+C9</f>
        <v>2451</v>
      </c>
      <c r="E9" s="43">
        <f>B9/(B9+C9)*100</f>
        <v>32.190942472460222</v>
      </c>
      <c r="F9" s="41">
        <f>E9</f>
        <v>32.190942472460222</v>
      </c>
      <c r="G9" s="41"/>
      <c r="H9" s="41"/>
      <c r="I9" s="28"/>
      <c r="J9" s="28"/>
      <c r="K9" s="28"/>
    </row>
    <row r="10" spans="1:14" ht="15">
      <c r="A10" s="26">
        <v>35548</v>
      </c>
      <c r="B10" s="77">
        <v>1348</v>
      </c>
      <c r="C10" s="77">
        <v>1085</v>
      </c>
      <c r="D10" s="77">
        <f t="shared" ref="D10:D41" si="0">B10+C10</f>
        <v>2433</v>
      </c>
      <c r="E10" s="43">
        <f t="shared" ref="E10:E25" si="1">B10/(B10+C10)*100</f>
        <v>55.404849979449246</v>
      </c>
      <c r="F10" s="41">
        <f t="shared" ref="F10:F41" si="2">(E10*0.09)+(F9*0.91)</f>
        <v>34.280194148089237</v>
      </c>
      <c r="G10" s="41"/>
      <c r="H10" s="41"/>
      <c r="I10" s="28"/>
      <c r="J10" s="28"/>
      <c r="K10" s="28"/>
      <c r="L10" s="241"/>
    </row>
    <row r="11" spans="1:14">
      <c r="A11" s="27">
        <v>35549</v>
      </c>
      <c r="B11" s="79">
        <v>2085</v>
      </c>
      <c r="C11" s="79">
        <v>531</v>
      </c>
      <c r="D11" s="79">
        <f t="shared" si="0"/>
        <v>2616</v>
      </c>
      <c r="E11" s="47">
        <f t="shared" si="1"/>
        <v>79.701834862385326</v>
      </c>
      <c r="F11" s="45">
        <f t="shared" si="2"/>
        <v>38.368141812375889</v>
      </c>
      <c r="G11" s="45"/>
      <c r="H11" s="45"/>
      <c r="I11" s="29"/>
      <c r="J11" s="29"/>
      <c r="K11" s="29"/>
    </row>
    <row r="12" spans="1:14">
      <c r="A12" s="27">
        <v>35550</v>
      </c>
      <c r="B12" s="79">
        <v>1599</v>
      </c>
      <c r="C12" s="79">
        <v>941</v>
      </c>
      <c r="D12" s="79">
        <f t="shared" si="0"/>
        <v>2540</v>
      </c>
      <c r="E12" s="47">
        <f t="shared" si="1"/>
        <v>62.952755905511815</v>
      </c>
      <c r="F12" s="45">
        <f t="shared" si="2"/>
        <v>40.580757080758126</v>
      </c>
      <c r="G12" s="45"/>
      <c r="H12" s="45"/>
      <c r="I12" s="29"/>
      <c r="J12" s="29"/>
      <c r="K12" s="29"/>
    </row>
    <row r="13" spans="1:14">
      <c r="A13" s="26">
        <v>35551</v>
      </c>
      <c r="B13" s="77">
        <v>1450</v>
      </c>
      <c r="C13" s="77">
        <v>1021</v>
      </c>
      <c r="D13" s="77">
        <f t="shared" si="0"/>
        <v>2471</v>
      </c>
      <c r="E13" s="43">
        <f t="shared" si="1"/>
        <v>58.680696074463782</v>
      </c>
      <c r="F13" s="41">
        <f t="shared" si="2"/>
        <v>42.209751590191637</v>
      </c>
      <c r="G13" s="41"/>
      <c r="H13" s="41"/>
      <c r="I13" s="28"/>
      <c r="J13" s="28"/>
      <c r="K13" s="28"/>
    </row>
    <row r="14" spans="1:14">
      <c r="A14" s="26">
        <v>35552</v>
      </c>
      <c r="B14" s="77">
        <v>2119</v>
      </c>
      <c r="C14" s="77">
        <v>476</v>
      </c>
      <c r="D14" s="77">
        <f t="shared" si="0"/>
        <v>2595</v>
      </c>
      <c r="E14" s="43">
        <f t="shared" si="1"/>
        <v>81.657032755298658</v>
      </c>
      <c r="F14" s="41">
        <f t="shared" si="2"/>
        <v>45.760006895051269</v>
      </c>
      <c r="G14" s="41"/>
      <c r="H14" s="41"/>
      <c r="I14" s="28"/>
      <c r="J14" s="28"/>
      <c r="K14" s="28"/>
    </row>
    <row r="15" spans="1:14">
      <c r="A15" s="27">
        <v>35555</v>
      </c>
      <c r="B15" s="79">
        <v>1958</v>
      </c>
      <c r="C15" s="79">
        <v>677</v>
      </c>
      <c r="D15" s="79">
        <f t="shared" si="0"/>
        <v>2635</v>
      </c>
      <c r="E15" s="47">
        <f t="shared" si="1"/>
        <v>74.307400379506632</v>
      </c>
      <c r="F15" s="45">
        <f t="shared" si="2"/>
        <v>48.329272308652257</v>
      </c>
      <c r="G15" s="45"/>
      <c r="H15" s="45"/>
      <c r="I15" s="29"/>
      <c r="J15" s="29"/>
      <c r="K15" s="29"/>
    </row>
    <row r="16" spans="1:14">
      <c r="A16" s="27">
        <v>35556</v>
      </c>
      <c r="B16" s="79">
        <v>1258</v>
      </c>
      <c r="C16" s="79">
        <v>1270</v>
      </c>
      <c r="D16" s="79">
        <f t="shared" si="0"/>
        <v>2528</v>
      </c>
      <c r="E16" s="47">
        <f t="shared" si="1"/>
        <v>49.7626582278481</v>
      </c>
      <c r="F16" s="45">
        <f t="shared" si="2"/>
        <v>48.458277041379887</v>
      </c>
      <c r="G16" s="45"/>
      <c r="H16" s="45"/>
      <c r="I16" s="29"/>
      <c r="J16" s="29"/>
      <c r="K16" s="29"/>
    </row>
    <row r="17" spans="1:11">
      <c r="A17" s="26">
        <v>35557</v>
      </c>
      <c r="B17" s="77">
        <v>842</v>
      </c>
      <c r="C17" s="77">
        <v>1660</v>
      </c>
      <c r="D17" s="77">
        <f t="shared" si="0"/>
        <v>2502</v>
      </c>
      <c r="E17" s="43">
        <f t="shared" si="1"/>
        <v>33.653077537969622</v>
      </c>
      <c r="F17" s="41">
        <f t="shared" si="2"/>
        <v>47.125809086072962</v>
      </c>
      <c r="G17" s="41"/>
      <c r="H17" s="41"/>
      <c r="I17" s="28"/>
      <c r="J17" s="28"/>
      <c r="K17" s="28"/>
    </row>
    <row r="18" spans="1:11">
      <c r="A18" s="26">
        <v>35558</v>
      </c>
      <c r="B18" s="77">
        <v>1398</v>
      </c>
      <c r="C18" s="77">
        <v>1097</v>
      </c>
      <c r="D18" s="77">
        <f t="shared" si="0"/>
        <v>2495</v>
      </c>
      <c r="E18" s="43">
        <f t="shared" si="1"/>
        <v>56.032064128256508</v>
      </c>
      <c r="F18" s="41">
        <f t="shared" si="2"/>
        <v>47.927372039869482</v>
      </c>
      <c r="G18" s="41"/>
      <c r="H18" s="41"/>
      <c r="I18" s="28"/>
      <c r="J18" s="28"/>
      <c r="K18" s="28"/>
    </row>
    <row r="19" spans="1:11">
      <c r="A19" s="27">
        <v>35559</v>
      </c>
      <c r="B19" s="79">
        <v>1526</v>
      </c>
      <c r="C19" s="79">
        <v>932</v>
      </c>
      <c r="D19" s="79">
        <f t="shared" si="0"/>
        <v>2458</v>
      </c>
      <c r="E19" s="47">
        <f t="shared" si="1"/>
        <v>62.082994304312443</v>
      </c>
      <c r="F19" s="45">
        <f t="shared" si="2"/>
        <v>49.201378043669351</v>
      </c>
      <c r="G19" s="45"/>
      <c r="H19" s="45"/>
      <c r="I19" s="29"/>
      <c r="J19" s="29"/>
      <c r="K19" s="29"/>
    </row>
    <row r="20" spans="1:11">
      <c r="A20" s="27">
        <v>35562</v>
      </c>
      <c r="B20" s="79">
        <v>1766</v>
      </c>
      <c r="C20" s="79">
        <v>761</v>
      </c>
      <c r="D20" s="79">
        <f t="shared" si="0"/>
        <v>2527</v>
      </c>
      <c r="E20" s="47">
        <f t="shared" si="1"/>
        <v>69.885239414325284</v>
      </c>
      <c r="F20" s="45">
        <f t="shared" si="2"/>
        <v>51.062925567028387</v>
      </c>
      <c r="G20" s="45"/>
      <c r="H20" s="45"/>
      <c r="I20" s="29"/>
      <c r="J20" s="29"/>
      <c r="K20" s="29"/>
    </row>
    <row r="21" spans="1:11">
      <c r="A21" s="26">
        <v>35563</v>
      </c>
      <c r="B21" s="77">
        <v>1133</v>
      </c>
      <c r="C21" s="77">
        <v>1322</v>
      </c>
      <c r="D21" s="77">
        <f t="shared" si="0"/>
        <v>2455</v>
      </c>
      <c r="E21" s="43">
        <f t="shared" si="1"/>
        <v>46.150712830957232</v>
      </c>
      <c r="F21" s="41">
        <f t="shared" si="2"/>
        <v>50.620826420781988</v>
      </c>
      <c r="G21" s="41"/>
      <c r="H21" s="41"/>
      <c r="I21" s="28"/>
      <c r="J21" s="28"/>
      <c r="K21" s="28"/>
    </row>
    <row r="22" spans="1:11">
      <c r="A22" s="26">
        <v>35564</v>
      </c>
      <c r="B22" s="77">
        <v>1472</v>
      </c>
      <c r="C22" s="77">
        <v>992</v>
      </c>
      <c r="D22" s="77">
        <f t="shared" si="0"/>
        <v>2464</v>
      </c>
      <c r="E22" s="43">
        <f t="shared" si="1"/>
        <v>59.740259740259738</v>
      </c>
      <c r="F22" s="41">
        <f t="shared" si="2"/>
        <v>51.441575419534992</v>
      </c>
      <c r="G22" s="41"/>
      <c r="H22" s="41"/>
      <c r="I22" s="28"/>
      <c r="J22" s="28"/>
      <c r="K22" s="28"/>
    </row>
    <row r="23" spans="1:11">
      <c r="A23" s="27">
        <v>35565</v>
      </c>
      <c r="B23" s="79">
        <v>1282</v>
      </c>
      <c r="C23" s="79">
        <v>1164</v>
      </c>
      <c r="D23" s="79">
        <f t="shared" si="0"/>
        <v>2446</v>
      </c>
      <c r="E23" s="47">
        <f t="shared" si="1"/>
        <v>52.412101390024532</v>
      </c>
      <c r="F23" s="45">
        <f t="shared" si="2"/>
        <v>51.528922756879048</v>
      </c>
      <c r="G23" s="45"/>
      <c r="H23" s="45"/>
      <c r="I23" s="29"/>
      <c r="J23" s="29"/>
      <c r="K23" s="29"/>
    </row>
    <row r="24" spans="1:11">
      <c r="A24" s="27">
        <v>35566</v>
      </c>
      <c r="B24" s="79">
        <v>973</v>
      </c>
      <c r="C24" s="79">
        <v>1431</v>
      </c>
      <c r="D24" s="79">
        <f t="shared" si="0"/>
        <v>2404</v>
      </c>
      <c r="E24" s="47">
        <f t="shared" si="1"/>
        <v>40.47420965058236</v>
      </c>
      <c r="F24" s="45">
        <f t="shared" si="2"/>
        <v>50.533998577312346</v>
      </c>
      <c r="G24" s="45"/>
      <c r="H24" s="45"/>
      <c r="I24" s="29"/>
      <c r="J24" s="29"/>
      <c r="K24" s="29"/>
    </row>
    <row r="25" spans="1:11">
      <c r="A25" s="26">
        <v>35569</v>
      </c>
      <c r="B25" s="77">
        <v>1390</v>
      </c>
      <c r="C25" s="77">
        <v>1056</v>
      </c>
      <c r="D25" s="77">
        <f t="shared" si="0"/>
        <v>2446</v>
      </c>
      <c r="E25" s="43">
        <f t="shared" si="1"/>
        <v>56.827473426001639</v>
      </c>
      <c r="F25" s="41">
        <f t="shared" si="2"/>
        <v>51.10041131369438</v>
      </c>
      <c r="G25" s="41"/>
      <c r="H25" s="41"/>
      <c r="I25" s="28"/>
      <c r="J25" s="28"/>
      <c r="K25" s="28"/>
    </row>
    <row r="26" spans="1:11">
      <c r="A26" s="26">
        <v>35570</v>
      </c>
      <c r="B26" s="77">
        <v>1411</v>
      </c>
      <c r="C26" s="77">
        <v>1040</v>
      </c>
      <c r="D26" s="77">
        <f t="shared" si="0"/>
        <v>2451</v>
      </c>
      <c r="E26" s="43">
        <f t="shared" ref="E26:E41" si="3">B26/(B26+C26)*100</f>
        <v>57.568339453284381</v>
      </c>
      <c r="F26" s="41">
        <f t="shared" si="2"/>
        <v>51.682524846257479</v>
      </c>
      <c r="G26" s="41"/>
      <c r="H26" s="41"/>
      <c r="I26" s="28"/>
      <c r="J26" s="28"/>
      <c r="K26" s="28"/>
    </row>
    <row r="27" spans="1:11">
      <c r="A27" s="27">
        <v>35571</v>
      </c>
      <c r="B27" s="79">
        <v>1421</v>
      </c>
      <c r="C27" s="79">
        <v>1107</v>
      </c>
      <c r="D27" s="79">
        <f t="shared" si="0"/>
        <v>2528</v>
      </c>
      <c r="E27" s="47">
        <f t="shared" si="3"/>
        <v>56.210443037974692</v>
      </c>
      <c r="F27" s="45">
        <f t="shared" si="2"/>
        <v>52.090037483512027</v>
      </c>
      <c r="G27" s="45"/>
      <c r="H27" s="45"/>
      <c r="I27" s="29"/>
      <c r="J27" s="29"/>
      <c r="K27" s="29"/>
    </row>
    <row r="28" spans="1:11">
      <c r="A28" s="27">
        <v>35572</v>
      </c>
      <c r="B28" s="79">
        <v>1270</v>
      </c>
      <c r="C28" s="79">
        <v>1176</v>
      </c>
      <c r="D28" s="79">
        <f t="shared" si="0"/>
        <v>2446</v>
      </c>
      <c r="E28" s="47">
        <f t="shared" si="3"/>
        <v>51.92150449713818</v>
      </c>
      <c r="F28" s="45">
        <f t="shared" si="2"/>
        <v>52.074869514738381</v>
      </c>
      <c r="G28" s="45"/>
      <c r="H28" s="45"/>
      <c r="I28" s="29"/>
      <c r="J28" s="29"/>
      <c r="K28" s="29"/>
    </row>
    <row r="29" spans="1:11">
      <c r="A29" s="26">
        <v>35573</v>
      </c>
      <c r="B29" s="77">
        <v>1875</v>
      </c>
      <c r="C29" s="77">
        <v>618</v>
      </c>
      <c r="D29" s="77">
        <f t="shared" si="0"/>
        <v>2493</v>
      </c>
      <c r="E29" s="43">
        <f t="shared" si="3"/>
        <v>75.210589651022858</v>
      </c>
      <c r="F29" s="41">
        <f t="shared" si="2"/>
        <v>54.157084327003986</v>
      </c>
      <c r="G29" s="41"/>
      <c r="H29" s="41"/>
      <c r="I29" s="28"/>
      <c r="J29" s="28"/>
      <c r="K29" s="28"/>
    </row>
    <row r="30" spans="1:11">
      <c r="A30" s="26">
        <v>35577</v>
      </c>
      <c r="B30" s="77">
        <v>1221</v>
      </c>
      <c r="C30" s="77">
        <v>1299</v>
      </c>
      <c r="D30" s="77">
        <f t="shared" si="0"/>
        <v>2520</v>
      </c>
      <c r="E30" s="43">
        <f t="shared" si="3"/>
        <v>48.452380952380949</v>
      </c>
      <c r="F30" s="41">
        <f t="shared" si="2"/>
        <v>53.643661023287919</v>
      </c>
      <c r="G30" s="41"/>
      <c r="H30" s="41"/>
      <c r="I30" s="28"/>
      <c r="J30" s="28"/>
      <c r="K30" s="28"/>
    </row>
    <row r="31" spans="1:11">
      <c r="A31" s="27">
        <v>35578</v>
      </c>
      <c r="B31" s="79">
        <v>1309</v>
      </c>
      <c r="C31" s="79">
        <v>1147</v>
      </c>
      <c r="D31" s="79">
        <f t="shared" si="0"/>
        <v>2456</v>
      </c>
      <c r="E31" s="47">
        <f t="shared" si="3"/>
        <v>53.29804560260586</v>
      </c>
      <c r="F31" s="45">
        <f t="shared" si="2"/>
        <v>53.612555635426531</v>
      </c>
      <c r="G31" s="45"/>
      <c r="H31" s="45"/>
      <c r="I31" s="29"/>
      <c r="J31" s="29"/>
      <c r="K31" s="29"/>
    </row>
    <row r="32" spans="1:11">
      <c r="A32" s="27">
        <v>35579</v>
      </c>
      <c r="B32" s="79">
        <v>1431</v>
      </c>
      <c r="C32" s="79">
        <v>1043</v>
      </c>
      <c r="D32" s="79">
        <f t="shared" si="0"/>
        <v>2474</v>
      </c>
      <c r="E32" s="47">
        <f t="shared" si="3"/>
        <v>57.84155214227971</v>
      </c>
      <c r="F32" s="45">
        <f t="shared" si="2"/>
        <v>53.993165321043321</v>
      </c>
      <c r="G32" s="45"/>
      <c r="H32" s="45"/>
      <c r="I32" s="29"/>
      <c r="J32" s="29"/>
      <c r="K32" s="29"/>
    </row>
    <row r="33" spans="1:11">
      <c r="A33" s="26">
        <v>35580</v>
      </c>
      <c r="B33" s="77">
        <v>1584</v>
      </c>
      <c r="C33" s="77">
        <v>901</v>
      </c>
      <c r="D33" s="77">
        <f t="shared" si="0"/>
        <v>2485</v>
      </c>
      <c r="E33" s="43">
        <f t="shared" si="3"/>
        <v>63.742454728370227</v>
      </c>
      <c r="F33" s="41">
        <f t="shared" si="2"/>
        <v>54.87060136770274</v>
      </c>
      <c r="G33" s="41"/>
      <c r="H33" s="41"/>
      <c r="I33" s="28"/>
      <c r="J33" s="28"/>
      <c r="K33" s="28"/>
    </row>
    <row r="34" spans="1:11">
      <c r="A34" s="26">
        <v>35583</v>
      </c>
      <c r="B34" s="77">
        <v>1530</v>
      </c>
      <c r="C34" s="77">
        <v>963</v>
      </c>
      <c r="D34" s="77">
        <f t="shared" si="0"/>
        <v>2493</v>
      </c>
      <c r="E34" s="43">
        <f t="shared" si="3"/>
        <v>61.371841155234655</v>
      </c>
      <c r="F34" s="41">
        <f t="shared" si="2"/>
        <v>55.455712948580612</v>
      </c>
      <c r="G34" s="41"/>
      <c r="H34" s="41"/>
      <c r="I34" s="28"/>
      <c r="J34" s="28"/>
      <c r="K34" s="28"/>
    </row>
    <row r="35" spans="1:11">
      <c r="A35" s="27">
        <v>35584</v>
      </c>
      <c r="B35" s="79">
        <v>1472</v>
      </c>
      <c r="C35" s="79">
        <v>1022</v>
      </c>
      <c r="D35" s="79">
        <f t="shared" si="0"/>
        <v>2494</v>
      </c>
      <c r="E35" s="47">
        <f t="shared" si="3"/>
        <v>59.021651964715318</v>
      </c>
      <c r="F35" s="45">
        <f t="shared" si="2"/>
        <v>55.776647460032734</v>
      </c>
      <c r="G35" s="45"/>
      <c r="H35" s="45"/>
      <c r="I35" s="29"/>
      <c r="J35" s="29"/>
      <c r="K35" s="29"/>
    </row>
    <row r="36" spans="1:11">
      <c r="A36" s="27">
        <v>35585</v>
      </c>
      <c r="B36" s="79">
        <v>1147</v>
      </c>
      <c r="C36" s="79">
        <v>1322</v>
      </c>
      <c r="D36" s="79">
        <f t="shared" si="0"/>
        <v>2469</v>
      </c>
      <c r="E36" s="47">
        <f t="shared" si="3"/>
        <v>46.456055083029568</v>
      </c>
      <c r="F36" s="45">
        <f t="shared" si="2"/>
        <v>54.937794146102448</v>
      </c>
      <c r="G36" s="45"/>
      <c r="H36" s="45"/>
      <c r="I36" s="29"/>
      <c r="J36" s="29"/>
      <c r="K36" s="29"/>
    </row>
    <row r="37" spans="1:11">
      <c r="A37" s="26">
        <v>35586</v>
      </c>
      <c r="B37" s="77">
        <v>1489</v>
      </c>
      <c r="C37" s="77">
        <v>956</v>
      </c>
      <c r="D37" s="77">
        <f t="shared" si="0"/>
        <v>2445</v>
      </c>
      <c r="E37" s="43">
        <f t="shared" si="3"/>
        <v>60.899795501022489</v>
      </c>
      <c r="F37" s="41">
        <f t="shared" si="2"/>
        <v>55.474374268045253</v>
      </c>
      <c r="G37" s="41"/>
      <c r="H37" s="41"/>
      <c r="I37" s="28"/>
      <c r="J37" s="28"/>
      <c r="K37" s="28"/>
    </row>
    <row r="38" spans="1:11">
      <c r="A38" s="26">
        <v>35587</v>
      </c>
      <c r="B38" s="77">
        <v>1703</v>
      </c>
      <c r="C38" s="77">
        <v>734</v>
      </c>
      <c r="D38" s="77">
        <f t="shared" si="0"/>
        <v>2437</v>
      </c>
      <c r="E38" s="43">
        <f t="shared" si="3"/>
        <v>69.881001231021742</v>
      </c>
      <c r="F38" s="41">
        <f t="shared" si="2"/>
        <v>56.770970694713142</v>
      </c>
      <c r="G38" s="41"/>
      <c r="H38" s="41"/>
      <c r="I38" s="28"/>
      <c r="J38" s="28"/>
      <c r="K38" s="28"/>
    </row>
    <row r="39" spans="1:11">
      <c r="A39" s="27">
        <v>35590</v>
      </c>
      <c r="B39" s="79">
        <v>1415</v>
      </c>
      <c r="C39" s="79">
        <v>1084</v>
      </c>
      <c r="D39" s="79">
        <f t="shared" si="0"/>
        <v>2499</v>
      </c>
      <c r="E39" s="47">
        <f t="shared" si="3"/>
        <v>56.622649059623853</v>
      </c>
      <c r="F39" s="45">
        <f t="shared" si="2"/>
        <v>56.757621747555106</v>
      </c>
      <c r="G39" s="45"/>
      <c r="H39" s="45"/>
      <c r="I39" s="29"/>
      <c r="J39" s="29"/>
      <c r="K39" s="29"/>
    </row>
    <row r="40" spans="1:11">
      <c r="A40" s="27">
        <v>35591</v>
      </c>
      <c r="B40" s="79">
        <v>1403</v>
      </c>
      <c r="C40" s="79">
        <v>1130</v>
      </c>
      <c r="D40" s="79">
        <f t="shared" si="0"/>
        <v>2533</v>
      </c>
      <c r="E40" s="47">
        <f t="shared" si="3"/>
        <v>55.38886695617844</v>
      </c>
      <c r="F40" s="45">
        <f t="shared" si="2"/>
        <v>56.63443381633121</v>
      </c>
      <c r="G40" s="45"/>
      <c r="H40" s="45"/>
      <c r="I40" s="29"/>
      <c r="J40" s="29"/>
      <c r="K40" s="29"/>
    </row>
    <row r="41" spans="1:11">
      <c r="A41" s="26">
        <v>35592</v>
      </c>
      <c r="B41" s="77">
        <v>1511</v>
      </c>
      <c r="C41" s="77">
        <v>1027</v>
      </c>
      <c r="D41" s="77">
        <f t="shared" si="0"/>
        <v>2538</v>
      </c>
      <c r="E41" s="43">
        <f t="shared" si="3"/>
        <v>59.535066981875495</v>
      </c>
      <c r="F41" s="41">
        <f t="shared" si="2"/>
        <v>56.895490801230203</v>
      </c>
      <c r="G41" s="41"/>
      <c r="H41" s="41"/>
      <c r="I41" s="28"/>
      <c r="J41" s="28"/>
      <c r="K41" s="28"/>
    </row>
    <row r="44" spans="1:11" ht="15">
      <c r="A44" s="241" t="s">
        <v>1343</v>
      </c>
    </row>
    <row r="45" spans="1:11" ht="32.25" customHeight="1">
      <c r="A45" s="447" t="s">
        <v>1344</v>
      </c>
      <c r="B45" s="447"/>
      <c r="C45" s="447"/>
      <c r="D45" s="447"/>
      <c r="E45" s="447"/>
      <c r="F45" s="447"/>
      <c r="G45" s="447"/>
      <c r="H45" s="447"/>
      <c r="I45" s="447"/>
      <c r="J45" s="447"/>
      <c r="K45" s="447"/>
    </row>
    <row r="46" spans="1:11" ht="48" customHeight="1">
      <c r="A46" s="447" t="s">
        <v>1345</v>
      </c>
      <c r="B46" s="447"/>
      <c r="C46" s="447"/>
      <c r="D46" s="447"/>
      <c r="E46" s="447"/>
      <c r="F46" s="447"/>
      <c r="G46" s="447"/>
      <c r="H46" s="447"/>
      <c r="I46" s="447"/>
      <c r="J46" s="447"/>
      <c r="K46" s="447"/>
    </row>
    <row r="47" spans="1:11" ht="30.75" customHeight="1">
      <c r="A47" s="447" t="s">
        <v>1346</v>
      </c>
      <c r="B47" s="447"/>
      <c r="C47" s="447"/>
      <c r="D47" s="447"/>
      <c r="E47" s="447"/>
      <c r="F47" s="447"/>
      <c r="G47" s="447"/>
      <c r="H47" s="447"/>
      <c r="I47" s="447"/>
      <c r="J47" s="447"/>
      <c r="K47" s="447"/>
    </row>
  </sheetData>
  <mergeCells count="3">
    <mergeCell ref="A45:K45"/>
    <mergeCell ref="A46:K46"/>
    <mergeCell ref="A47:K47"/>
  </mergeCells>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4821" r:id="rId3" name="Button 5">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34822" r:id="rId4"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34823" r:id="rId5"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34824" r:id="rId6"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34825" r:id="rId7" name="Button 9">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34826" r:id="rId8" name="Button 10">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34827" r:id="rId9" name="Button 11">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34828" r:id="rId10" name="Button 12">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enableFormatConditionsCalculation="0"/>
  <dimension ref="A1:P1442"/>
  <sheetViews>
    <sheetView workbookViewId="0"/>
  </sheetViews>
  <sheetFormatPr baseColWidth="10" defaultColWidth="8.83203125" defaultRowHeight="12" x14ac:dyDescent="0"/>
  <cols>
    <col min="1" max="1" width="11.33203125" customWidth="1"/>
    <col min="2" max="2" width="10.1640625" customWidth="1"/>
    <col min="4" max="4" width="11.33203125" customWidth="1"/>
    <col min="5" max="6" width="12.6640625" customWidth="1"/>
    <col min="8" max="8" width="10.83203125" customWidth="1"/>
    <col min="9" max="9" width="10.5" customWidth="1"/>
    <col min="10" max="10" width="11.33203125" customWidth="1"/>
    <col min="11" max="11" width="13.5" customWidth="1"/>
    <col min="12" max="12" width="9.6640625" customWidth="1"/>
    <col min="13" max="13" width="10" customWidth="1"/>
    <col min="14" max="14" width="16.1640625" customWidth="1"/>
  </cols>
  <sheetData>
    <row r="1" spans="1:16">
      <c r="A1" s="21"/>
      <c r="B1" s="21"/>
      <c r="C1" s="21" t="s">
        <v>846</v>
      </c>
      <c r="D1" s="21"/>
      <c r="E1" s="21"/>
      <c r="F1" s="21"/>
      <c r="G1" s="21"/>
      <c r="H1" s="21"/>
      <c r="I1" s="21"/>
      <c r="J1" s="21"/>
      <c r="K1" s="21"/>
      <c r="L1" s="21"/>
      <c r="M1" s="21"/>
      <c r="N1" s="21"/>
      <c r="O1" s="21"/>
    </row>
    <row r="2" spans="1:16" ht="21" customHeight="1">
      <c r="A2" s="21"/>
      <c r="B2" s="21"/>
      <c r="C2" s="21"/>
      <c r="D2" s="374"/>
      <c r="E2" s="374"/>
      <c r="F2" s="374"/>
      <c r="G2" s="374"/>
      <c r="H2" s="374"/>
      <c r="I2" s="374"/>
      <c r="J2" s="374"/>
      <c r="K2" s="374"/>
      <c r="L2" s="374"/>
      <c r="M2" s="374"/>
      <c r="N2" s="374"/>
      <c r="O2" s="21"/>
    </row>
    <row r="3" spans="1:16">
      <c r="A3" s="19" t="s">
        <v>1045</v>
      </c>
      <c r="B3" s="20" t="s">
        <v>426</v>
      </c>
      <c r="C3" s="21"/>
      <c r="D3" s="21"/>
      <c r="E3" s="21"/>
      <c r="F3" s="21"/>
      <c r="G3" s="21"/>
      <c r="H3" s="21"/>
      <c r="I3" s="21"/>
      <c r="J3" s="21"/>
      <c r="K3" s="21"/>
      <c r="L3" s="21"/>
      <c r="M3" s="21"/>
      <c r="N3" s="21"/>
      <c r="O3" s="21"/>
    </row>
    <row r="4" spans="1:16">
      <c r="A4" s="19" t="s">
        <v>774</v>
      </c>
      <c r="B4" s="20" t="s">
        <v>139</v>
      </c>
      <c r="C4" s="21"/>
      <c r="D4" s="21"/>
      <c r="E4" s="21"/>
      <c r="F4" s="21"/>
      <c r="G4" s="21"/>
      <c r="H4" s="21"/>
      <c r="I4" s="21"/>
      <c r="J4" s="21"/>
      <c r="K4" s="21"/>
      <c r="L4" s="21"/>
      <c r="M4" s="21"/>
      <c r="N4" s="21"/>
      <c r="O4" s="21"/>
    </row>
    <row r="5" spans="1:16" ht="43.5" customHeight="1">
      <c r="A5" s="118" t="s">
        <v>779</v>
      </c>
      <c r="B5" s="457" t="s">
        <v>1060</v>
      </c>
      <c r="C5" s="462"/>
      <c r="D5" s="462"/>
      <c r="E5" s="462"/>
      <c r="F5" s="462"/>
      <c r="G5" s="462"/>
      <c r="H5" s="462"/>
      <c r="I5" s="462"/>
      <c r="J5" s="462"/>
      <c r="K5" s="21"/>
      <c r="L5" s="21"/>
      <c r="M5" s="21"/>
      <c r="N5" s="21"/>
      <c r="O5" s="21"/>
    </row>
    <row r="6" spans="1:16" ht="30.75" customHeight="1">
      <c r="A6" s="19"/>
      <c r="B6" s="457" t="s">
        <v>1061</v>
      </c>
      <c r="C6" s="462"/>
      <c r="D6" s="462"/>
      <c r="E6" s="462"/>
      <c r="F6" s="462"/>
      <c r="G6" s="462"/>
      <c r="H6" s="462"/>
      <c r="I6" s="462"/>
      <c r="J6" s="462"/>
      <c r="K6" s="21"/>
      <c r="L6" s="21"/>
      <c r="M6" s="21"/>
      <c r="N6" s="21"/>
      <c r="O6" s="21"/>
    </row>
    <row r="7" spans="1:16" ht="13">
      <c r="A7" s="21"/>
      <c r="B7" s="457" t="s">
        <v>1062</v>
      </c>
      <c r="C7" s="462"/>
      <c r="D7" s="462"/>
      <c r="E7" s="462"/>
      <c r="F7" s="462"/>
      <c r="G7" s="462"/>
      <c r="H7" s="462"/>
      <c r="I7" s="462"/>
      <c r="J7" s="462"/>
      <c r="K7" s="21"/>
      <c r="L7" s="21"/>
      <c r="M7" s="21"/>
      <c r="N7" s="21"/>
      <c r="O7" s="21"/>
    </row>
    <row r="8" spans="1:16">
      <c r="A8" s="19" t="s">
        <v>635</v>
      </c>
      <c r="B8" s="20" t="s">
        <v>1063</v>
      </c>
      <c r="C8" s="21"/>
      <c r="D8" s="21"/>
      <c r="E8" s="21"/>
      <c r="F8" s="21"/>
      <c r="G8" s="21"/>
      <c r="H8" s="21"/>
      <c r="I8" s="21"/>
      <c r="J8" s="21"/>
      <c r="K8" s="21"/>
      <c r="L8" s="21"/>
      <c r="M8" s="21"/>
      <c r="N8" s="21"/>
      <c r="O8" s="21"/>
    </row>
    <row r="9" spans="1:16" s="1" customFormat="1" ht="51" customHeight="1">
      <c r="A9" s="22" t="s">
        <v>1090</v>
      </c>
      <c r="B9" s="22" t="s">
        <v>1096</v>
      </c>
      <c r="C9" s="22" t="s">
        <v>1097</v>
      </c>
      <c r="D9" s="22" t="s">
        <v>1098</v>
      </c>
      <c r="E9" s="31" t="s">
        <v>209</v>
      </c>
      <c r="F9" s="31" t="s">
        <v>210</v>
      </c>
      <c r="G9" s="22" t="s">
        <v>427</v>
      </c>
      <c r="H9" s="22" t="s">
        <v>428</v>
      </c>
      <c r="I9" s="22" t="s">
        <v>429</v>
      </c>
      <c r="J9" s="22" t="s">
        <v>430</v>
      </c>
      <c r="K9" s="151" t="s">
        <v>211</v>
      </c>
      <c r="L9" s="151" t="s">
        <v>431</v>
      </c>
      <c r="M9" s="151" t="s">
        <v>432</v>
      </c>
      <c r="N9" s="151" t="s">
        <v>433</v>
      </c>
      <c r="O9" s="151" t="s">
        <v>434</v>
      </c>
    </row>
    <row r="10" spans="1:16">
      <c r="A10" s="26">
        <v>33070</v>
      </c>
      <c r="B10" s="52">
        <v>45.125</v>
      </c>
      <c r="C10" s="52">
        <v>44.8125</v>
      </c>
      <c r="D10" s="52">
        <v>44.9375</v>
      </c>
      <c r="E10" s="52"/>
      <c r="F10" s="52"/>
      <c r="G10" s="52"/>
      <c r="H10" s="52"/>
      <c r="I10" s="52"/>
      <c r="J10" s="64"/>
      <c r="K10" s="132"/>
      <c r="L10" s="132"/>
      <c r="M10" s="132"/>
      <c r="N10" s="132"/>
      <c r="O10" s="132"/>
      <c r="P10" s="2"/>
    </row>
    <row r="11" spans="1:16">
      <c r="A11" s="26">
        <v>33071</v>
      </c>
      <c r="B11" s="52">
        <v>45.125</v>
      </c>
      <c r="C11" s="52">
        <v>44.75</v>
      </c>
      <c r="D11" s="52">
        <v>45.125</v>
      </c>
      <c r="E11" s="52"/>
      <c r="F11" s="52"/>
      <c r="G11" s="52"/>
      <c r="H11" s="52"/>
      <c r="I11" s="52"/>
      <c r="J11" s="64"/>
      <c r="K11" s="132"/>
      <c r="L11" s="132"/>
      <c r="M11" s="132"/>
      <c r="N11" s="132"/>
      <c r="O11" s="132"/>
      <c r="P11" s="2"/>
    </row>
    <row r="12" spans="1:16">
      <c r="A12" s="27">
        <v>33072</v>
      </c>
      <c r="B12" s="55">
        <v>45</v>
      </c>
      <c r="C12" s="55">
        <v>44.6875</v>
      </c>
      <c r="D12" s="55">
        <v>44.875</v>
      </c>
      <c r="E12" s="55"/>
      <c r="F12" s="55"/>
      <c r="G12" s="55"/>
      <c r="H12" s="55"/>
      <c r="I12" s="55"/>
      <c r="J12" s="65"/>
      <c r="K12" s="154"/>
      <c r="L12" s="154"/>
      <c r="M12" s="154"/>
      <c r="N12" s="154"/>
      <c r="O12" s="154"/>
      <c r="P12" s="2"/>
    </row>
    <row r="13" spans="1:16">
      <c r="A13" s="27">
        <v>33073</v>
      </c>
      <c r="B13" s="55">
        <v>45</v>
      </c>
      <c r="C13" s="55">
        <v>44.75</v>
      </c>
      <c r="D13" s="55">
        <v>45</v>
      </c>
      <c r="E13" s="55"/>
      <c r="F13" s="55"/>
      <c r="G13" s="55"/>
      <c r="H13" s="55"/>
      <c r="I13" s="55"/>
      <c r="J13" s="65"/>
      <c r="K13" s="154"/>
      <c r="L13" s="154"/>
      <c r="M13" s="154"/>
      <c r="N13" s="154"/>
      <c r="O13" s="154"/>
      <c r="P13" s="2"/>
    </row>
    <row r="14" spans="1:16">
      <c r="A14" s="26">
        <v>33074</v>
      </c>
      <c r="B14" s="52">
        <v>45.375</v>
      </c>
      <c r="C14" s="52">
        <v>44.8125</v>
      </c>
      <c r="D14" s="52">
        <v>44.875</v>
      </c>
      <c r="E14" s="52">
        <f>MAX(B10:B14)</f>
        <v>45.375</v>
      </c>
      <c r="F14" s="52">
        <f>MIN(C10:C14)</f>
        <v>44.6875</v>
      </c>
      <c r="G14" s="52">
        <f>(E14+F14)/2</f>
        <v>45.03125</v>
      </c>
      <c r="H14" s="52">
        <f>D14-G14</f>
        <v>-0.15625</v>
      </c>
      <c r="I14" s="160">
        <f>H14</f>
        <v>-0.15625</v>
      </c>
      <c r="J14" s="64"/>
      <c r="K14" s="132">
        <f>E14-F14</f>
        <v>0.6875</v>
      </c>
      <c r="L14" s="162">
        <f>K14</f>
        <v>0.6875</v>
      </c>
      <c r="M14" s="132"/>
      <c r="N14" s="132"/>
      <c r="O14" s="132"/>
      <c r="P14" s="2"/>
    </row>
    <row r="15" spans="1:16">
      <c r="A15" s="26">
        <v>33077</v>
      </c>
      <c r="B15" s="52">
        <v>44.8125</v>
      </c>
      <c r="C15" s="52">
        <v>43.75</v>
      </c>
      <c r="D15" s="52">
        <v>44.5</v>
      </c>
      <c r="E15" s="52">
        <f t="shared" ref="E15:E30" si="0">MAX(B11:B15)</f>
        <v>45.375</v>
      </c>
      <c r="F15" s="52">
        <f t="shared" ref="F15:F30" si="1">MIN(C11:C15)</f>
        <v>43.75</v>
      </c>
      <c r="G15" s="52">
        <f t="shared" ref="G15:G30" si="2">(E15+F15)/2</f>
        <v>44.5625</v>
      </c>
      <c r="H15" s="52">
        <f t="shared" ref="H15:H30" si="3">D15-G15</f>
        <v>-6.25E-2</v>
      </c>
      <c r="I15" s="160">
        <f>(H15*2/(3+1))+(I14*(1-(2/(3+1))))</f>
        <v>-0.109375</v>
      </c>
      <c r="J15" s="64"/>
      <c r="K15" s="132">
        <f t="shared" ref="K15:K30" si="4">E15-F15</f>
        <v>1.625</v>
      </c>
      <c r="L15" s="162">
        <f t="shared" ref="L15:M65" si="5">(K15*2/(3+1))+(L14*(1-(2/(3+1))))</f>
        <v>1.15625</v>
      </c>
      <c r="M15" s="132"/>
      <c r="N15" s="132"/>
      <c r="O15" s="132"/>
      <c r="P15" s="2"/>
    </row>
    <row r="16" spans="1:16">
      <c r="A16" s="27">
        <v>33078</v>
      </c>
      <c r="B16" s="55">
        <v>45.125</v>
      </c>
      <c r="C16" s="55">
        <v>44.25</v>
      </c>
      <c r="D16" s="55">
        <v>45.125</v>
      </c>
      <c r="E16" s="55">
        <f t="shared" si="0"/>
        <v>45.375</v>
      </c>
      <c r="F16" s="55">
        <f t="shared" si="1"/>
        <v>43.75</v>
      </c>
      <c r="G16" s="55">
        <f t="shared" si="2"/>
        <v>44.5625</v>
      </c>
      <c r="H16" s="55">
        <f t="shared" si="3"/>
        <v>0.5625</v>
      </c>
      <c r="I16" s="55">
        <f t="shared" ref="I16:I65" si="6">(H16*2/(3+1))+(I15*(1-(2/(3+1))))</f>
        <v>0.2265625</v>
      </c>
      <c r="J16" s="161">
        <f>I16</f>
        <v>0.2265625</v>
      </c>
      <c r="K16" s="154">
        <f t="shared" si="4"/>
        <v>1.625</v>
      </c>
      <c r="L16" s="154">
        <f t="shared" si="5"/>
        <v>1.390625</v>
      </c>
      <c r="M16" s="163">
        <f>L16</f>
        <v>1.390625</v>
      </c>
      <c r="N16" s="154"/>
      <c r="O16" s="154"/>
      <c r="P16" s="2"/>
    </row>
    <row r="17" spans="1:16">
      <c r="A17" s="27">
        <v>33079</v>
      </c>
      <c r="B17" s="55">
        <v>45.6875</v>
      </c>
      <c r="C17" s="55">
        <v>44.9375</v>
      </c>
      <c r="D17" s="55">
        <v>45.4375</v>
      </c>
      <c r="E17" s="55">
        <f t="shared" si="0"/>
        <v>45.6875</v>
      </c>
      <c r="F17" s="55">
        <f t="shared" si="1"/>
        <v>43.75</v>
      </c>
      <c r="G17" s="55">
        <f t="shared" si="2"/>
        <v>44.71875</v>
      </c>
      <c r="H17" s="55">
        <f t="shared" si="3"/>
        <v>0.71875</v>
      </c>
      <c r="I17" s="55">
        <f t="shared" si="6"/>
        <v>0.47265625</v>
      </c>
      <c r="J17" s="161">
        <f t="shared" ref="J17:J65" si="7">(I17*2/(3+1))+(J16*(1-(2/(3+1))))</f>
        <v>0.349609375</v>
      </c>
      <c r="K17" s="154">
        <f t="shared" si="4"/>
        <v>1.9375</v>
      </c>
      <c r="L17" s="154">
        <f t="shared" si="5"/>
        <v>1.6640625</v>
      </c>
      <c r="M17" s="163">
        <f t="shared" si="5"/>
        <v>1.52734375</v>
      </c>
      <c r="N17" s="154"/>
      <c r="O17" s="154"/>
      <c r="P17" s="2"/>
    </row>
    <row r="18" spans="1:16">
      <c r="A18" s="26">
        <v>33080</v>
      </c>
      <c r="B18" s="52">
        <v>45.4375</v>
      </c>
      <c r="C18" s="52">
        <v>45</v>
      </c>
      <c r="D18" s="52">
        <v>45.375</v>
      </c>
      <c r="E18" s="52">
        <f t="shared" si="0"/>
        <v>45.6875</v>
      </c>
      <c r="F18" s="52">
        <f t="shared" si="1"/>
        <v>43.75</v>
      </c>
      <c r="G18" s="52">
        <f t="shared" si="2"/>
        <v>44.71875</v>
      </c>
      <c r="H18" s="52">
        <f t="shared" si="3"/>
        <v>0.65625</v>
      </c>
      <c r="I18" s="52">
        <f t="shared" si="6"/>
        <v>0.564453125</v>
      </c>
      <c r="J18" s="64">
        <f t="shared" si="7"/>
        <v>0.45703125</v>
      </c>
      <c r="K18" s="132">
        <f t="shared" si="4"/>
        <v>1.9375</v>
      </c>
      <c r="L18" s="132">
        <f t="shared" si="5"/>
        <v>1.80078125</v>
      </c>
      <c r="M18" s="132">
        <f t="shared" si="5"/>
        <v>1.6640625</v>
      </c>
      <c r="N18" s="132">
        <f>M18/2</f>
        <v>0.83203125</v>
      </c>
      <c r="O18" s="132">
        <f>(J18/N18)*100</f>
        <v>54.929577464788736</v>
      </c>
      <c r="P18" s="2"/>
    </row>
    <row r="19" spans="1:16">
      <c r="A19" s="26">
        <v>33081</v>
      </c>
      <c r="B19" s="52">
        <v>45.3125</v>
      </c>
      <c r="C19" s="52">
        <v>44.8125</v>
      </c>
      <c r="D19" s="52">
        <v>44.875</v>
      </c>
      <c r="E19" s="52">
        <f t="shared" si="0"/>
        <v>45.6875</v>
      </c>
      <c r="F19" s="52">
        <f t="shared" si="1"/>
        <v>43.75</v>
      </c>
      <c r="G19" s="52">
        <f t="shared" si="2"/>
        <v>44.71875</v>
      </c>
      <c r="H19" s="52">
        <f t="shared" si="3"/>
        <v>0.15625</v>
      </c>
      <c r="I19" s="52">
        <f t="shared" si="6"/>
        <v>0.3603515625</v>
      </c>
      <c r="J19" s="64">
        <f t="shared" si="7"/>
        <v>0.40869140625</v>
      </c>
      <c r="K19" s="132">
        <f t="shared" si="4"/>
        <v>1.9375</v>
      </c>
      <c r="L19" s="132">
        <f t="shared" si="5"/>
        <v>1.869140625</v>
      </c>
      <c r="M19" s="132">
        <f t="shared" si="5"/>
        <v>1.7666015625</v>
      </c>
      <c r="N19" s="132">
        <f t="shared" ref="N19:N34" si="8">M19/2</f>
        <v>0.88330078125</v>
      </c>
      <c r="O19" s="132">
        <f t="shared" ref="O19:O34" si="9">(J19/N19)*100</f>
        <v>46.268656716417908</v>
      </c>
      <c r="P19" s="2"/>
    </row>
    <row r="20" spans="1:16">
      <c r="A20" s="27">
        <v>33084</v>
      </c>
      <c r="B20" s="55">
        <v>45.1875</v>
      </c>
      <c r="C20" s="55">
        <v>44.1875</v>
      </c>
      <c r="D20" s="55">
        <v>45.0625</v>
      </c>
      <c r="E20" s="55">
        <f t="shared" si="0"/>
        <v>45.6875</v>
      </c>
      <c r="F20" s="55">
        <f t="shared" si="1"/>
        <v>44.1875</v>
      </c>
      <c r="G20" s="55">
        <f t="shared" si="2"/>
        <v>44.9375</v>
      </c>
      <c r="H20" s="55">
        <f t="shared" si="3"/>
        <v>0.125</v>
      </c>
      <c r="I20" s="55">
        <f t="shared" si="6"/>
        <v>0.24267578125</v>
      </c>
      <c r="J20" s="65">
        <f t="shared" si="7"/>
        <v>0.32568359375</v>
      </c>
      <c r="K20" s="154">
        <f t="shared" si="4"/>
        <v>1.5</v>
      </c>
      <c r="L20" s="154">
        <f t="shared" si="5"/>
        <v>1.6845703125</v>
      </c>
      <c r="M20" s="154">
        <f t="shared" si="5"/>
        <v>1.7255859375</v>
      </c>
      <c r="N20" s="154">
        <f t="shared" si="8"/>
        <v>0.86279296875</v>
      </c>
      <c r="O20" s="154">
        <f t="shared" si="9"/>
        <v>37.747594793435205</v>
      </c>
      <c r="P20" s="2"/>
    </row>
    <row r="21" spans="1:16">
      <c r="A21" s="27">
        <v>33085</v>
      </c>
      <c r="B21" s="55">
        <v>45.5625</v>
      </c>
      <c r="C21" s="55">
        <v>45</v>
      </c>
      <c r="D21" s="55">
        <v>45.1875</v>
      </c>
      <c r="E21" s="55">
        <f t="shared" si="0"/>
        <v>45.6875</v>
      </c>
      <c r="F21" s="55">
        <f t="shared" si="1"/>
        <v>44.1875</v>
      </c>
      <c r="G21" s="55">
        <f t="shared" si="2"/>
        <v>44.9375</v>
      </c>
      <c r="H21" s="55">
        <f t="shared" si="3"/>
        <v>0.25</v>
      </c>
      <c r="I21" s="55">
        <f t="shared" si="6"/>
        <v>0.246337890625</v>
      </c>
      <c r="J21" s="65">
        <f t="shared" si="7"/>
        <v>0.2860107421875</v>
      </c>
      <c r="K21" s="154">
        <f t="shared" si="4"/>
        <v>1.5</v>
      </c>
      <c r="L21" s="154">
        <f t="shared" si="5"/>
        <v>1.59228515625</v>
      </c>
      <c r="M21" s="154">
        <f t="shared" si="5"/>
        <v>1.658935546875</v>
      </c>
      <c r="N21" s="154">
        <f t="shared" si="8"/>
        <v>0.8294677734375</v>
      </c>
      <c r="O21" s="154">
        <f t="shared" si="9"/>
        <v>34.481236203090511</v>
      </c>
      <c r="P21" s="2"/>
    </row>
    <row r="22" spans="1:16">
      <c r="A22" s="26">
        <v>33086</v>
      </c>
      <c r="B22" s="52">
        <v>45.625</v>
      </c>
      <c r="C22" s="52">
        <v>45</v>
      </c>
      <c r="D22" s="52">
        <v>45.5</v>
      </c>
      <c r="E22" s="52">
        <f t="shared" si="0"/>
        <v>45.625</v>
      </c>
      <c r="F22" s="52">
        <f t="shared" si="1"/>
        <v>44.1875</v>
      </c>
      <c r="G22" s="52">
        <f t="shared" si="2"/>
        <v>44.90625</v>
      </c>
      <c r="H22" s="52">
        <f t="shared" si="3"/>
        <v>0.59375</v>
      </c>
      <c r="I22" s="52">
        <f t="shared" si="6"/>
        <v>0.4200439453125</v>
      </c>
      <c r="J22" s="64">
        <f t="shared" si="7"/>
        <v>0.35302734375</v>
      </c>
      <c r="K22" s="132">
        <f t="shared" si="4"/>
        <v>1.4375</v>
      </c>
      <c r="L22" s="132">
        <f t="shared" si="5"/>
        <v>1.514892578125</v>
      </c>
      <c r="M22" s="132">
        <f t="shared" si="5"/>
        <v>1.5869140625</v>
      </c>
      <c r="N22" s="132">
        <f t="shared" si="8"/>
        <v>0.79345703125</v>
      </c>
      <c r="O22" s="132">
        <f t="shared" si="9"/>
        <v>44.492307692307691</v>
      </c>
      <c r="P22" s="2"/>
    </row>
    <row r="23" spans="1:16">
      <c r="A23" s="26">
        <v>33087</v>
      </c>
      <c r="B23" s="52">
        <v>45</v>
      </c>
      <c r="C23" s="52">
        <v>44.25</v>
      </c>
      <c r="D23" s="52">
        <v>44.5</v>
      </c>
      <c r="E23" s="52">
        <f t="shared" si="0"/>
        <v>45.625</v>
      </c>
      <c r="F23" s="52">
        <f t="shared" si="1"/>
        <v>44.1875</v>
      </c>
      <c r="G23" s="52">
        <f t="shared" si="2"/>
        <v>44.90625</v>
      </c>
      <c r="H23" s="52">
        <f t="shared" si="3"/>
        <v>-0.40625</v>
      </c>
      <c r="I23" s="52">
        <f t="shared" si="6"/>
        <v>6.89697265625E-3</v>
      </c>
      <c r="J23" s="64">
        <f t="shared" si="7"/>
        <v>0.179962158203125</v>
      </c>
      <c r="K23" s="132">
        <f t="shared" si="4"/>
        <v>1.4375</v>
      </c>
      <c r="L23" s="132">
        <f t="shared" si="5"/>
        <v>1.4761962890625</v>
      </c>
      <c r="M23" s="132">
        <f t="shared" si="5"/>
        <v>1.53155517578125</v>
      </c>
      <c r="N23" s="132">
        <f t="shared" si="8"/>
        <v>0.765777587890625</v>
      </c>
      <c r="O23" s="132">
        <f t="shared" si="9"/>
        <v>23.500577850396525</v>
      </c>
      <c r="P23" s="2"/>
    </row>
    <row r="24" spans="1:16">
      <c r="A24" s="27">
        <v>33088</v>
      </c>
      <c r="B24" s="55">
        <v>44.375</v>
      </c>
      <c r="C24" s="55">
        <v>41.75</v>
      </c>
      <c r="D24" s="55">
        <v>43.0625</v>
      </c>
      <c r="E24" s="55">
        <f t="shared" si="0"/>
        <v>45.625</v>
      </c>
      <c r="F24" s="55">
        <f t="shared" si="1"/>
        <v>41.75</v>
      </c>
      <c r="G24" s="55">
        <f t="shared" si="2"/>
        <v>43.6875</v>
      </c>
      <c r="H24" s="55">
        <f t="shared" si="3"/>
        <v>-0.625</v>
      </c>
      <c r="I24" s="55">
        <f t="shared" si="6"/>
        <v>-0.309051513671875</v>
      </c>
      <c r="J24" s="65">
        <f t="shared" si="7"/>
        <v>-6.4544677734375E-2</v>
      </c>
      <c r="K24" s="154">
        <f t="shared" si="4"/>
        <v>3.875</v>
      </c>
      <c r="L24" s="154">
        <f t="shared" si="5"/>
        <v>2.67559814453125</v>
      </c>
      <c r="M24" s="154">
        <f t="shared" si="5"/>
        <v>2.10357666015625</v>
      </c>
      <c r="N24" s="154">
        <f t="shared" si="8"/>
        <v>1.051788330078125</v>
      </c>
      <c r="O24" s="154">
        <f t="shared" si="9"/>
        <v>-6.1366603800957495</v>
      </c>
      <c r="P24" s="2"/>
    </row>
    <row r="25" spans="1:16">
      <c r="A25" s="27">
        <v>33091</v>
      </c>
      <c r="B25" s="55">
        <v>41.5625</v>
      </c>
      <c r="C25" s="55">
        <v>40.875</v>
      </c>
      <c r="D25" s="55">
        <v>40.9375</v>
      </c>
      <c r="E25" s="55">
        <f t="shared" si="0"/>
        <v>45.625</v>
      </c>
      <c r="F25" s="55">
        <f t="shared" si="1"/>
        <v>40.875</v>
      </c>
      <c r="G25" s="55">
        <f t="shared" si="2"/>
        <v>43.25</v>
      </c>
      <c r="H25" s="55">
        <f t="shared" si="3"/>
        <v>-2.3125</v>
      </c>
      <c r="I25" s="55">
        <f t="shared" si="6"/>
        <v>-1.3107757568359375</v>
      </c>
      <c r="J25" s="65">
        <f t="shared" si="7"/>
        <v>-0.68766021728515625</v>
      </c>
      <c r="K25" s="154">
        <f t="shared" si="4"/>
        <v>4.75</v>
      </c>
      <c r="L25" s="154">
        <f t="shared" si="5"/>
        <v>3.712799072265625</v>
      </c>
      <c r="M25" s="154">
        <f t="shared" si="5"/>
        <v>2.9081878662109375</v>
      </c>
      <c r="N25" s="154">
        <f t="shared" si="8"/>
        <v>1.4540939331054688</v>
      </c>
      <c r="O25" s="154">
        <f t="shared" si="9"/>
        <v>-47.291320156775498</v>
      </c>
      <c r="P25" s="2"/>
    </row>
    <row r="26" spans="1:16">
      <c r="A26" s="26">
        <v>33092</v>
      </c>
      <c r="B26" s="52">
        <v>41.75</v>
      </c>
      <c r="C26" s="52">
        <v>41.0625</v>
      </c>
      <c r="D26" s="52">
        <v>41.5</v>
      </c>
      <c r="E26" s="52">
        <f t="shared" si="0"/>
        <v>45.625</v>
      </c>
      <c r="F26" s="52">
        <f t="shared" si="1"/>
        <v>40.875</v>
      </c>
      <c r="G26" s="52">
        <f t="shared" si="2"/>
        <v>43.25</v>
      </c>
      <c r="H26" s="52">
        <f t="shared" si="3"/>
        <v>-1.75</v>
      </c>
      <c r="I26" s="52">
        <f t="shared" si="6"/>
        <v>-1.5303878784179688</v>
      </c>
      <c r="J26" s="64">
        <f t="shared" si="7"/>
        <v>-1.1090240478515625</v>
      </c>
      <c r="K26" s="132">
        <f t="shared" si="4"/>
        <v>4.75</v>
      </c>
      <c r="L26" s="132">
        <f t="shared" si="5"/>
        <v>4.2313995361328125</v>
      </c>
      <c r="M26" s="132">
        <f t="shared" si="5"/>
        <v>3.569793701171875</v>
      </c>
      <c r="N26" s="132">
        <f t="shared" si="8"/>
        <v>1.7848968505859375</v>
      </c>
      <c r="O26" s="132">
        <f t="shared" si="9"/>
        <v>-62.133789271211789</v>
      </c>
      <c r="P26" s="2"/>
    </row>
    <row r="27" spans="1:16">
      <c r="A27" s="26">
        <v>33093</v>
      </c>
      <c r="B27" s="52">
        <v>42.25</v>
      </c>
      <c r="C27" s="52">
        <v>41.5625</v>
      </c>
      <c r="D27" s="52">
        <v>42</v>
      </c>
      <c r="E27" s="52">
        <f t="shared" si="0"/>
        <v>45</v>
      </c>
      <c r="F27" s="52">
        <f t="shared" si="1"/>
        <v>40.875</v>
      </c>
      <c r="G27" s="52">
        <f t="shared" si="2"/>
        <v>42.9375</v>
      </c>
      <c r="H27" s="52">
        <f t="shared" si="3"/>
        <v>-0.9375</v>
      </c>
      <c r="I27" s="52">
        <f t="shared" si="6"/>
        <v>-1.2339439392089844</v>
      </c>
      <c r="J27" s="64">
        <f t="shared" si="7"/>
        <v>-1.1714839935302734</v>
      </c>
      <c r="K27" s="132">
        <f t="shared" si="4"/>
        <v>4.125</v>
      </c>
      <c r="L27" s="132">
        <f t="shared" si="5"/>
        <v>4.1781997680664062</v>
      </c>
      <c r="M27" s="132">
        <f t="shared" si="5"/>
        <v>3.8739967346191406</v>
      </c>
      <c r="N27" s="132">
        <f t="shared" si="8"/>
        <v>1.9369983673095703</v>
      </c>
      <c r="O27" s="132">
        <f t="shared" si="9"/>
        <v>-60.479348527145525</v>
      </c>
      <c r="P27" s="2"/>
    </row>
    <row r="28" spans="1:16">
      <c r="A28" s="27">
        <v>33094</v>
      </c>
      <c r="B28" s="55">
        <v>42.1875</v>
      </c>
      <c r="C28" s="55">
        <v>41.75</v>
      </c>
      <c r="D28" s="55">
        <v>41.9375</v>
      </c>
      <c r="E28" s="55">
        <f t="shared" si="0"/>
        <v>44.375</v>
      </c>
      <c r="F28" s="55">
        <f t="shared" si="1"/>
        <v>40.875</v>
      </c>
      <c r="G28" s="55">
        <f t="shared" si="2"/>
        <v>42.625</v>
      </c>
      <c r="H28" s="55">
        <f t="shared" si="3"/>
        <v>-0.6875</v>
      </c>
      <c r="I28" s="55">
        <f t="shared" si="6"/>
        <v>-0.96072196960449219</v>
      </c>
      <c r="J28" s="65">
        <f t="shared" si="7"/>
        <v>-1.0661029815673828</v>
      </c>
      <c r="K28" s="154">
        <f t="shared" si="4"/>
        <v>3.5</v>
      </c>
      <c r="L28" s="154">
        <f t="shared" si="5"/>
        <v>3.8390998840332031</v>
      </c>
      <c r="M28" s="154">
        <f t="shared" si="5"/>
        <v>3.8565483093261719</v>
      </c>
      <c r="N28" s="154">
        <f t="shared" si="8"/>
        <v>1.9282741546630859</v>
      </c>
      <c r="O28" s="154">
        <f t="shared" si="9"/>
        <v>-55.287936053556429</v>
      </c>
      <c r="P28" s="2"/>
    </row>
    <row r="29" spans="1:16">
      <c r="A29" s="27">
        <v>33095</v>
      </c>
      <c r="B29" s="55">
        <v>42.0625</v>
      </c>
      <c r="C29" s="55">
        <v>41.3125</v>
      </c>
      <c r="D29" s="55">
        <v>41.625</v>
      </c>
      <c r="E29" s="55">
        <f t="shared" si="0"/>
        <v>42.25</v>
      </c>
      <c r="F29" s="55">
        <f t="shared" si="1"/>
        <v>40.875</v>
      </c>
      <c r="G29" s="55">
        <f t="shared" si="2"/>
        <v>41.5625</v>
      </c>
      <c r="H29" s="55">
        <f t="shared" si="3"/>
        <v>6.25E-2</v>
      </c>
      <c r="I29" s="55">
        <f t="shared" si="6"/>
        <v>-0.44911098480224609</v>
      </c>
      <c r="J29" s="65">
        <f t="shared" si="7"/>
        <v>-0.75760698318481445</v>
      </c>
      <c r="K29" s="154">
        <f t="shared" si="4"/>
        <v>1.375</v>
      </c>
      <c r="L29" s="154">
        <f t="shared" si="5"/>
        <v>2.6070499420166016</v>
      </c>
      <c r="M29" s="154">
        <f t="shared" si="5"/>
        <v>3.2317991256713867</v>
      </c>
      <c r="N29" s="154">
        <f t="shared" si="8"/>
        <v>1.6158995628356934</v>
      </c>
      <c r="O29" s="154">
        <f t="shared" si="9"/>
        <v>-46.884534200585634</v>
      </c>
      <c r="P29" s="2"/>
    </row>
    <row r="30" spans="1:16">
      <c r="A30" s="26">
        <v>33098</v>
      </c>
      <c r="B30" s="52">
        <v>42</v>
      </c>
      <c r="C30" s="52">
        <v>41.125</v>
      </c>
      <c r="D30" s="52">
        <v>41.875</v>
      </c>
      <c r="E30" s="52">
        <f t="shared" si="0"/>
        <v>42.25</v>
      </c>
      <c r="F30" s="52">
        <f t="shared" si="1"/>
        <v>41.0625</v>
      </c>
      <c r="G30" s="52">
        <f t="shared" si="2"/>
        <v>41.65625</v>
      </c>
      <c r="H30" s="52">
        <f t="shared" si="3"/>
        <v>0.21875</v>
      </c>
      <c r="I30" s="52">
        <f t="shared" si="6"/>
        <v>-0.11518049240112305</v>
      </c>
      <c r="J30" s="64">
        <f t="shared" si="7"/>
        <v>-0.43639373779296875</v>
      </c>
      <c r="K30" s="132">
        <f t="shared" si="4"/>
        <v>1.1875</v>
      </c>
      <c r="L30" s="132">
        <f t="shared" si="5"/>
        <v>1.8972749710083008</v>
      </c>
      <c r="M30" s="132">
        <f t="shared" si="5"/>
        <v>2.5645370483398438</v>
      </c>
      <c r="N30" s="132">
        <f t="shared" si="8"/>
        <v>1.2822685241699219</v>
      </c>
      <c r="O30" s="132">
        <f t="shared" si="9"/>
        <v>-34.032944704422874</v>
      </c>
      <c r="P30" s="2"/>
    </row>
    <row r="31" spans="1:16">
      <c r="A31" s="26">
        <v>33099</v>
      </c>
      <c r="B31" s="52">
        <v>42.3125</v>
      </c>
      <c r="C31" s="52">
        <v>41.6875</v>
      </c>
      <c r="D31" s="52">
        <v>41.9375</v>
      </c>
      <c r="E31" s="52">
        <f t="shared" ref="E31:E46" si="10">MAX(B27:B31)</f>
        <v>42.3125</v>
      </c>
      <c r="F31" s="52">
        <f t="shared" ref="F31:F46" si="11">MIN(C27:C31)</f>
        <v>41.125</v>
      </c>
      <c r="G31" s="52">
        <f t="shared" ref="G31:G46" si="12">(E31+F31)/2</f>
        <v>41.71875</v>
      </c>
      <c r="H31" s="52">
        <f t="shared" ref="H31:H46" si="13">D31-G31</f>
        <v>0.21875</v>
      </c>
      <c r="I31" s="52">
        <f t="shared" si="6"/>
        <v>5.1784753799438477E-2</v>
      </c>
      <c r="J31" s="64">
        <f t="shared" si="7"/>
        <v>-0.19230449199676514</v>
      </c>
      <c r="K31" s="132">
        <f t="shared" ref="K31:K46" si="14">E31-F31</f>
        <v>1.1875</v>
      </c>
      <c r="L31" s="132">
        <f t="shared" si="5"/>
        <v>1.5423874855041504</v>
      </c>
      <c r="M31" s="132">
        <f t="shared" si="5"/>
        <v>2.0534622669219971</v>
      </c>
      <c r="N31" s="132">
        <f t="shared" si="8"/>
        <v>1.0267311334609985</v>
      </c>
      <c r="O31" s="132">
        <f t="shared" si="9"/>
        <v>-18.729780926047084</v>
      </c>
      <c r="P31" s="2"/>
    </row>
    <row r="32" spans="1:16">
      <c r="A32" s="27">
        <v>33100</v>
      </c>
      <c r="B32" s="55">
        <v>42.5625</v>
      </c>
      <c r="C32" s="55">
        <v>42.0625</v>
      </c>
      <c r="D32" s="55">
        <v>42.4375</v>
      </c>
      <c r="E32" s="55">
        <f t="shared" si="10"/>
        <v>42.5625</v>
      </c>
      <c r="F32" s="55">
        <f t="shared" si="11"/>
        <v>41.125</v>
      </c>
      <c r="G32" s="55">
        <f t="shared" si="12"/>
        <v>41.84375</v>
      </c>
      <c r="H32" s="55">
        <f t="shared" si="13"/>
        <v>0.59375</v>
      </c>
      <c r="I32" s="55">
        <f t="shared" si="6"/>
        <v>0.32276737689971924</v>
      </c>
      <c r="J32" s="65">
        <f t="shared" si="7"/>
        <v>6.5231442451477051E-2</v>
      </c>
      <c r="K32" s="154">
        <f t="shared" si="14"/>
        <v>1.4375</v>
      </c>
      <c r="L32" s="154">
        <f t="shared" si="5"/>
        <v>1.4899437427520752</v>
      </c>
      <c r="M32" s="154">
        <f t="shared" si="5"/>
        <v>1.7717030048370361</v>
      </c>
      <c r="N32" s="154">
        <f t="shared" si="8"/>
        <v>0.88585150241851807</v>
      </c>
      <c r="O32" s="154">
        <f t="shared" si="9"/>
        <v>7.3636994771002415</v>
      </c>
      <c r="P32" s="2"/>
    </row>
    <row r="33" spans="1:16">
      <c r="A33" s="27">
        <v>33101</v>
      </c>
      <c r="B33" s="55">
        <v>42.3125</v>
      </c>
      <c r="C33" s="55">
        <v>41.5</v>
      </c>
      <c r="D33" s="55">
        <v>41.5</v>
      </c>
      <c r="E33" s="55">
        <f t="shared" si="10"/>
        <v>42.5625</v>
      </c>
      <c r="F33" s="55">
        <f t="shared" si="11"/>
        <v>41.125</v>
      </c>
      <c r="G33" s="55">
        <f t="shared" si="12"/>
        <v>41.84375</v>
      </c>
      <c r="H33" s="55">
        <f t="shared" si="13"/>
        <v>-0.34375</v>
      </c>
      <c r="I33" s="55">
        <f t="shared" si="6"/>
        <v>-1.0491311550140381E-2</v>
      </c>
      <c r="J33" s="65">
        <f t="shared" si="7"/>
        <v>2.7370065450668335E-2</v>
      </c>
      <c r="K33" s="154">
        <f t="shared" si="14"/>
        <v>1.4375</v>
      </c>
      <c r="L33" s="154">
        <f t="shared" si="5"/>
        <v>1.4637218713760376</v>
      </c>
      <c r="M33" s="154">
        <f t="shared" si="5"/>
        <v>1.6177124381065369</v>
      </c>
      <c r="N33" s="154">
        <f t="shared" si="8"/>
        <v>0.80885621905326843</v>
      </c>
      <c r="O33" s="154">
        <f t="shared" si="9"/>
        <v>3.3837986042443764</v>
      </c>
      <c r="P33" s="2"/>
    </row>
    <row r="34" spans="1:16">
      <c r="A34" s="26">
        <v>33102</v>
      </c>
      <c r="B34" s="52">
        <v>41.25</v>
      </c>
      <c r="C34" s="52">
        <v>40.5</v>
      </c>
      <c r="D34" s="52">
        <v>41.1875</v>
      </c>
      <c r="E34" s="52">
        <f t="shared" si="10"/>
        <v>42.5625</v>
      </c>
      <c r="F34" s="52">
        <f t="shared" si="11"/>
        <v>40.5</v>
      </c>
      <c r="G34" s="52">
        <f t="shared" si="12"/>
        <v>41.53125</v>
      </c>
      <c r="H34" s="52">
        <f t="shared" si="13"/>
        <v>-0.34375</v>
      </c>
      <c r="I34" s="52">
        <f t="shared" si="6"/>
        <v>-0.17712065577507019</v>
      </c>
      <c r="J34" s="64">
        <f t="shared" si="7"/>
        <v>-7.4875295162200928E-2</v>
      </c>
      <c r="K34" s="132">
        <f t="shared" si="14"/>
        <v>2.0625</v>
      </c>
      <c r="L34" s="132">
        <f t="shared" si="5"/>
        <v>1.7631109356880188</v>
      </c>
      <c r="M34" s="132">
        <f t="shared" si="5"/>
        <v>1.6904116868972778</v>
      </c>
      <c r="N34" s="132">
        <f t="shared" si="8"/>
        <v>0.84520584344863892</v>
      </c>
      <c r="O34" s="132">
        <f t="shared" si="9"/>
        <v>-8.8588236513713738</v>
      </c>
      <c r="P34" s="2"/>
    </row>
    <row r="35" spans="1:16">
      <c r="A35" s="26">
        <v>33105</v>
      </c>
      <c r="B35" s="52">
        <v>41.0625</v>
      </c>
      <c r="C35" s="52">
        <v>40.5</v>
      </c>
      <c r="D35" s="52">
        <v>40.875</v>
      </c>
      <c r="E35" s="52">
        <f t="shared" si="10"/>
        <v>42.5625</v>
      </c>
      <c r="F35" s="52">
        <f t="shared" si="11"/>
        <v>40.5</v>
      </c>
      <c r="G35" s="52">
        <f t="shared" si="12"/>
        <v>41.53125</v>
      </c>
      <c r="H35" s="52">
        <f t="shared" si="13"/>
        <v>-0.65625</v>
      </c>
      <c r="I35" s="52">
        <f t="shared" si="6"/>
        <v>-0.4166853278875351</v>
      </c>
      <c r="J35" s="64">
        <f t="shared" si="7"/>
        <v>-0.24578031152486801</v>
      </c>
      <c r="K35" s="132">
        <f t="shared" si="14"/>
        <v>2.0625</v>
      </c>
      <c r="L35" s="132">
        <f t="shared" si="5"/>
        <v>1.9128054678440094</v>
      </c>
      <c r="M35" s="132">
        <f t="shared" si="5"/>
        <v>1.8016085773706436</v>
      </c>
      <c r="N35" s="132">
        <f t="shared" ref="N35:N50" si="15">M35/2</f>
        <v>0.90080428868532181</v>
      </c>
      <c r="O35" s="132">
        <f t="shared" ref="O35:O50" si="16">(J35/N35)*100</f>
        <v>-27.284540561365656</v>
      </c>
      <c r="P35" s="2"/>
    </row>
    <row r="36" spans="1:16">
      <c r="A36" s="27">
        <v>33106</v>
      </c>
      <c r="B36" s="55">
        <v>41.0625</v>
      </c>
      <c r="C36" s="55">
        <v>39.625</v>
      </c>
      <c r="D36" s="55">
        <v>40.625</v>
      </c>
      <c r="E36" s="55">
        <f t="shared" si="10"/>
        <v>42.5625</v>
      </c>
      <c r="F36" s="55">
        <f t="shared" si="11"/>
        <v>39.625</v>
      </c>
      <c r="G36" s="55">
        <f t="shared" si="12"/>
        <v>41.09375</v>
      </c>
      <c r="H36" s="55">
        <f t="shared" si="13"/>
        <v>-0.46875</v>
      </c>
      <c r="I36" s="55">
        <f t="shared" si="6"/>
        <v>-0.44271766394376755</v>
      </c>
      <c r="J36" s="65">
        <f t="shared" si="7"/>
        <v>-0.34424898773431778</v>
      </c>
      <c r="K36" s="154">
        <f t="shared" si="14"/>
        <v>2.9375</v>
      </c>
      <c r="L36" s="154">
        <f t="shared" si="5"/>
        <v>2.4251527339220047</v>
      </c>
      <c r="M36" s="154">
        <f t="shared" si="5"/>
        <v>2.1133806556463242</v>
      </c>
      <c r="N36" s="154">
        <f t="shared" si="15"/>
        <v>1.0566903278231621</v>
      </c>
      <c r="O36" s="154">
        <f t="shared" si="16"/>
        <v>-32.578039059322975</v>
      </c>
      <c r="P36" s="2"/>
    </row>
    <row r="37" spans="1:16">
      <c r="A37" s="27">
        <v>33107</v>
      </c>
      <c r="B37" s="55">
        <v>40.625</v>
      </c>
      <c r="C37" s="55">
        <v>39.5625</v>
      </c>
      <c r="D37" s="55">
        <v>39.5625</v>
      </c>
      <c r="E37" s="55">
        <f t="shared" si="10"/>
        <v>42.3125</v>
      </c>
      <c r="F37" s="55">
        <f t="shared" si="11"/>
        <v>39.5625</v>
      </c>
      <c r="G37" s="55">
        <f t="shared" si="12"/>
        <v>40.9375</v>
      </c>
      <c r="H37" s="55">
        <f t="shared" si="13"/>
        <v>-1.375</v>
      </c>
      <c r="I37" s="55">
        <f t="shared" si="6"/>
        <v>-0.90885883197188377</v>
      </c>
      <c r="J37" s="65">
        <f t="shared" si="7"/>
        <v>-0.62655390985310078</v>
      </c>
      <c r="K37" s="154">
        <f t="shared" si="14"/>
        <v>2.75</v>
      </c>
      <c r="L37" s="154">
        <f t="shared" si="5"/>
        <v>2.5875763669610023</v>
      </c>
      <c r="M37" s="154">
        <f t="shared" si="5"/>
        <v>2.3504785113036633</v>
      </c>
      <c r="N37" s="154">
        <f t="shared" si="15"/>
        <v>1.1752392556518316</v>
      </c>
      <c r="O37" s="154">
        <f t="shared" si="16"/>
        <v>-53.31288134224129</v>
      </c>
      <c r="P37" s="2"/>
    </row>
    <row r="38" spans="1:16">
      <c r="A38" s="26">
        <v>33108</v>
      </c>
      <c r="B38" s="52">
        <v>39.25</v>
      </c>
      <c r="C38" s="52">
        <v>38.625</v>
      </c>
      <c r="D38" s="52">
        <v>38.75</v>
      </c>
      <c r="E38" s="52">
        <f t="shared" si="10"/>
        <v>41.25</v>
      </c>
      <c r="F38" s="52">
        <f t="shared" si="11"/>
        <v>38.625</v>
      </c>
      <c r="G38" s="52">
        <f t="shared" si="12"/>
        <v>39.9375</v>
      </c>
      <c r="H38" s="52">
        <f t="shared" si="13"/>
        <v>-1.1875</v>
      </c>
      <c r="I38" s="52">
        <f t="shared" si="6"/>
        <v>-1.0481794159859419</v>
      </c>
      <c r="J38" s="64">
        <f t="shared" si="7"/>
        <v>-0.83736666291952133</v>
      </c>
      <c r="K38" s="132">
        <f t="shared" si="14"/>
        <v>2.625</v>
      </c>
      <c r="L38" s="132">
        <f t="shared" si="5"/>
        <v>2.6062881834805012</v>
      </c>
      <c r="M38" s="132">
        <f t="shared" si="5"/>
        <v>2.4783833473920822</v>
      </c>
      <c r="N38" s="132">
        <f t="shared" si="15"/>
        <v>1.2391916736960411</v>
      </c>
      <c r="O38" s="132">
        <f t="shared" si="16"/>
        <v>-67.573619214368392</v>
      </c>
      <c r="P38" s="2"/>
    </row>
    <row r="39" spans="1:16">
      <c r="A39" s="26">
        <v>33109</v>
      </c>
      <c r="B39" s="52">
        <v>39.3125</v>
      </c>
      <c r="C39" s="52">
        <v>38.6875</v>
      </c>
      <c r="D39" s="52">
        <v>39.0625</v>
      </c>
      <c r="E39" s="52">
        <f t="shared" si="10"/>
        <v>41.0625</v>
      </c>
      <c r="F39" s="52">
        <f t="shared" si="11"/>
        <v>38.625</v>
      </c>
      <c r="G39" s="52">
        <f t="shared" si="12"/>
        <v>39.84375</v>
      </c>
      <c r="H39" s="52">
        <f t="shared" si="13"/>
        <v>-0.78125</v>
      </c>
      <c r="I39" s="52">
        <f t="shared" si="6"/>
        <v>-0.91471470799297094</v>
      </c>
      <c r="J39" s="64">
        <f t="shared" si="7"/>
        <v>-0.87604068545624614</v>
      </c>
      <c r="K39" s="132">
        <f t="shared" si="14"/>
        <v>2.4375</v>
      </c>
      <c r="L39" s="132">
        <f t="shared" si="5"/>
        <v>2.5218940917402506</v>
      </c>
      <c r="M39" s="132">
        <f t="shared" si="5"/>
        <v>2.5001387195661664</v>
      </c>
      <c r="N39" s="132">
        <f t="shared" si="15"/>
        <v>1.2500693597830832</v>
      </c>
      <c r="O39" s="132">
        <f t="shared" si="16"/>
        <v>-70.079366284784399</v>
      </c>
      <c r="P39" s="2"/>
    </row>
    <row r="40" spans="1:16">
      <c r="A40" s="27">
        <v>33112</v>
      </c>
      <c r="B40" s="55">
        <v>40.5</v>
      </c>
      <c r="C40" s="55">
        <v>39.4375</v>
      </c>
      <c r="D40" s="55">
        <v>39.625</v>
      </c>
      <c r="E40" s="55">
        <f t="shared" si="10"/>
        <v>41.0625</v>
      </c>
      <c r="F40" s="55">
        <f t="shared" si="11"/>
        <v>38.625</v>
      </c>
      <c r="G40" s="55">
        <f t="shared" si="12"/>
        <v>39.84375</v>
      </c>
      <c r="H40" s="55">
        <f t="shared" si="13"/>
        <v>-0.21875</v>
      </c>
      <c r="I40" s="55">
        <f t="shared" si="6"/>
        <v>-0.56673235399648547</v>
      </c>
      <c r="J40" s="65">
        <f t="shared" si="7"/>
        <v>-0.7213865197263658</v>
      </c>
      <c r="K40" s="154">
        <f t="shared" si="14"/>
        <v>2.4375</v>
      </c>
      <c r="L40" s="154">
        <f t="shared" si="5"/>
        <v>2.4796970458701253</v>
      </c>
      <c r="M40" s="154">
        <f t="shared" si="5"/>
        <v>2.4899178827181458</v>
      </c>
      <c r="N40" s="154">
        <f t="shared" si="15"/>
        <v>1.2449589413590729</v>
      </c>
      <c r="O40" s="154">
        <f t="shared" si="16"/>
        <v>-57.944603292607901</v>
      </c>
      <c r="P40" s="2"/>
    </row>
    <row r="41" spans="1:16">
      <c r="A41" s="27">
        <v>33113</v>
      </c>
      <c r="B41" s="55">
        <v>39.8125</v>
      </c>
      <c r="C41" s="55">
        <v>39.375</v>
      </c>
      <c r="D41" s="55">
        <v>39.625</v>
      </c>
      <c r="E41" s="55">
        <f t="shared" si="10"/>
        <v>40.625</v>
      </c>
      <c r="F41" s="55">
        <f t="shared" si="11"/>
        <v>38.625</v>
      </c>
      <c r="G41" s="55">
        <f t="shared" si="12"/>
        <v>39.625</v>
      </c>
      <c r="H41" s="55">
        <f t="shared" si="13"/>
        <v>0</v>
      </c>
      <c r="I41" s="55">
        <f t="shared" si="6"/>
        <v>-0.28336617699824274</v>
      </c>
      <c r="J41" s="65">
        <f t="shared" si="7"/>
        <v>-0.50237634836230427</v>
      </c>
      <c r="K41" s="154">
        <f t="shared" si="14"/>
        <v>2</v>
      </c>
      <c r="L41" s="154">
        <f t="shared" si="5"/>
        <v>2.2398485229350626</v>
      </c>
      <c r="M41" s="154">
        <f t="shared" si="5"/>
        <v>2.3648832028266042</v>
      </c>
      <c r="N41" s="154">
        <f t="shared" si="15"/>
        <v>1.1824416014133021</v>
      </c>
      <c r="O41" s="154">
        <f t="shared" si="16"/>
        <v>-42.486356007928315</v>
      </c>
      <c r="P41" s="2"/>
    </row>
    <row r="42" spans="1:16">
      <c r="A42" s="26">
        <v>33114</v>
      </c>
      <c r="B42" s="52">
        <v>40.375</v>
      </c>
      <c r="C42" s="52">
        <v>39.5</v>
      </c>
      <c r="D42" s="52">
        <v>39.9375</v>
      </c>
      <c r="E42" s="52">
        <f t="shared" si="10"/>
        <v>40.5</v>
      </c>
      <c r="F42" s="52">
        <f t="shared" si="11"/>
        <v>38.625</v>
      </c>
      <c r="G42" s="52">
        <f t="shared" si="12"/>
        <v>39.5625</v>
      </c>
      <c r="H42" s="52">
        <f t="shared" si="13"/>
        <v>0.375</v>
      </c>
      <c r="I42" s="52">
        <f t="shared" si="6"/>
        <v>4.5816911500878632E-2</v>
      </c>
      <c r="J42" s="64">
        <f t="shared" si="7"/>
        <v>-0.22827971843071282</v>
      </c>
      <c r="K42" s="132">
        <f t="shared" si="14"/>
        <v>1.875</v>
      </c>
      <c r="L42" s="132">
        <f t="shared" si="5"/>
        <v>2.0574242614675313</v>
      </c>
      <c r="M42" s="132">
        <f t="shared" si="5"/>
        <v>2.2111537321470678</v>
      </c>
      <c r="N42" s="132">
        <f t="shared" si="15"/>
        <v>1.1055768660735339</v>
      </c>
      <c r="O42" s="132">
        <f t="shared" si="16"/>
        <v>-20.648018734459438</v>
      </c>
      <c r="P42" s="2"/>
    </row>
    <row r="43" spans="1:16">
      <c r="A43" s="26">
        <v>33115</v>
      </c>
      <c r="B43" s="52">
        <v>39.875</v>
      </c>
      <c r="C43" s="52">
        <v>39.0625</v>
      </c>
      <c r="D43" s="52">
        <v>39.25</v>
      </c>
      <c r="E43" s="52">
        <f t="shared" si="10"/>
        <v>40.5</v>
      </c>
      <c r="F43" s="52">
        <f t="shared" si="11"/>
        <v>38.6875</v>
      </c>
      <c r="G43" s="52">
        <f t="shared" si="12"/>
        <v>39.59375</v>
      </c>
      <c r="H43" s="52">
        <f t="shared" si="13"/>
        <v>-0.34375</v>
      </c>
      <c r="I43" s="52">
        <f t="shared" si="6"/>
        <v>-0.14896654424956068</v>
      </c>
      <c r="J43" s="64">
        <f t="shared" si="7"/>
        <v>-0.18862313134013675</v>
      </c>
      <c r="K43" s="132">
        <f t="shared" si="14"/>
        <v>1.8125</v>
      </c>
      <c r="L43" s="132">
        <f t="shared" si="5"/>
        <v>1.9349621307337657</v>
      </c>
      <c r="M43" s="132">
        <f t="shared" si="5"/>
        <v>2.0730579314404167</v>
      </c>
      <c r="N43" s="132">
        <f t="shared" si="15"/>
        <v>1.0365289657202084</v>
      </c>
      <c r="O43" s="132">
        <f t="shared" si="16"/>
        <v>-18.197574556836074</v>
      </c>
      <c r="P43" s="2"/>
    </row>
    <row r="44" spans="1:16">
      <c r="A44" s="27">
        <v>33116</v>
      </c>
      <c r="B44" s="55">
        <v>39.625</v>
      </c>
      <c r="C44" s="55">
        <v>39</v>
      </c>
      <c r="D44" s="55">
        <v>39.375</v>
      </c>
      <c r="E44" s="55">
        <f t="shared" si="10"/>
        <v>40.5</v>
      </c>
      <c r="F44" s="55">
        <f t="shared" si="11"/>
        <v>39</v>
      </c>
      <c r="G44" s="55">
        <f t="shared" si="12"/>
        <v>39.75</v>
      </c>
      <c r="H44" s="55">
        <f t="shared" si="13"/>
        <v>-0.375</v>
      </c>
      <c r="I44" s="55">
        <f t="shared" si="6"/>
        <v>-0.26198327212478034</v>
      </c>
      <c r="J44" s="65">
        <f t="shared" si="7"/>
        <v>-0.22530320173245855</v>
      </c>
      <c r="K44" s="154">
        <f t="shared" si="14"/>
        <v>1.5</v>
      </c>
      <c r="L44" s="154">
        <f t="shared" si="5"/>
        <v>1.7174810653668828</v>
      </c>
      <c r="M44" s="154">
        <f t="shared" si="5"/>
        <v>1.8952694984036498</v>
      </c>
      <c r="N44" s="154">
        <f t="shared" si="15"/>
        <v>0.94763474920182489</v>
      </c>
      <c r="O44" s="154">
        <f t="shared" si="16"/>
        <v>-23.775320810283418</v>
      </c>
      <c r="P44" s="2"/>
    </row>
    <row r="45" spans="1:16">
      <c r="A45" s="27">
        <v>33120</v>
      </c>
      <c r="B45" s="55">
        <v>39.125</v>
      </c>
      <c r="C45" s="55">
        <v>38.6875</v>
      </c>
      <c r="D45" s="55">
        <v>39</v>
      </c>
      <c r="E45" s="55">
        <f t="shared" si="10"/>
        <v>40.375</v>
      </c>
      <c r="F45" s="55">
        <f t="shared" si="11"/>
        <v>38.6875</v>
      </c>
      <c r="G45" s="55">
        <f t="shared" si="12"/>
        <v>39.53125</v>
      </c>
      <c r="H45" s="55">
        <f t="shared" si="13"/>
        <v>-0.53125</v>
      </c>
      <c r="I45" s="55">
        <f t="shared" si="6"/>
        <v>-0.39661663606239017</v>
      </c>
      <c r="J45" s="65">
        <f t="shared" si="7"/>
        <v>-0.31095991889742436</v>
      </c>
      <c r="K45" s="154">
        <f t="shared" si="14"/>
        <v>1.6875</v>
      </c>
      <c r="L45" s="154">
        <f t="shared" si="5"/>
        <v>1.7024905326834414</v>
      </c>
      <c r="M45" s="154">
        <f t="shared" si="5"/>
        <v>1.7988800155435456</v>
      </c>
      <c r="N45" s="154">
        <f t="shared" si="15"/>
        <v>0.8994400077717728</v>
      </c>
      <c r="O45" s="154">
        <f t="shared" si="16"/>
        <v>-34.572613649661946</v>
      </c>
      <c r="P45" s="2"/>
    </row>
    <row r="46" spans="1:16">
      <c r="A46" s="26">
        <v>33121</v>
      </c>
      <c r="B46" s="52">
        <v>39.4375</v>
      </c>
      <c r="C46" s="52">
        <v>38.375</v>
      </c>
      <c r="D46" s="52">
        <v>39.375</v>
      </c>
      <c r="E46" s="52">
        <f t="shared" si="10"/>
        <v>40.375</v>
      </c>
      <c r="F46" s="52">
        <f t="shared" si="11"/>
        <v>38.375</v>
      </c>
      <c r="G46" s="52">
        <f t="shared" si="12"/>
        <v>39.375</v>
      </c>
      <c r="H46" s="52">
        <f t="shared" si="13"/>
        <v>0</v>
      </c>
      <c r="I46" s="52">
        <f t="shared" si="6"/>
        <v>-0.19830831803119509</v>
      </c>
      <c r="J46" s="64">
        <f t="shared" si="7"/>
        <v>-0.25463411846430972</v>
      </c>
      <c r="K46" s="132">
        <f t="shared" si="14"/>
        <v>2</v>
      </c>
      <c r="L46" s="132">
        <f t="shared" si="5"/>
        <v>1.8512452663417207</v>
      </c>
      <c r="M46" s="132">
        <f t="shared" si="5"/>
        <v>1.8250626409426332</v>
      </c>
      <c r="N46" s="132">
        <f t="shared" si="15"/>
        <v>0.91253132047131658</v>
      </c>
      <c r="O46" s="132">
        <f t="shared" si="16"/>
        <v>-27.904151096182961</v>
      </c>
      <c r="P46" s="2"/>
    </row>
    <row r="47" spans="1:16">
      <c r="A47" s="26">
        <v>33122</v>
      </c>
      <c r="B47" s="52">
        <v>39.375</v>
      </c>
      <c r="C47" s="52">
        <v>38.625</v>
      </c>
      <c r="D47" s="52">
        <v>39</v>
      </c>
      <c r="E47" s="52">
        <f t="shared" ref="E47:E62" si="17">MAX(B43:B47)</f>
        <v>39.875</v>
      </c>
      <c r="F47" s="52">
        <f t="shared" ref="F47:F62" si="18">MIN(C43:C47)</f>
        <v>38.375</v>
      </c>
      <c r="G47" s="52">
        <f t="shared" ref="G47:G62" si="19">(E47+F47)/2</f>
        <v>39.125</v>
      </c>
      <c r="H47" s="52">
        <f t="shared" ref="H47:H62" si="20">D47-G47</f>
        <v>-0.125</v>
      </c>
      <c r="I47" s="52">
        <f t="shared" si="6"/>
        <v>-0.16165415901559754</v>
      </c>
      <c r="J47" s="64">
        <f t="shared" si="7"/>
        <v>-0.20814413873995363</v>
      </c>
      <c r="K47" s="132">
        <f t="shared" ref="K47:K62" si="21">E47-F47</f>
        <v>1.5</v>
      </c>
      <c r="L47" s="132">
        <f t="shared" si="5"/>
        <v>1.6756226331708604</v>
      </c>
      <c r="M47" s="132">
        <f t="shared" si="5"/>
        <v>1.7503426370567468</v>
      </c>
      <c r="N47" s="132">
        <f t="shared" si="15"/>
        <v>0.87517131852837338</v>
      </c>
      <c r="O47" s="132">
        <f t="shared" si="16"/>
        <v>-23.783244986816317</v>
      </c>
      <c r="P47" s="2"/>
    </row>
    <row r="48" spans="1:16">
      <c r="A48" s="27">
        <v>33123</v>
      </c>
      <c r="B48" s="55">
        <v>39.375</v>
      </c>
      <c r="C48" s="55">
        <v>38.75</v>
      </c>
      <c r="D48" s="55">
        <v>39</v>
      </c>
      <c r="E48" s="55">
        <f t="shared" si="17"/>
        <v>39.625</v>
      </c>
      <c r="F48" s="55">
        <f t="shared" si="18"/>
        <v>38.375</v>
      </c>
      <c r="G48" s="55">
        <f t="shared" si="19"/>
        <v>39</v>
      </c>
      <c r="H48" s="55">
        <f t="shared" si="20"/>
        <v>0</v>
      </c>
      <c r="I48" s="55">
        <f t="shared" si="6"/>
        <v>-8.0827079507798771E-2</v>
      </c>
      <c r="J48" s="65">
        <f t="shared" si="7"/>
        <v>-0.1444856091238762</v>
      </c>
      <c r="K48" s="154">
        <f t="shared" si="21"/>
        <v>1.25</v>
      </c>
      <c r="L48" s="154">
        <f t="shared" si="5"/>
        <v>1.4628113165854302</v>
      </c>
      <c r="M48" s="154">
        <f t="shared" si="5"/>
        <v>1.6065769768210885</v>
      </c>
      <c r="N48" s="154">
        <f t="shared" si="15"/>
        <v>0.80328848841054423</v>
      </c>
      <c r="O48" s="154">
        <f t="shared" si="16"/>
        <v>-17.98676455699843</v>
      </c>
      <c r="P48" s="2"/>
    </row>
    <row r="49" spans="1:16">
      <c r="A49" s="27">
        <v>33126</v>
      </c>
      <c r="B49" s="55">
        <v>39.75</v>
      </c>
      <c r="C49" s="55">
        <v>38.875</v>
      </c>
      <c r="D49" s="55">
        <v>39.125</v>
      </c>
      <c r="E49" s="55">
        <f t="shared" si="17"/>
        <v>39.75</v>
      </c>
      <c r="F49" s="55">
        <f t="shared" si="18"/>
        <v>38.375</v>
      </c>
      <c r="G49" s="55">
        <f t="shared" si="19"/>
        <v>39.0625</v>
      </c>
      <c r="H49" s="55">
        <f t="shared" si="20"/>
        <v>6.25E-2</v>
      </c>
      <c r="I49" s="55">
        <f t="shared" si="6"/>
        <v>-9.1635397538993857E-3</v>
      </c>
      <c r="J49" s="65">
        <f t="shared" si="7"/>
        <v>-7.6824574438887794E-2</v>
      </c>
      <c r="K49" s="154">
        <f t="shared" si="21"/>
        <v>1.375</v>
      </c>
      <c r="L49" s="154">
        <f t="shared" si="5"/>
        <v>1.4189056582927151</v>
      </c>
      <c r="M49" s="154">
        <f t="shared" si="5"/>
        <v>1.5127413175569018</v>
      </c>
      <c r="N49" s="154">
        <f t="shared" si="15"/>
        <v>0.75637065877845089</v>
      </c>
      <c r="O49" s="154">
        <f t="shared" si="16"/>
        <v>-10.157000876126071</v>
      </c>
      <c r="P49" s="2"/>
    </row>
    <row r="50" spans="1:16">
      <c r="A50" s="26">
        <v>33127</v>
      </c>
      <c r="B50" s="52">
        <v>39.375</v>
      </c>
      <c r="C50" s="52">
        <v>38.8125</v>
      </c>
      <c r="D50" s="52">
        <v>39.125</v>
      </c>
      <c r="E50" s="52">
        <f t="shared" si="17"/>
        <v>39.75</v>
      </c>
      <c r="F50" s="52">
        <f t="shared" si="18"/>
        <v>38.375</v>
      </c>
      <c r="G50" s="52">
        <f t="shared" si="19"/>
        <v>39.0625</v>
      </c>
      <c r="H50" s="52">
        <f t="shared" si="20"/>
        <v>6.25E-2</v>
      </c>
      <c r="I50" s="52">
        <f t="shared" si="6"/>
        <v>2.6668230123050307E-2</v>
      </c>
      <c r="J50" s="64">
        <f t="shared" si="7"/>
        <v>-2.5078172157918743E-2</v>
      </c>
      <c r="K50" s="132">
        <f t="shared" si="21"/>
        <v>1.375</v>
      </c>
      <c r="L50" s="132">
        <f t="shared" si="5"/>
        <v>1.3969528291463575</v>
      </c>
      <c r="M50" s="132">
        <f t="shared" si="5"/>
        <v>1.4548470733516297</v>
      </c>
      <c r="N50" s="132">
        <f t="shared" si="15"/>
        <v>0.72742353667581483</v>
      </c>
      <c r="O50" s="132">
        <f t="shared" si="16"/>
        <v>-3.4475337810103244</v>
      </c>
      <c r="P50" s="2"/>
    </row>
    <row r="51" spans="1:16">
      <c r="A51" s="26">
        <v>33128</v>
      </c>
      <c r="B51" s="52">
        <v>39.3125</v>
      </c>
      <c r="C51" s="52">
        <v>38.875</v>
      </c>
      <c r="D51" s="52">
        <v>39.3125</v>
      </c>
      <c r="E51" s="52">
        <f t="shared" si="17"/>
        <v>39.75</v>
      </c>
      <c r="F51" s="52">
        <f t="shared" si="18"/>
        <v>38.625</v>
      </c>
      <c r="G51" s="52">
        <f t="shared" si="19"/>
        <v>39.1875</v>
      </c>
      <c r="H51" s="52">
        <f t="shared" si="20"/>
        <v>0.125</v>
      </c>
      <c r="I51" s="52">
        <f t="shared" si="6"/>
        <v>7.5834115061525154E-2</v>
      </c>
      <c r="J51" s="64">
        <f t="shared" si="7"/>
        <v>2.5377971451803205E-2</v>
      </c>
      <c r="K51" s="132">
        <f t="shared" si="21"/>
        <v>1.125</v>
      </c>
      <c r="L51" s="132">
        <f t="shared" si="5"/>
        <v>1.2609764145731788</v>
      </c>
      <c r="M51" s="132">
        <f t="shared" si="5"/>
        <v>1.3579117439624042</v>
      </c>
      <c r="N51" s="132">
        <f t="shared" ref="N51:N65" si="22">M51/2</f>
        <v>0.67895587198120211</v>
      </c>
      <c r="O51" s="132">
        <f t="shared" ref="O51:O65" si="23">(J51/N51)*100</f>
        <v>3.7377939420053843</v>
      </c>
      <c r="P51" s="2"/>
    </row>
    <row r="52" spans="1:16">
      <c r="A52" s="27">
        <v>33129</v>
      </c>
      <c r="B52" s="55">
        <v>39.3125</v>
      </c>
      <c r="C52" s="55">
        <v>38.625</v>
      </c>
      <c r="D52" s="55">
        <v>38.75</v>
      </c>
      <c r="E52" s="55">
        <f t="shared" si="17"/>
        <v>39.75</v>
      </c>
      <c r="F52" s="55">
        <f t="shared" si="18"/>
        <v>38.625</v>
      </c>
      <c r="G52" s="55">
        <f t="shared" si="19"/>
        <v>39.1875</v>
      </c>
      <c r="H52" s="55">
        <f t="shared" si="20"/>
        <v>-0.4375</v>
      </c>
      <c r="I52" s="55">
        <f t="shared" si="6"/>
        <v>-0.18083294246923742</v>
      </c>
      <c r="J52" s="65">
        <f t="shared" si="7"/>
        <v>-7.7727485508717109E-2</v>
      </c>
      <c r="K52" s="154">
        <f t="shared" si="21"/>
        <v>1.125</v>
      </c>
      <c r="L52" s="154">
        <f t="shared" si="5"/>
        <v>1.1929882072865894</v>
      </c>
      <c r="M52" s="154">
        <f t="shared" si="5"/>
        <v>1.2754499756244968</v>
      </c>
      <c r="N52" s="154">
        <f t="shared" si="22"/>
        <v>0.6377249878122484</v>
      </c>
      <c r="O52" s="154">
        <f t="shared" si="23"/>
        <v>-12.188245245864621</v>
      </c>
      <c r="P52" s="2"/>
    </row>
    <row r="53" spans="1:16">
      <c r="A53" s="27">
        <v>33130</v>
      </c>
      <c r="B53" s="55">
        <v>38.75</v>
      </c>
      <c r="C53" s="55">
        <v>38.5</v>
      </c>
      <c r="D53" s="55">
        <v>38.5625</v>
      </c>
      <c r="E53" s="55">
        <f t="shared" si="17"/>
        <v>39.75</v>
      </c>
      <c r="F53" s="55">
        <f t="shared" si="18"/>
        <v>38.5</v>
      </c>
      <c r="G53" s="55">
        <f t="shared" si="19"/>
        <v>39.125</v>
      </c>
      <c r="H53" s="55">
        <f t="shared" si="20"/>
        <v>-0.5625</v>
      </c>
      <c r="I53" s="55">
        <f t="shared" si="6"/>
        <v>-0.37166647123461871</v>
      </c>
      <c r="J53" s="65">
        <f t="shared" si="7"/>
        <v>-0.22469697837166791</v>
      </c>
      <c r="K53" s="154">
        <f t="shared" si="21"/>
        <v>1.25</v>
      </c>
      <c r="L53" s="154">
        <f t="shared" si="5"/>
        <v>1.2214941036432947</v>
      </c>
      <c r="M53" s="154">
        <f t="shared" si="5"/>
        <v>1.2484720396338957</v>
      </c>
      <c r="N53" s="154">
        <f t="shared" si="22"/>
        <v>0.62423601981694787</v>
      </c>
      <c r="O53" s="154">
        <f t="shared" si="23"/>
        <v>-35.995516317299099</v>
      </c>
      <c r="P53" s="2"/>
    </row>
    <row r="54" spans="1:16">
      <c r="A54" s="26">
        <v>33133</v>
      </c>
      <c r="B54" s="52">
        <v>39.25</v>
      </c>
      <c r="C54" s="52">
        <v>38.375</v>
      </c>
      <c r="D54" s="52">
        <v>39.0625</v>
      </c>
      <c r="E54" s="52">
        <f t="shared" si="17"/>
        <v>39.375</v>
      </c>
      <c r="F54" s="52">
        <f t="shared" si="18"/>
        <v>38.375</v>
      </c>
      <c r="G54" s="52">
        <f t="shared" si="19"/>
        <v>38.875</v>
      </c>
      <c r="H54" s="52">
        <f t="shared" si="20"/>
        <v>0.1875</v>
      </c>
      <c r="I54" s="52">
        <f t="shared" si="6"/>
        <v>-9.2083235617309356E-2</v>
      </c>
      <c r="J54" s="64">
        <f t="shared" si="7"/>
        <v>-0.15839010699448863</v>
      </c>
      <c r="K54" s="132">
        <f t="shared" si="21"/>
        <v>1</v>
      </c>
      <c r="L54" s="132">
        <f t="shared" si="5"/>
        <v>1.1107470518216473</v>
      </c>
      <c r="M54" s="132">
        <f t="shared" si="5"/>
        <v>1.1796095457277715</v>
      </c>
      <c r="N54" s="132">
        <f t="shared" si="22"/>
        <v>0.58980477286388577</v>
      </c>
      <c r="O54" s="132">
        <f t="shared" si="23"/>
        <v>-26.854666879923954</v>
      </c>
      <c r="P54" s="2"/>
    </row>
    <row r="55" spans="1:16">
      <c r="A55" s="26">
        <v>33134</v>
      </c>
      <c r="B55" s="52">
        <v>39.5</v>
      </c>
      <c r="C55" s="52">
        <v>38.5625</v>
      </c>
      <c r="D55" s="52">
        <v>39.5</v>
      </c>
      <c r="E55" s="52">
        <f t="shared" si="17"/>
        <v>39.5</v>
      </c>
      <c r="F55" s="52">
        <f t="shared" si="18"/>
        <v>38.375</v>
      </c>
      <c r="G55" s="52">
        <f t="shared" si="19"/>
        <v>38.9375</v>
      </c>
      <c r="H55" s="52">
        <f t="shared" si="20"/>
        <v>0.5625</v>
      </c>
      <c r="I55" s="52">
        <f t="shared" si="6"/>
        <v>0.23520838219134532</v>
      </c>
      <c r="J55" s="64">
        <f t="shared" si="7"/>
        <v>3.8409137598428345E-2</v>
      </c>
      <c r="K55" s="132">
        <f t="shared" si="21"/>
        <v>1.125</v>
      </c>
      <c r="L55" s="132">
        <f t="shared" si="5"/>
        <v>1.1178735259108237</v>
      </c>
      <c r="M55" s="132">
        <f t="shared" si="5"/>
        <v>1.1487415358192976</v>
      </c>
      <c r="N55" s="132">
        <f t="shared" si="22"/>
        <v>0.57437076790964881</v>
      </c>
      <c r="O55" s="132">
        <f t="shared" si="23"/>
        <v>6.6871678964815082</v>
      </c>
      <c r="P55" s="2"/>
    </row>
    <row r="56" spans="1:16">
      <c r="A56" s="27">
        <v>33135</v>
      </c>
      <c r="B56" s="55">
        <v>40.125</v>
      </c>
      <c r="C56" s="55">
        <v>39.3125</v>
      </c>
      <c r="D56" s="55">
        <v>39.75</v>
      </c>
      <c r="E56" s="55">
        <f t="shared" si="17"/>
        <v>40.125</v>
      </c>
      <c r="F56" s="55">
        <f t="shared" si="18"/>
        <v>38.375</v>
      </c>
      <c r="G56" s="55">
        <f t="shared" si="19"/>
        <v>39.25</v>
      </c>
      <c r="H56" s="55">
        <f t="shared" si="20"/>
        <v>0.5</v>
      </c>
      <c r="I56" s="55">
        <f t="shared" si="6"/>
        <v>0.36760419109567266</v>
      </c>
      <c r="J56" s="65">
        <f t="shared" si="7"/>
        <v>0.2030066643470505</v>
      </c>
      <c r="K56" s="154">
        <f t="shared" si="21"/>
        <v>1.75</v>
      </c>
      <c r="L56" s="154">
        <f t="shared" si="5"/>
        <v>1.4339367629554118</v>
      </c>
      <c r="M56" s="154">
        <f t="shared" si="5"/>
        <v>1.2913391493873547</v>
      </c>
      <c r="N56" s="154">
        <f t="shared" si="22"/>
        <v>0.64566957469367736</v>
      </c>
      <c r="O56" s="154">
        <f t="shared" si="23"/>
        <v>31.441262265356425</v>
      </c>
      <c r="P56" s="2"/>
    </row>
    <row r="57" spans="1:16">
      <c r="A57" s="27">
        <v>33136</v>
      </c>
      <c r="B57" s="55">
        <v>39.5625</v>
      </c>
      <c r="C57" s="55">
        <v>38.8125</v>
      </c>
      <c r="D57" s="55">
        <v>38.9375</v>
      </c>
      <c r="E57" s="55">
        <f t="shared" si="17"/>
        <v>40.125</v>
      </c>
      <c r="F57" s="55">
        <f t="shared" si="18"/>
        <v>38.375</v>
      </c>
      <c r="G57" s="55">
        <f t="shared" si="19"/>
        <v>39.25</v>
      </c>
      <c r="H57" s="55">
        <f t="shared" si="20"/>
        <v>-0.3125</v>
      </c>
      <c r="I57" s="55">
        <f t="shared" si="6"/>
        <v>2.7552095547836331E-2</v>
      </c>
      <c r="J57" s="65">
        <f t="shared" si="7"/>
        <v>0.11527937994744342</v>
      </c>
      <c r="K57" s="154">
        <f t="shared" si="21"/>
        <v>1.75</v>
      </c>
      <c r="L57" s="154">
        <f t="shared" si="5"/>
        <v>1.5919683814777059</v>
      </c>
      <c r="M57" s="154">
        <f t="shared" si="5"/>
        <v>1.4416537654325303</v>
      </c>
      <c r="N57" s="154">
        <f t="shared" si="22"/>
        <v>0.72082688271626516</v>
      </c>
      <c r="O57" s="154">
        <f t="shared" si="23"/>
        <v>15.992658252844347</v>
      </c>
      <c r="P57" s="2"/>
    </row>
    <row r="58" spans="1:16">
      <c r="A58" s="26">
        <v>33137</v>
      </c>
      <c r="B58" s="52">
        <v>39.25</v>
      </c>
      <c r="C58" s="52">
        <v>38.8125</v>
      </c>
      <c r="D58" s="52">
        <v>39.0625</v>
      </c>
      <c r="E58" s="52">
        <f t="shared" si="17"/>
        <v>40.125</v>
      </c>
      <c r="F58" s="52">
        <f t="shared" si="18"/>
        <v>38.375</v>
      </c>
      <c r="G58" s="52">
        <f t="shared" si="19"/>
        <v>39.25</v>
      </c>
      <c r="H58" s="52">
        <f t="shared" si="20"/>
        <v>-0.1875</v>
      </c>
      <c r="I58" s="52">
        <f t="shared" si="6"/>
        <v>-7.9973952226081835E-2</v>
      </c>
      <c r="J58" s="64">
        <f t="shared" si="7"/>
        <v>1.7652713860680791E-2</v>
      </c>
      <c r="K58" s="132">
        <f t="shared" si="21"/>
        <v>1.75</v>
      </c>
      <c r="L58" s="132">
        <f t="shared" si="5"/>
        <v>1.670984190738853</v>
      </c>
      <c r="M58" s="132">
        <f t="shared" si="5"/>
        <v>1.5563189780856916</v>
      </c>
      <c r="N58" s="132">
        <f t="shared" si="22"/>
        <v>0.77815948904284582</v>
      </c>
      <c r="O58" s="132">
        <f t="shared" si="23"/>
        <v>2.2685213133356554</v>
      </c>
      <c r="P58" s="2"/>
    </row>
    <row r="59" spans="1:16">
      <c r="A59" s="26">
        <v>33140</v>
      </c>
      <c r="B59" s="52">
        <v>38.875</v>
      </c>
      <c r="C59" s="52">
        <v>37.875</v>
      </c>
      <c r="D59" s="52">
        <v>37.9375</v>
      </c>
      <c r="E59" s="52">
        <f t="shared" si="17"/>
        <v>40.125</v>
      </c>
      <c r="F59" s="52">
        <f t="shared" si="18"/>
        <v>37.875</v>
      </c>
      <c r="G59" s="52">
        <f t="shared" si="19"/>
        <v>39</v>
      </c>
      <c r="H59" s="52">
        <f t="shared" si="20"/>
        <v>-1.0625</v>
      </c>
      <c r="I59" s="52">
        <f t="shared" si="6"/>
        <v>-0.57123697611304092</v>
      </c>
      <c r="J59" s="64">
        <f t="shared" si="7"/>
        <v>-0.27679213112618006</v>
      </c>
      <c r="K59" s="132">
        <f t="shared" si="21"/>
        <v>2.25</v>
      </c>
      <c r="L59" s="132">
        <f t="shared" si="5"/>
        <v>1.9604920953694265</v>
      </c>
      <c r="M59" s="132">
        <f t="shared" si="5"/>
        <v>1.7584055367275591</v>
      </c>
      <c r="N59" s="132">
        <f t="shared" si="22"/>
        <v>0.87920276836377953</v>
      </c>
      <c r="O59" s="132">
        <f t="shared" si="23"/>
        <v>-31.482172382293317</v>
      </c>
      <c r="P59" s="2"/>
    </row>
    <row r="60" spans="1:16">
      <c r="A60" s="27">
        <v>33141</v>
      </c>
      <c r="B60" s="55">
        <v>39.0625</v>
      </c>
      <c r="C60" s="55">
        <v>38.0625</v>
      </c>
      <c r="D60" s="55">
        <v>39.0625</v>
      </c>
      <c r="E60" s="55">
        <f t="shared" si="17"/>
        <v>40.125</v>
      </c>
      <c r="F60" s="55">
        <f t="shared" si="18"/>
        <v>37.875</v>
      </c>
      <c r="G60" s="55">
        <f t="shared" si="19"/>
        <v>39</v>
      </c>
      <c r="H60" s="55">
        <f t="shared" si="20"/>
        <v>6.25E-2</v>
      </c>
      <c r="I60" s="55">
        <f t="shared" si="6"/>
        <v>-0.25436848805652046</v>
      </c>
      <c r="J60" s="65">
        <f t="shared" si="7"/>
        <v>-0.26558030959135026</v>
      </c>
      <c r="K60" s="154">
        <f t="shared" si="21"/>
        <v>2.25</v>
      </c>
      <c r="L60" s="154">
        <f t="shared" si="5"/>
        <v>2.1052460476847132</v>
      </c>
      <c r="M60" s="154">
        <f t="shared" si="5"/>
        <v>1.9318257922061361</v>
      </c>
      <c r="N60" s="154">
        <f t="shared" si="22"/>
        <v>0.96591289610306807</v>
      </c>
      <c r="O60" s="154">
        <f t="shared" si="23"/>
        <v>-27.495264910823948</v>
      </c>
      <c r="P60" s="2"/>
    </row>
    <row r="61" spans="1:16">
      <c r="A61" s="27">
        <v>33142</v>
      </c>
      <c r="B61" s="55">
        <v>39.1875</v>
      </c>
      <c r="C61" s="55">
        <v>38.25</v>
      </c>
      <c r="D61" s="55">
        <v>39</v>
      </c>
      <c r="E61" s="55">
        <f t="shared" si="17"/>
        <v>39.5625</v>
      </c>
      <c r="F61" s="55">
        <f t="shared" si="18"/>
        <v>37.875</v>
      </c>
      <c r="G61" s="55">
        <f t="shared" si="19"/>
        <v>38.71875</v>
      </c>
      <c r="H61" s="55">
        <f t="shared" si="20"/>
        <v>0.28125</v>
      </c>
      <c r="I61" s="55">
        <f t="shared" si="6"/>
        <v>1.3440755971739771E-2</v>
      </c>
      <c r="J61" s="65">
        <f t="shared" si="7"/>
        <v>-0.12606977680980525</v>
      </c>
      <c r="K61" s="154">
        <f t="shared" si="21"/>
        <v>1.6875</v>
      </c>
      <c r="L61" s="154">
        <f t="shared" si="5"/>
        <v>1.8963730238423566</v>
      </c>
      <c r="M61" s="154">
        <f t="shared" si="5"/>
        <v>1.9140994080242464</v>
      </c>
      <c r="N61" s="154">
        <f t="shared" si="22"/>
        <v>0.95704970401212319</v>
      </c>
      <c r="O61" s="154">
        <f t="shared" si="23"/>
        <v>-13.172751245969591</v>
      </c>
      <c r="P61" s="2"/>
    </row>
    <row r="62" spans="1:16">
      <c r="A62" s="26">
        <v>33143</v>
      </c>
      <c r="B62" s="52">
        <v>39.5625</v>
      </c>
      <c r="C62" s="52">
        <v>38.375</v>
      </c>
      <c r="D62" s="52">
        <v>38.6875</v>
      </c>
      <c r="E62" s="52">
        <f t="shared" si="17"/>
        <v>39.5625</v>
      </c>
      <c r="F62" s="52">
        <f t="shared" si="18"/>
        <v>37.875</v>
      </c>
      <c r="G62" s="52">
        <f t="shared" si="19"/>
        <v>38.71875</v>
      </c>
      <c r="H62" s="52">
        <f t="shared" si="20"/>
        <v>-3.125E-2</v>
      </c>
      <c r="I62" s="52">
        <f t="shared" si="6"/>
        <v>-8.9046220141301147E-3</v>
      </c>
      <c r="J62" s="64">
        <f t="shared" si="7"/>
        <v>-6.748719941196768E-2</v>
      </c>
      <c r="K62" s="132">
        <f t="shared" si="21"/>
        <v>1.6875</v>
      </c>
      <c r="L62" s="132">
        <f t="shared" si="5"/>
        <v>1.7919365119211783</v>
      </c>
      <c r="M62" s="132">
        <f t="shared" si="5"/>
        <v>1.8530179599727123</v>
      </c>
      <c r="N62" s="132">
        <f t="shared" si="22"/>
        <v>0.92650897998635617</v>
      </c>
      <c r="O62" s="132">
        <f t="shared" si="23"/>
        <v>-7.2840307940632707</v>
      </c>
      <c r="P62" s="2"/>
    </row>
    <row r="63" spans="1:16">
      <c r="A63" s="26">
        <v>33144</v>
      </c>
      <c r="B63" s="52">
        <v>38.6875</v>
      </c>
      <c r="C63" s="52">
        <v>38</v>
      </c>
      <c r="D63" s="52">
        <v>38.5625</v>
      </c>
      <c r="E63" s="52">
        <f>MAX(B59:B63)</f>
        <v>39.5625</v>
      </c>
      <c r="F63" s="52">
        <f>MIN(C59:C63)</f>
        <v>37.875</v>
      </c>
      <c r="G63" s="52">
        <f>(E63+F63)/2</f>
        <v>38.71875</v>
      </c>
      <c r="H63" s="52">
        <f>D63-G63</f>
        <v>-0.15625</v>
      </c>
      <c r="I63" s="52">
        <f t="shared" si="6"/>
        <v>-8.2577311007065057E-2</v>
      </c>
      <c r="J63" s="64">
        <f t="shared" si="7"/>
        <v>-7.5032255209516369E-2</v>
      </c>
      <c r="K63" s="132">
        <f>E63-F63</f>
        <v>1.6875</v>
      </c>
      <c r="L63" s="132">
        <f t="shared" si="5"/>
        <v>1.739718255960589</v>
      </c>
      <c r="M63" s="132">
        <f t="shared" si="5"/>
        <v>1.7963681079666507</v>
      </c>
      <c r="N63" s="132">
        <f t="shared" si="22"/>
        <v>0.89818405398332535</v>
      </c>
      <c r="O63" s="132">
        <f t="shared" si="23"/>
        <v>-8.3537728015497947</v>
      </c>
      <c r="P63" s="2"/>
    </row>
    <row r="64" spans="1:16">
      <c r="A64" s="68">
        <v>33147</v>
      </c>
      <c r="B64" s="55">
        <v>39.9375</v>
      </c>
      <c r="C64" s="55">
        <v>38.8125</v>
      </c>
      <c r="D64" s="55">
        <v>39.75</v>
      </c>
      <c r="E64" s="55">
        <f>MAX(B60:B64)</f>
        <v>39.9375</v>
      </c>
      <c r="F64" s="55">
        <f>MIN(C60:C64)</f>
        <v>38</v>
      </c>
      <c r="G64" s="55">
        <f>(E64+F64)/2</f>
        <v>38.96875</v>
      </c>
      <c r="H64" s="55">
        <f>D64-G64</f>
        <v>0.78125</v>
      </c>
      <c r="I64" s="55">
        <f t="shared" si="6"/>
        <v>0.34933634449646744</v>
      </c>
      <c r="J64" s="65">
        <f t="shared" si="7"/>
        <v>0.13715204464347552</v>
      </c>
      <c r="K64" s="154">
        <f>E64-F64</f>
        <v>1.9375</v>
      </c>
      <c r="L64" s="154">
        <f t="shared" si="5"/>
        <v>1.8386091279802945</v>
      </c>
      <c r="M64" s="154">
        <f t="shared" si="5"/>
        <v>1.8174886179734726</v>
      </c>
      <c r="N64" s="154">
        <f t="shared" si="22"/>
        <v>0.9087443089867363</v>
      </c>
      <c r="O64" s="154">
        <f t="shared" si="23"/>
        <v>15.092479071082396</v>
      </c>
      <c r="P64" s="2"/>
    </row>
    <row r="65" spans="1:16">
      <c r="A65" s="68">
        <v>33148</v>
      </c>
      <c r="B65" s="55">
        <v>40.1875</v>
      </c>
      <c r="C65" s="55">
        <v>39.3125</v>
      </c>
      <c r="D65" s="55">
        <v>39.375</v>
      </c>
      <c r="E65" s="55">
        <f>MAX(B61:B65)</f>
        <v>40.1875</v>
      </c>
      <c r="F65" s="55">
        <f>MIN(C61:C65)</f>
        <v>38</v>
      </c>
      <c r="G65" s="55">
        <f>(E65+F65)/2</f>
        <v>39.09375</v>
      </c>
      <c r="H65" s="55">
        <f>D65-G65</f>
        <v>0.28125</v>
      </c>
      <c r="I65" s="55">
        <f t="shared" si="6"/>
        <v>0.31529317224823372</v>
      </c>
      <c r="J65" s="65">
        <f t="shared" si="7"/>
        <v>0.22622260844585462</v>
      </c>
      <c r="K65" s="154">
        <f>E65-F65</f>
        <v>2.1875</v>
      </c>
      <c r="L65" s="154">
        <f t="shared" si="5"/>
        <v>2.0130545639901474</v>
      </c>
      <c r="M65" s="154">
        <f t="shared" si="5"/>
        <v>1.9152715909818099</v>
      </c>
      <c r="N65" s="154">
        <f t="shared" si="22"/>
        <v>0.95763579549090494</v>
      </c>
      <c r="O65" s="154">
        <f t="shared" si="23"/>
        <v>23.623031794659262</v>
      </c>
      <c r="P65" s="2"/>
    </row>
    <row r="66" spans="1:16">
      <c r="P66" s="2"/>
    </row>
    <row r="67" spans="1:16">
      <c r="P67" s="2"/>
    </row>
    <row r="68" spans="1:16" ht="15">
      <c r="A68" s="241" t="s">
        <v>1350</v>
      </c>
      <c r="P68" s="2"/>
    </row>
    <row r="69" spans="1:16" ht="15">
      <c r="A69" s="241" t="s">
        <v>1351</v>
      </c>
      <c r="P69" s="2"/>
    </row>
    <row r="70" spans="1:16" ht="15">
      <c r="A70" s="241" t="s">
        <v>1352</v>
      </c>
      <c r="B70" s="241"/>
      <c r="P70" s="2"/>
    </row>
    <row r="71" spans="1:16" ht="15">
      <c r="A71" s="241" t="s">
        <v>1353</v>
      </c>
      <c r="B71" s="241"/>
      <c r="P71" s="2"/>
    </row>
    <row r="72" spans="1:16" ht="15">
      <c r="A72" s="241" t="s">
        <v>1354</v>
      </c>
      <c r="B72" s="241"/>
      <c r="P72" s="2"/>
    </row>
    <row r="73" spans="1:16" ht="15">
      <c r="A73" s="241" t="s">
        <v>1355</v>
      </c>
      <c r="B73" s="241"/>
      <c r="P73" s="2"/>
    </row>
    <row r="74" spans="1:16" ht="15">
      <c r="A74" s="241" t="s">
        <v>264</v>
      </c>
      <c r="B74" s="241"/>
      <c r="P74" s="2"/>
    </row>
    <row r="75" spans="1:16" ht="15">
      <c r="A75" s="241" t="s">
        <v>1356</v>
      </c>
      <c r="B75" s="241"/>
      <c r="P75" s="2"/>
    </row>
    <row r="76" spans="1:16" ht="15">
      <c r="A76" s="241" t="s">
        <v>30</v>
      </c>
      <c r="B76" s="241"/>
      <c r="P76" s="2"/>
    </row>
    <row r="77" spans="1:16" ht="15">
      <c r="A77" s="241" t="s">
        <v>31</v>
      </c>
      <c r="B77" s="241"/>
      <c r="P77" s="2"/>
    </row>
    <row r="78" spans="1:16" ht="15">
      <c r="A78" s="241" t="s">
        <v>32</v>
      </c>
      <c r="B78" s="241"/>
      <c r="P78" s="2"/>
    </row>
    <row r="79" spans="1:16" ht="15">
      <c r="B79" s="241"/>
      <c r="P79" s="2"/>
    </row>
    <row r="80" spans="1:16" ht="15">
      <c r="B80" s="241"/>
      <c r="C80" s="241"/>
      <c r="P80" s="2"/>
    </row>
    <row r="81" spans="16:16">
      <c r="P81" s="2"/>
    </row>
    <row r="82" spans="16:16">
      <c r="P82" s="2"/>
    </row>
    <row r="83" spans="16:16">
      <c r="P83" s="2"/>
    </row>
    <row r="84" spans="16:16">
      <c r="P84" s="2"/>
    </row>
    <row r="85" spans="16:16">
      <c r="P85" s="2"/>
    </row>
    <row r="86" spans="16:16">
      <c r="P86" s="2"/>
    </row>
    <row r="87" spans="16:16">
      <c r="P87" s="2"/>
    </row>
    <row r="88" spans="16:16">
      <c r="P88" s="2"/>
    </row>
    <row r="89" spans="16:16">
      <c r="P89" s="2"/>
    </row>
    <row r="90" spans="16:16">
      <c r="P90" s="2"/>
    </row>
    <row r="91" spans="16:16">
      <c r="P91" s="2"/>
    </row>
    <row r="92" spans="16:16">
      <c r="P92" s="2"/>
    </row>
    <row r="93" spans="16:16">
      <c r="P93" s="2"/>
    </row>
    <row r="94" spans="16:16">
      <c r="P94" s="2"/>
    </row>
    <row r="95" spans="16:16">
      <c r="P95" s="2"/>
    </row>
    <row r="96" spans="16:16">
      <c r="P96" s="2"/>
    </row>
    <row r="97" spans="16:16">
      <c r="P97" s="2"/>
    </row>
    <row r="98" spans="16:16">
      <c r="P98" s="2"/>
    </row>
    <row r="99" spans="16:16">
      <c r="P99" s="2"/>
    </row>
    <row r="100" spans="16:16">
      <c r="P100" s="2"/>
    </row>
    <row r="101" spans="16:16">
      <c r="P101" s="2"/>
    </row>
    <row r="102" spans="16:16">
      <c r="P102" s="2"/>
    </row>
    <row r="103" spans="16:16">
      <c r="P103" s="2"/>
    </row>
    <row r="104" spans="16:16">
      <c r="P104" s="2"/>
    </row>
    <row r="105" spans="16:16">
      <c r="P105" s="2"/>
    </row>
    <row r="106" spans="16:16">
      <c r="P106" s="2"/>
    </row>
    <row r="107" spans="16:16">
      <c r="P107" s="2"/>
    </row>
    <row r="108" spans="16:16">
      <c r="P108" s="2"/>
    </row>
    <row r="109" spans="16:16">
      <c r="P109" s="2"/>
    </row>
    <row r="110" spans="16:16">
      <c r="P110" s="2"/>
    </row>
    <row r="111" spans="16:16">
      <c r="P111" s="2"/>
    </row>
    <row r="112" spans="16:16">
      <c r="P112" s="2"/>
    </row>
    <row r="113" spans="16:16">
      <c r="P113" s="2"/>
    </row>
    <row r="114" spans="16:16">
      <c r="P114" s="2"/>
    </row>
    <row r="115" spans="16:16">
      <c r="P115" s="2"/>
    </row>
    <row r="116" spans="16:16">
      <c r="P116" s="2"/>
    </row>
    <row r="117" spans="16:16">
      <c r="P117" s="2"/>
    </row>
    <row r="118" spans="16:16">
      <c r="P118" s="2"/>
    </row>
    <row r="119" spans="16:16">
      <c r="P119" s="2"/>
    </row>
    <row r="120" spans="16:16">
      <c r="P120" s="2"/>
    </row>
    <row r="121" spans="16:16">
      <c r="P121" s="2"/>
    </row>
    <row r="122" spans="16:16">
      <c r="P122" s="2"/>
    </row>
    <row r="123" spans="16:16">
      <c r="P123" s="2"/>
    </row>
    <row r="124" spans="16:16">
      <c r="P124" s="2"/>
    </row>
    <row r="125" spans="16:16">
      <c r="P125" s="2"/>
    </row>
    <row r="126" spans="16:16">
      <c r="P126" s="2"/>
    </row>
    <row r="127" spans="16:16">
      <c r="P127" s="2"/>
    </row>
    <row r="128" spans="16:16">
      <c r="P128" s="2"/>
    </row>
    <row r="129" spans="16:16">
      <c r="P129" s="2"/>
    </row>
    <row r="130" spans="16:16">
      <c r="P130" s="2"/>
    </row>
    <row r="131" spans="16:16">
      <c r="P131" s="2"/>
    </row>
    <row r="132" spans="16:16">
      <c r="P132" s="2"/>
    </row>
    <row r="133" spans="16:16">
      <c r="P133" s="2"/>
    </row>
    <row r="134" spans="16:16">
      <c r="P134" s="2"/>
    </row>
    <row r="135" spans="16:16">
      <c r="P135" s="2"/>
    </row>
    <row r="136" spans="16:16">
      <c r="P136" s="2"/>
    </row>
    <row r="137" spans="16:16">
      <c r="P137" s="2"/>
    </row>
    <row r="138" spans="16:16">
      <c r="P138" s="2"/>
    </row>
    <row r="139" spans="16:16">
      <c r="P139" s="2"/>
    </row>
    <row r="140" spans="16:16">
      <c r="P140" s="2"/>
    </row>
    <row r="141" spans="16:16">
      <c r="P141" s="2"/>
    </row>
    <row r="142" spans="16:16">
      <c r="P142" s="2"/>
    </row>
    <row r="143" spans="16:16">
      <c r="P143" s="2"/>
    </row>
    <row r="144" spans="16:16">
      <c r="P144" s="2"/>
    </row>
    <row r="145" spans="16:16">
      <c r="P145" s="2"/>
    </row>
    <row r="146" spans="16:16">
      <c r="P146" s="2"/>
    </row>
    <row r="147" spans="16:16">
      <c r="P147" s="2"/>
    </row>
    <row r="148" spans="16:16">
      <c r="P148" s="2"/>
    </row>
    <row r="149" spans="16:16">
      <c r="P149" s="2"/>
    </row>
    <row r="150" spans="16:16">
      <c r="P150" s="2"/>
    </row>
    <row r="151" spans="16:16">
      <c r="P151" s="2"/>
    </row>
    <row r="152" spans="16:16">
      <c r="P152" s="2"/>
    </row>
    <row r="153" spans="16:16">
      <c r="P153" s="2"/>
    </row>
    <row r="154" spans="16:16">
      <c r="P154" s="2"/>
    </row>
    <row r="155" spans="16:16">
      <c r="P155" s="2"/>
    </row>
    <row r="156" spans="16:16">
      <c r="P156" s="2"/>
    </row>
    <row r="157" spans="16:16">
      <c r="P157" s="2"/>
    </row>
    <row r="158" spans="16:16">
      <c r="P158" s="2"/>
    </row>
    <row r="159" spans="16:16">
      <c r="P159" s="2"/>
    </row>
    <row r="160" spans="16:16">
      <c r="P160" s="2"/>
    </row>
    <row r="161" spans="16:16">
      <c r="P161" s="2"/>
    </row>
    <row r="162" spans="16:16">
      <c r="P162" s="2"/>
    </row>
    <row r="163" spans="16:16">
      <c r="P163" s="2"/>
    </row>
    <row r="164" spans="16:16">
      <c r="P164" s="2"/>
    </row>
    <row r="165" spans="16:16">
      <c r="P165" s="2"/>
    </row>
    <row r="166" spans="16:16">
      <c r="P166" s="2"/>
    </row>
    <row r="167" spans="16:16">
      <c r="P167" s="2"/>
    </row>
    <row r="168" spans="16:16">
      <c r="P168" s="2"/>
    </row>
    <row r="169" spans="16:16">
      <c r="P169" s="2"/>
    </row>
    <row r="170" spans="16:16">
      <c r="P170" s="2"/>
    </row>
    <row r="171" spans="16:16">
      <c r="P171" s="2"/>
    </row>
    <row r="172" spans="16:16">
      <c r="P172" s="2"/>
    </row>
    <row r="173" spans="16:16">
      <c r="P173" s="2"/>
    </row>
    <row r="174" spans="16:16">
      <c r="P174" s="2"/>
    </row>
    <row r="175" spans="16:16">
      <c r="P175" s="2"/>
    </row>
    <row r="176" spans="16:16">
      <c r="P176" s="2"/>
    </row>
    <row r="177" spans="16:16">
      <c r="P177" s="2"/>
    </row>
    <row r="178" spans="16:16">
      <c r="P178" s="2"/>
    </row>
    <row r="179" spans="16:16">
      <c r="P179" s="2"/>
    </row>
    <row r="180" spans="16:16">
      <c r="P180" s="2"/>
    </row>
    <row r="181" spans="16:16">
      <c r="P181" s="2"/>
    </row>
    <row r="182" spans="16:16">
      <c r="P182" s="2"/>
    </row>
    <row r="183" spans="16:16">
      <c r="P183" s="2"/>
    </row>
    <row r="184" spans="16:16">
      <c r="P184" s="2"/>
    </row>
    <row r="185" spans="16:16">
      <c r="P185" s="2"/>
    </row>
    <row r="186" spans="16:16">
      <c r="P186" s="2"/>
    </row>
    <row r="187" spans="16:16">
      <c r="P187" s="2"/>
    </row>
    <row r="188" spans="16:16">
      <c r="P188" s="2"/>
    </row>
    <row r="189" spans="16:16">
      <c r="P189" s="2"/>
    </row>
    <row r="190" spans="16:16">
      <c r="P190" s="2"/>
    </row>
    <row r="191" spans="16:16">
      <c r="P191" s="2"/>
    </row>
    <row r="192" spans="16:16">
      <c r="P192" s="2"/>
    </row>
    <row r="193" spans="16:16">
      <c r="P193" s="2"/>
    </row>
    <row r="194" spans="16:16">
      <c r="P194" s="2"/>
    </row>
    <row r="195" spans="16:16">
      <c r="P195" s="2"/>
    </row>
    <row r="196" spans="16:16">
      <c r="P196" s="2"/>
    </row>
    <row r="197" spans="16:16">
      <c r="P197" s="2"/>
    </row>
    <row r="198" spans="16:16">
      <c r="P198" s="2"/>
    </row>
    <row r="199" spans="16:16">
      <c r="P199" s="2"/>
    </row>
    <row r="200" spans="16:16">
      <c r="P200" s="2"/>
    </row>
    <row r="201" spans="16:16">
      <c r="P201" s="2"/>
    </row>
    <row r="202" spans="16:16">
      <c r="P202" s="2"/>
    </row>
    <row r="203" spans="16:16">
      <c r="P203" s="2"/>
    </row>
    <row r="204" spans="16:16">
      <c r="P204" s="2"/>
    </row>
    <row r="205" spans="16:16">
      <c r="P205" s="2"/>
    </row>
    <row r="206" spans="16:16">
      <c r="P206" s="2"/>
    </row>
    <row r="207" spans="16:16">
      <c r="P207" s="2"/>
    </row>
    <row r="208" spans="16:16">
      <c r="P208" s="2"/>
    </row>
    <row r="209" spans="16:16">
      <c r="P209" s="2"/>
    </row>
    <row r="210" spans="16:16">
      <c r="P210" s="2"/>
    </row>
    <row r="211" spans="16:16">
      <c r="P211" s="2"/>
    </row>
    <row r="212" spans="16:16">
      <c r="P212" s="2"/>
    </row>
    <row r="213" spans="16:16">
      <c r="P213" s="2"/>
    </row>
    <row r="214" spans="16:16">
      <c r="P214" s="2"/>
    </row>
    <row r="215" spans="16:16">
      <c r="P215" s="2"/>
    </row>
    <row r="216" spans="16:16">
      <c r="P216" s="2"/>
    </row>
    <row r="217" spans="16:16">
      <c r="P217" s="2"/>
    </row>
    <row r="218" spans="16:16">
      <c r="P218" s="2"/>
    </row>
    <row r="219" spans="16:16">
      <c r="P219" s="2"/>
    </row>
    <row r="220" spans="16:16">
      <c r="P220" s="2"/>
    </row>
    <row r="221" spans="16:16">
      <c r="P221" s="2"/>
    </row>
    <row r="222" spans="16:16">
      <c r="P222" s="2"/>
    </row>
    <row r="223" spans="16:16">
      <c r="P223" s="2"/>
    </row>
    <row r="224" spans="16:16">
      <c r="P224" s="2"/>
    </row>
    <row r="225" spans="16:16">
      <c r="P225" s="2"/>
    </row>
    <row r="226" spans="16:16">
      <c r="P226" s="2"/>
    </row>
    <row r="227" spans="16:16">
      <c r="P227" s="2"/>
    </row>
    <row r="228" spans="16:16">
      <c r="P228" s="2"/>
    </row>
    <row r="229" spans="16:16">
      <c r="P229" s="2"/>
    </row>
    <row r="230" spans="16:16">
      <c r="P230" s="2"/>
    </row>
    <row r="231" spans="16:16">
      <c r="P231" s="2"/>
    </row>
    <row r="232" spans="16:16">
      <c r="P232" s="2"/>
    </row>
    <row r="233" spans="16:16">
      <c r="P233" s="2"/>
    </row>
    <row r="234" spans="16:16">
      <c r="P234" s="2"/>
    </row>
    <row r="235" spans="16:16">
      <c r="P235" s="2"/>
    </row>
    <row r="236" spans="16:16">
      <c r="P236" s="2"/>
    </row>
    <row r="237" spans="16:16">
      <c r="P237" s="2"/>
    </row>
    <row r="238" spans="16:16">
      <c r="P238" s="2"/>
    </row>
    <row r="239" spans="16:16">
      <c r="P239" s="2"/>
    </row>
    <row r="240" spans="16:16">
      <c r="P240" s="2"/>
    </row>
    <row r="241" spans="16:16">
      <c r="P241" s="2"/>
    </row>
    <row r="242" spans="16:16">
      <c r="P242" s="2"/>
    </row>
    <row r="243" spans="16:16">
      <c r="P243" s="2"/>
    </row>
    <row r="244" spans="16:16">
      <c r="P244" s="2"/>
    </row>
    <row r="245" spans="16:16">
      <c r="P245" s="2"/>
    </row>
    <row r="246" spans="16:16">
      <c r="P246" s="2"/>
    </row>
    <row r="247" spans="16:16">
      <c r="P247" s="2"/>
    </row>
    <row r="248" spans="16:16">
      <c r="P248" s="2"/>
    </row>
    <row r="249" spans="16:16">
      <c r="P249" s="2"/>
    </row>
    <row r="250" spans="16:16">
      <c r="P250" s="2"/>
    </row>
    <row r="251" spans="16:16">
      <c r="P251" s="2"/>
    </row>
    <row r="252" spans="16:16">
      <c r="P252" s="2"/>
    </row>
    <row r="253" spans="16:16">
      <c r="P253" s="2"/>
    </row>
    <row r="254" spans="16:16">
      <c r="P254" s="2"/>
    </row>
    <row r="255" spans="16:16">
      <c r="P255" s="2"/>
    </row>
    <row r="256" spans="16:16">
      <c r="P256" s="2"/>
    </row>
    <row r="257" spans="16:16">
      <c r="P257" s="2"/>
    </row>
    <row r="258" spans="16:16">
      <c r="P258" s="2"/>
    </row>
    <row r="259" spans="16:16">
      <c r="P259" s="2"/>
    </row>
    <row r="260" spans="16:16">
      <c r="P260" s="2"/>
    </row>
    <row r="261" spans="16:16">
      <c r="P261" s="2"/>
    </row>
    <row r="262" spans="16:16">
      <c r="P262" s="2"/>
    </row>
    <row r="263" spans="16:16">
      <c r="P263" s="2"/>
    </row>
    <row r="264" spans="16:16">
      <c r="P264" s="2"/>
    </row>
    <row r="265" spans="16:16">
      <c r="P265" s="2"/>
    </row>
    <row r="266" spans="16:16">
      <c r="P266" s="2"/>
    </row>
    <row r="267" spans="16:16">
      <c r="P267" s="2"/>
    </row>
    <row r="268" spans="16:16">
      <c r="P268" s="2"/>
    </row>
    <row r="269" spans="16:16">
      <c r="P269" s="2"/>
    </row>
    <row r="270" spans="16:16">
      <c r="P270" s="2"/>
    </row>
    <row r="271" spans="16:16">
      <c r="P271" s="2"/>
    </row>
    <row r="272" spans="16:16">
      <c r="P272" s="2"/>
    </row>
    <row r="273" spans="16:16">
      <c r="P273" s="2"/>
    </row>
    <row r="274" spans="16:16">
      <c r="P274" s="2"/>
    </row>
    <row r="275" spans="16:16">
      <c r="P275" s="2"/>
    </row>
    <row r="276" spans="16:16">
      <c r="P276" s="2"/>
    </row>
    <row r="277" spans="16:16">
      <c r="P277" s="2"/>
    </row>
    <row r="278" spans="16:16">
      <c r="P278" s="2"/>
    </row>
    <row r="279" spans="16:16">
      <c r="P279" s="2"/>
    </row>
    <row r="280" spans="16:16">
      <c r="P280" s="2"/>
    </row>
    <row r="281" spans="16:16">
      <c r="P281" s="2"/>
    </row>
    <row r="282" spans="16:16">
      <c r="P282" s="2"/>
    </row>
    <row r="283" spans="16:16">
      <c r="P283" s="2"/>
    </row>
    <row r="284" spans="16:16">
      <c r="P284" s="2"/>
    </row>
    <row r="285" spans="16:16">
      <c r="P285" s="2"/>
    </row>
    <row r="286" spans="16:16">
      <c r="P286" s="2"/>
    </row>
    <row r="287" spans="16:16">
      <c r="P287" s="2"/>
    </row>
    <row r="288" spans="16:16">
      <c r="P288" s="2"/>
    </row>
    <row r="289" spans="16:16">
      <c r="P289" s="2"/>
    </row>
    <row r="290" spans="16:16">
      <c r="P290" s="2"/>
    </row>
    <row r="291" spans="16:16">
      <c r="P291" s="2"/>
    </row>
    <row r="292" spans="16:16">
      <c r="P292" s="2"/>
    </row>
    <row r="293" spans="16:16">
      <c r="P293" s="2"/>
    </row>
    <row r="294" spans="16:16">
      <c r="P294" s="2"/>
    </row>
    <row r="295" spans="16:16">
      <c r="P295" s="2"/>
    </row>
    <row r="296" spans="16:16">
      <c r="P296" s="2"/>
    </row>
    <row r="297" spans="16:16">
      <c r="P297" s="2"/>
    </row>
    <row r="298" spans="16:16">
      <c r="P298" s="2"/>
    </row>
    <row r="299" spans="16:16">
      <c r="P299" s="2"/>
    </row>
    <row r="300" spans="16:16">
      <c r="P300" s="2"/>
    </row>
    <row r="301" spans="16:16">
      <c r="P301" s="2"/>
    </row>
    <row r="302" spans="16:16">
      <c r="P302" s="2"/>
    </row>
    <row r="303" spans="16:16">
      <c r="P303" s="2"/>
    </row>
    <row r="304" spans="16:16">
      <c r="P304" s="2"/>
    </row>
    <row r="305" spans="16:16">
      <c r="P305" s="2"/>
    </row>
    <row r="306" spans="16:16">
      <c r="P306" s="2"/>
    </row>
    <row r="307" spans="16:16">
      <c r="P307" s="2"/>
    </row>
    <row r="308" spans="16:16">
      <c r="P308" s="2"/>
    </row>
    <row r="309" spans="16:16">
      <c r="P309" s="2"/>
    </row>
    <row r="310" spans="16:16">
      <c r="P310" s="2"/>
    </row>
    <row r="311" spans="16:16">
      <c r="P311" s="2"/>
    </row>
    <row r="312" spans="16:16">
      <c r="P312" s="2"/>
    </row>
    <row r="313" spans="16:16">
      <c r="P313" s="2"/>
    </row>
    <row r="314" spans="16:16">
      <c r="P314" s="2"/>
    </row>
    <row r="315" spans="16:16">
      <c r="P315" s="2"/>
    </row>
    <row r="316" spans="16:16">
      <c r="P316" s="2"/>
    </row>
    <row r="317" spans="16:16">
      <c r="P317" s="2"/>
    </row>
    <row r="318" spans="16:16">
      <c r="P318" s="2"/>
    </row>
    <row r="319" spans="16:16">
      <c r="P319" s="2"/>
    </row>
    <row r="320" spans="16:16">
      <c r="P320" s="2"/>
    </row>
    <row r="321" spans="16:16">
      <c r="P321" s="2"/>
    </row>
    <row r="322" spans="16:16">
      <c r="P322" s="2"/>
    </row>
    <row r="323" spans="16:16">
      <c r="P323" s="2"/>
    </row>
    <row r="324" spans="16:16">
      <c r="P324" s="2"/>
    </row>
    <row r="325" spans="16:16">
      <c r="P325" s="2"/>
    </row>
    <row r="326" spans="16:16">
      <c r="P326" s="2"/>
    </row>
    <row r="327" spans="16:16">
      <c r="P327" s="2"/>
    </row>
    <row r="328" spans="16:16">
      <c r="P328" s="2"/>
    </row>
    <row r="329" spans="16:16">
      <c r="P329" s="2"/>
    </row>
    <row r="330" spans="16:16">
      <c r="P330" s="2"/>
    </row>
    <row r="331" spans="16:16">
      <c r="P331" s="2"/>
    </row>
    <row r="332" spans="16:16">
      <c r="P332" s="2"/>
    </row>
    <row r="333" spans="16:16">
      <c r="P333" s="2"/>
    </row>
    <row r="334" spans="16:16">
      <c r="P334" s="2"/>
    </row>
    <row r="335" spans="16:16">
      <c r="P335" s="2"/>
    </row>
    <row r="336" spans="16:16">
      <c r="P336" s="2"/>
    </row>
    <row r="337" spans="16:16">
      <c r="P337" s="2"/>
    </row>
    <row r="338" spans="16:16">
      <c r="P338" s="2"/>
    </row>
    <row r="339" spans="16:16">
      <c r="P339" s="2"/>
    </row>
    <row r="340" spans="16:16">
      <c r="P340" s="2"/>
    </row>
    <row r="341" spans="16:16">
      <c r="P341" s="2"/>
    </row>
    <row r="342" spans="16:16">
      <c r="P342" s="2"/>
    </row>
    <row r="343" spans="16:16">
      <c r="P343" s="2"/>
    </row>
    <row r="344" spans="16:16">
      <c r="P344" s="2"/>
    </row>
    <row r="345" spans="16:16">
      <c r="P345" s="2"/>
    </row>
    <row r="346" spans="16:16">
      <c r="P346" s="2"/>
    </row>
    <row r="347" spans="16:16">
      <c r="P347" s="2"/>
    </row>
    <row r="348" spans="16:16">
      <c r="P348" s="2"/>
    </row>
    <row r="349" spans="16:16">
      <c r="P349" s="2"/>
    </row>
    <row r="350" spans="16:16">
      <c r="P350" s="2"/>
    </row>
    <row r="351" spans="16:16">
      <c r="P351" s="2"/>
    </row>
    <row r="352" spans="16:16">
      <c r="P352" s="2"/>
    </row>
    <row r="353" spans="16:16">
      <c r="P353" s="2"/>
    </row>
    <row r="354" spans="16:16">
      <c r="P354" s="2"/>
    </row>
    <row r="355" spans="16:16">
      <c r="P355" s="2"/>
    </row>
    <row r="356" spans="16:16">
      <c r="P356" s="2"/>
    </row>
    <row r="357" spans="16:16">
      <c r="P357" s="2"/>
    </row>
    <row r="358" spans="16:16">
      <c r="P358" s="2"/>
    </row>
    <row r="359" spans="16:16">
      <c r="P359" s="2"/>
    </row>
    <row r="360" spans="16:16">
      <c r="P360" s="2"/>
    </row>
    <row r="361" spans="16:16">
      <c r="P361" s="2"/>
    </row>
    <row r="362" spans="16:16">
      <c r="P362" s="2"/>
    </row>
    <row r="363" spans="16:16">
      <c r="P363" s="2"/>
    </row>
    <row r="364" spans="16:16">
      <c r="P364" s="2"/>
    </row>
    <row r="365" spans="16:16">
      <c r="P365" s="2"/>
    </row>
    <row r="366" spans="16:16">
      <c r="P366" s="2"/>
    </row>
    <row r="367" spans="16:16">
      <c r="P367" s="2"/>
    </row>
    <row r="368" spans="16:16">
      <c r="P368" s="2"/>
    </row>
    <row r="369" spans="16:16">
      <c r="P369" s="2"/>
    </row>
    <row r="370" spans="16:16">
      <c r="P370" s="2"/>
    </row>
    <row r="371" spans="16:16">
      <c r="P371" s="2"/>
    </row>
    <row r="372" spans="16:16">
      <c r="P372" s="2"/>
    </row>
    <row r="373" spans="16:16">
      <c r="P373" s="2"/>
    </row>
    <row r="374" spans="16:16">
      <c r="P374" s="2"/>
    </row>
    <row r="375" spans="16:16">
      <c r="P375" s="2"/>
    </row>
    <row r="376" spans="16:16">
      <c r="P376" s="2"/>
    </row>
    <row r="377" spans="16:16">
      <c r="P377" s="2"/>
    </row>
    <row r="378" spans="16:16">
      <c r="P378" s="2"/>
    </row>
    <row r="379" spans="16:16">
      <c r="P379" s="2"/>
    </row>
    <row r="380" spans="16:16">
      <c r="P380" s="2"/>
    </row>
    <row r="381" spans="16:16">
      <c r="P381" s="2"/>
    </row>
    <row r="382" spans="16:16">
      <c r="P382" s="2"/>
    </row>
    <row r="383" spans="16:16">
      <c r="P383" s="2"/>
    </row>
    <row r="384" spans="16:16">
      <c r="P384" s="2"/>
    </row>
    <row r="385" spans="16:16">
      <c r="P385" s="2"/>
    </row>
    <row r="386" spans="16:16">
      <c r="P386" s="2"/>
    </row>
    <row r="387" spans="16:16">
      <c r="P387" s="2"/>
    </row>
    <row r="388" spans="16:16">
      <c r="P388" s="2"/>
    </row>
    <row r="389" spans="16:16">
      <c r="P389" s="2"/>
    </row>
    <row r="390" spans="16:16">
      <c r="P390" s="2"/>
    </row>
    <row r="391" spans="16:16">
      <c r="P391" s="2"/>
    </row>
    <row r="392" spans="16:16">
      <c r="P392" s="2"/>
    </row>
    <row r="393" spans="16:16">
      <c r="P393" s="2"/>
    </row>
    <row r="394" spans="16:16">
      <c r="P394" s="2"/>
    </row>
    <row r="395" spans="16:16">
      <c r="P395" s="2"/>
    </row>
    <row r="396" spans="16:16">
      <c r="P396" s="2"/>
    </row>
    <row r="397" spans="16:16">
      <c r="P397" s="2"/>
    </row>
    <row r="398" spans="16:16">
      <c r="P398" s="2"/>
    </row>
    <row r="399" spans="16:16">
      <c r="P399" s="2"/>
    </row>
    <row r="400" spans="16:16">
      <c r="P400" s="2"/>
    </row>
    <row r="401" spans="16:16">
      <c r="P401" s="2"/>
    </row>
    <row r="402" spans="16:16">
      <c r="P402" s="2"/>
    </row>
    <row r="403" spans="16:16">
      <c r="P403" s="2"/>
    </row>
    <row r="404" spans="16:16">
      <c r="P404" s="2"/>
    </row>
    <row r="405" spans="16:16">
      <c r="P405" s="2"/>
    </row>
    <row r="406" spans="16:16">
      <c r="P406" s="2"/>
    </row>
    <row r="407" spans="16:16">
      <c r="P407" s="2"/>
    </row>
    <row r="408" spans="16:16">
      <c r="P408" s="2"/>
    </row>
    <row r="409" spans="16:16">
      <c r="P409" s="2"/>
    </row>
    <row r="410" spans="16:16">
      <c r="P410" s="2"/>
    </row>
    <row r="411" spans="16:16">
      <c r="P411" s="2"/>
    </row>
    <row r="412" spans="16:16">
      <c r="P412" s="2"/>
    </row>
    <row r="413" spans="16:16">
      <c r="P413" s="2"/>
    </row>
    <row r="414" spans="16:16">
      <c r="P414" s="2"/>
    </row>
    <row r="415" spans="16:16">
      <c r="P415" s="2"/>
    </row>
    <row r="416" spans="16:16">
      <c r="P416" s="2"/>
    </row>
    <row r="417" spans="16:16">
      <c r="P417" s="2"/>
    </row>
    <row r="418" spans="16:16">
      <c r="P418" s="2"/>
    </row>
    <row r="419" spans="16:16">
      <c r="P419" s="2"/>
    </row>
    <row r="420" spans="16:16">
      <c r="P420" s="2"/>
    </row>
    <row r="421" spans="16:16">
      <c r="P421" s="2"/>
    </row>
    <row r="422" spans="16:16">
      <c r="P422" s="2"/>
    </row>
    <row r="423" spans="16:16">
      <c r="P423" s="2"/>
    </row>
    <row r="424" spans="16:16">
      <c r="P424" s="2"/>
    </row>
    <row r="425" spans="16:16">
      <c r="P425" s="2"/>
    </row>
    <row r="426" spans="16:16">
      <c r="P426" s="2"/>
    </row>
    <row r="427" spans="16:16">
      <c r="P427" s="2"/>
    </row>
    <row r="428" spans="16:16">
      <c r="P428" s="2"/>
    </row>
    <row r="429" spans="16:16">
      <c r="P429" s="2"/>
    </row>
    <row r="430" spans="16:16">
      <c r="P430" s="2"/>
    </row>
    <row r="431" spans="16:16">
      <c r="P431" s="2"/>
    </row>
    <row r="432" spans="16:16">
      <c r="P432" s="2"/>
    </row>
    <row r="433" spans="16:16">
      <c r="P433" s="2"/>
    </row>
    <row r="434" spans="16:16">
      <c r="P434" s="2"/>
    </row>
    <row r="435" spans="16:16">
      <c r="P435" s="2"/>
    </row>
    <row r="436" spans="16:16">
      <c r="P436" s="2"/>
    </row>
    <row r="437" spans="16:16">
      <c r="P437" s="2"/>
    </row>
    <row r="438" spans="16:16">
      <c r="P438" s="2"/>
    </row>
    <row r="439" spans="16:16">
      <c r="P439" s="2"/>
    </row>
    <row r="440" spans="16:16">
      <c r="P440" s="2"/>
    </row>
    <row r="441" spans="16:16">
      <c r="P441" s="2"/>
    </row>
    <row r="442" spans="16:16">
      <c r="P442" s="2"/>
    </row>
    <row r="443" spans="16:16">
      <c r="P443" s="2"/>
    </row>
    <row r="444" spans="16:16">
      <c r="P444" s="2"/>
    </row>
    <row r="445" spans="16:16">
      <c r="P445" s="2"/>
    </row>
    <row r="446" spans="16:16">
      <c r="P446" s="2"/>
    </row>
    <row r="447" spans="16:16">
      <c r="P447" s="2"/>
    </row>
    <row r="448" spans="16:16">
      <c r="P448" s="2"/>
    </row>
    <row r="449" spans="16:16">
      <c r="P449" s="2"/>
    </row>
    <row r="450" spans="16:16">
      <c r="P450" s="2"/>
    </row>
    <row r="451" spans="16:16">
      <c r="P451" s="2"/>
    </row>
    <row r="452" spans="16:16">
      <c r="P452" s="2"/>
    </row>
    <row r="453" spans="16:16">
      <c r="P453" s="2"/>
    </row>
    <row r="454" spans="16:16">
      <c r="P454" s="2"/>
    </row>
    <row r="455" spans="16:16">
      <c r="P455" s="2"/>
    </row>
    <row r="456" spans="16:16">
      <c r="P456" s="2"/>
    </row>
    <row r="457" spans="16:16">
      <c r="P457" s="2"/>
    </row>
    <row r="458" spans="16:16">
      <c r="P458" s="2"/>
    </row>
    <row r="459" spans="16:16">
      <c r="P459" s="2"/>
    </row>
    <row r="460" spans="16:16">
      <c r="P460" s="2"/>
    </row>
    <row r="461" spans="16:16">
      <c r="P461" s="2"/>
    </row>
    <row r="462" spans="16:16">
      <c r="P462" s="2"/>
    </row>
    <row r="463" spans="16:16">
      <c r="P463" s="2"/>
    </row>
    <row r="464" spans="16:16">
      <c r="P464" s="2"/>
    </row>
    <row r="465" spans="16:16">
      <c r="P465" s="2"/>
    </row>
    <row r="466" spans="16:16">
      <c r="P466" s="2"/>
    </row>
    <row r="467" spans="16:16">
      <c r="P467" s="2"/>
    </row>
    <row r="468" spans="16:16">
      <c r="P468" s="2"/>
    </row>
    <row r="469" spans="16:16">
      <c r="P469" s="2"/>
    </row>
    <row r="470" spans="16:16">
      <c r="P470" s="2"/>
    </row>
    <row r="471" spans="16:16">
      <c r="P471" s="2"/>
    </row>
    <row r="472" spans="16:16">
      <c r="P472" s="2"/>
    </row>
    <row r="473" spans="16:16">
      <c r="P473" s="2"/>
    </row>
    <row r="474" spans="16:16">
      <c r="P474" s="2"/>
    </row>
    <row r="475" spans="16:16">
      <c r="P475" s="2"/>
    </row>
    <row r="476" spans="16:16">
      <c r="P476" s="2"/>
    </row>
    <row r="477" spans="16:16">
      <c r="P477" s="2"/>
    </row>
    <row r="478" spans="16:16">
      <c r="P478" s="2"/>
    </row>
    <row r="479" spans="16:16">
      <c r="P479" s="2"/>
    </row>
    <row r="480" spans="16:16">
      <c r="P480" s="2"/>
    </row>
    <row r="481" spans="16:16">
      <c r="P481" s="2"/>
    </row>
    <row r="482" spans="16:16">
      <c r="P482" s="2"/>
    </row>
    <row r="483" spans="16:16">
      <c r="P483" s="2"/>
    </row>
    <row r="484" spans="16:16">
      <c r="P484" s="2"/>
    </row>
    <row r="485" spans="16:16">
      <c r="P485" s="2"/>
    </row>
    <row r="486" spans="16:16">
      <c r="P486" s="2"/>
    </row>
    <row r="487" spans="16:16">
      <c r="P487" s="2"/>
    </row>
    <row r="488" spans="16:16">
      <c r="P488" s="2"/>
    </row>
    <row r="489" spans="16:16">
      <c r="P489" s="2"/>
    </row>
    <row r="490" spans="16:16">
      <c r="P490" s="2"/>
    </row>
    <row r="491" spans="16:16">
      <c r="P491" s="2"/>
    </row>
    <row r="492" spans="16:16">
      <c r="P492" s="2"/>
    </row>
    <row r="493" spans="16:16">
      <c r="P493" s="2"/>
    </row>
    <row r="494" spans="16:16">
      <c r="P494" s="2"/>
    </row>
    <row r="495" spans="16:16">
      <c r="P495" s="2"/>
    </row>
    <row r="496" spans="16:16">
      <c r="P496" s="2"/>
    </row>
    <row r="497" spans="16:16">
      <c r="P497" s="2"/>
    </row>
    <row r="498" spans="16:16">
      <c r="P498" s="2"/>
    </row>
    <row r="499" spans="16:16">
      <c r="P499" s="2"/>
    </row>
    <row r="500" spans="16:16">
      <c r="P500" s="2"/>
    </row>
    <row r="501" spans="16:16">
      <c r="P501" s="2"/>
    </row>
    <row r="502" spans="16:16">
      <c r="P502" s="2"/>
    </row>
    <row r="503" spans="16:16">
      <c r="P503" s="2"/>
    </row>
    <row r="504" spans="16:16">
      <c r="P504" s="2"/>
    </row>
    <row r="505" spans="16:16">
      <c r="P505" s="2"/>
    </row>
    <row r="506" spans="16:16">
      <c r="P506" s="2"/>
    </row>
    <row r="507" spans="16:16">
      <c r="P507" s="2"/>
    </row>
    <row r="508" spans="16:16">
      <c r="P508" s="2"/>
    </row>
    <row r="509" spans="16:16">
      <c r="P509" s="2"/>
    </row>
    <row r="510" spans="16:16">
      <c r="P510" s="2"/>
    </row>
    <row r="511" spans="16:16">
      <c r="P511" s="2"/>
    </row>
    <row r="512" spans="16:16">
      <c r="P512" s="2"/>
    </row>
    <row r="513" spans="16:16">
      <c r="P513" s="2"/>
    </row>
    <row r="514" spans="16:16">
      <c r="P514" s="2"/>
    </row>
    <row r="515" spans="16:16">
      <c r="P515" s="2"/>
    </row>
    <row r="516" spans="16:16">
      <c r="P516" s="2"/>
    </row>
    <row r="517" spans="16:16">
      <c r="P517" s="2"/>
    </row>
    <row r="518" spans="16:16">
      <c r="P518" s="2"/>
    </row>
    <row r="519" spans="16:16">
      <c r="P519" s="2"/>
    </row>
    <row r="520" spans="16:16">
      <c r="P520" s="2"/>
    </row>
    <row r="521" spans="16:16">
      <c r="P521" s="2"/>
    </row>
    <row r="522" spans="16:16">
      <c r="P522" s="2"/>
    </row>
    <row r="523" spans="16:16">
      <c r="P523" s="2"/>
    </row>
    <row r="524" spans="16:16">
      <c r="P524" s="2"/>
    </row>
    <row r="525" spans="16:16">
      <c r="P525" s="2"/>
    </row>
    <row r="526" spans="16:16">
      <c r="P526" s="2"/>
    </row>
    <row r="527" spans="16:16">
      <c r="P527" s="2"/>
    </row>
    <row r="528" spans="16:16">
      <c r="P528" s="2"/>
    </row>
    <row r="529" spans="16:16">
      <c r="P529" s="2"/>
    </row>
    <row r="530" spans="16:16">
      <c r="P530" s="2"/>
    </row>
    <row r="531" spans="16:16">
      <c r="P531" s="2"/>
    </row>
    <row r="532" spans="16:16">
      <c r="P532" s="2"/>
    </row>
    <row r="533" spans="16:16">
      <c r="P533" s="2"/>
    </row>
    <row r="534" spans="16:16">
      <c r="P534" s="2"/>
    </row>
    <row r="535" spans="16:16">
      <c r="P535" s="2"/>
    </row>
    <row r="536" spans="16:16">
      <c r="P536" s="2"/>
    </row>
    <row r="537" spans="16:16">
      <c r="P537" s="2"/>
    </row>
    <row r="538" spans="16:16">
      <c r="P538" s="2"/>
    </row>
    <row r="539" spans="16:16">
      <c r="P539" s="2"/>
    </row>
    <row r="540" spans="16:16">
      <c r="P540" s="2"/>
    </row>
    <row r="541" spans="16:16">
      <c r="P541" s="2"/>
    </row>
    <row r="542" spans="16:16">
      <c r="P542" s="2"/>
    </row>
    <row r="543" spans="16:16">
      <c r="P543" s="2"/>
    </row>
    <row r="544" spans="16:16">
      <c r="P544" s="2"/>
    </row>
    <row r="545" spans="16:16">
      <c r="P545" s="2"/>
    </row>
    <row r="546" spans="16:16">
      <c r="P546" s="2"/>
    </row>
    <row r="547" spans="16:16">
      <c r="P547" s="2"/>
    </row>
    <row r="548" spans="16:16">
      <c r="P548" s="2"/>
    </row>
    <row r="549" spans="16:16">
      <c r="P549" s="2"/>
    </row>
    <row r="550" spans="16:16">
      <c r="P550" s="2"/>
    </row>
    <row r="551" spans="16:16">
      <c r="P551" s="2"/>
    </row>
    <row r="552" spans="16:16">
      <c r="P552" s="2"/>
    </row>
    <row r="553" spans="16:16">
      <c r="P553" s="2"/>
    </row>
    <row r="554" spans="16:16">
      <c r="P554" s="2"/>
    </row>
    <row r="555" spans="16:16">
      <c r="P555" s="2"/>
    </row>
    <row r="556" spans="16:16">
      <c r="P556" s="2"/>
    </row>
    <row r="557" spans="16:16">
      <c r="P557" s="2"/>
    </row>
    <row r="558" spans="16:16">
      <c r="P558" s="2"/>
    </row>
    <row r="559" spans="16:16">
      <c r="P559" s="2"/>
    </row>
    <row r="560" spans="16:16">
      <c r="P560" s="2"/>
    </row>
    <row r="561" spans="16:16">
      <c r="P561" s="2"/>
    </row>
    <row r="562" spans="16:16">
      <c r="P562" s="2"/>
    </row>
    <row r="563" spans="16:16">
      <c r="P563" s="2"/>
    </row>
    <row r="564" spans="16:16">
      <c r="P564" s="2"/>
    </row>
    <row r="565" spans="16:16">
      <c r="P565" s="2"/>
    </row>
    <row r="566" spans="16:16">
      <c r="P566" s="2"/>
    </row>
    <row r="567" spans="16:16">
      <c r="P567" s="2"/>
    </row>
    <row r="568" spans="16:16">
      <c r="P568" s="2"/>
    </row>
    <row r="569" spans="16:16">
      <c r="P569" s="2"/>
    </row>
    <row r="570" spans="16:16">
      <c r="P570" s="2"/>
    </row>
    <row r="571" spans="16:16">
      <c r="P571" s="2"/>
    </row>
    <row r="572" spans="16:16">
      <c r="P572" s="2"/>
    </row>
    <row r="573" spans="16:16">
      <c r="P573" s="2"/>
    </row>
    <row r="574" spans="16:16">
      <c r="P574" s="2"/>
    </row>
    <row r="575" spans="16:16">
      <c r="P575" s="2"/>
    </row>
    <row r="576" spans="16:16">
      <c r="P576" s="2"/>
    </row>
    <row r="577" spans="16:16">
      <c r="P577" s="2"/>
    </row>
    <row r="578" spans="16:16">
      <c r="P578" s="2"/>
    </row>
    <row r="579" spans="16:16">
      <c r="P579" s="2"/>
    </row>
    <row r="580" spans="16:16">
      <c r="P580" s="2"/>
    </row>
    <row r="581" spans="16:16">
      <c r="P581" s="2"/>
    </row>
    <row r="582" spans="16:16">
      <c r="P582" s="2"/>
    </row>
    <row r="583" spans="16:16">
      <c r="P583" s="2"/>
    </row>
    <row r="584" spans="16:16">
      <c r="P584" s="2"/>
    </row>
    <row r="585" spans="16:16">
      <c r="P585" s="2"/>
    </row>
    <row r="586" spans="16:16">
      <c r="P586" s="2"/>
    </row>
    <row r="587" spans="16:16">
      <c r="P587" s="2"/>
    </row>
    <row r="588" spans="16:16">
      <c r="P588" s="2"/>
    </row>
    <row r="589" spans="16:16">
      <c r="P589" s="2"/>
    </row>
    <row r="590" spans="16:16">
      <c r="P590" s="2"/>
    </row>
    <row r="591" spans="16:16">
      <c r="P591" s="2"/>
    </row>
    <row r="592" spans="16:16">
      <c r="P592" s="2"/>
    </row>
    <row r="593" spans="16:16">
      <c r="P593" s="2"/>
    </row>
    <row r="594" spans="16:16">
      <c r="P594" s="2"/>
    </row>
    <row r="595" spans="16:16">
      <c r="P595" s="2"/>
    </row>
    <row r="596" spans="16:16">
      <c r="P596" s="2"/>
    </row>
    <row r="597" spans="16:16">
      <c r="P597" s="2"/>
    </row>
    <row r="598" spans="16:16">
      <c r="P598" s="2"/>
    </row>
    <row r="599" spans="16:16">
      <c r="P599" s="2"/>
    </row>
    <row r="600" spans="16:16">
      <c r="P600" s="2"/>
    </row>
    <row r="601" spans="16:16">
      <c r="P601" s="2"/>
    </row>
    <row r="602" spans="16:16">
      <c r="P602" s="2"/>
    </row>
    <row r="603" spans="16:16">
      <c r="P603" s="2"/>
    </row>
    <row r="604" spans="16:16">
      <c r="P604" s="2"/>
    </row>
    <row r="605" spans="16:16">
      <c r="P605" s="2"/>
    </row>
    <row r="606" spans="16:16">
      <c r="P606" s="2"/>
    </row>
    <row r="607" spans="16:16">
      <c r="P607" s="2"/>
    </row>
    <row r="608" spans="16:16">
      <c r="P608" s="2"/>
    </row>
    <row r="609" spans="16:16">
      <c r="P609" s="2"/>
    </row>
    <row r="610" spans="16:16">
      <c r="P610" s="2"/>
    </row>
    <row r="611" spans="16:16">
      <c r="P611" s="2"/>
    </row>
    <row r="612" spans="16:16">
      <c r="P612" s="2"/>
    </row>
    <row r="613" spans="16:16">
      <c r="P613" s="2"/>
    </row>
    <row r="614" spans="16:16">
      <c r="P614" s="2"/>
    </row>
    <row r="615" spans="16:16">
      <c r="P615" s="2"/>
    </row>
    <row r="616" spans="16:16">
      <c r="P616" s="2"/>
    </row>
    <row r="617" spans="16:16">
      <c r="P617" s="2"/>
    </row>
    <row r="618" spans="16:16">
      <c r="P618" s="2"/>
    </row>
    <row r="619" spans="16:16">
      <c r="P619" s="2"/>
    </row>
    <row r="620" spans="16:16">
      <c r="P620" s="2"/>
    </row>
    <row r="621" spans="16:16">
      <c r="P621" s="2"/>
    </row>
    <row r="622" spans="16:16">
      <c r="P622" s="2"/>
    </row>
    <row r="623" spans="16:16">
      <c r="P623" s="2"/>
    </row>
    <row r="624" spans="16:16">
      <c r="P624" s="2"/>
    </row>
    <row r="625" spans="16:16">
      <c r="P625" s="2"/>
    </row>
    <row r="626" spans="16:16">
      <c r="P626" s="2"/>
    </row>
    <row r="627" spans="16:16">
      <c r="P627" s="2"/>
    </row>
    <row r="628" spans="16:16">
      <c r="P628" s="2"/>
    </row>
    <row r="629" spans="16:16">
      <c r="P629" s="2"/>
    </row>
    <row r="630" spans="16:16">
      <c r="P630" s="2"/>
    </row>
    <row r="631" spans="16:16">
      <c r="P631" s="2"/>
    </row>
    <row r="632" spans="16:16">
      <c r="P632" s="2"/>
    </row>
    <row r="633" spans="16:16">
      <c r="P633" s="2"/>
    </row>
    <row r="634" spans="16:16">
      <c r="P634" s="2"/>
    </row>
    <row r="635" spans="16:16">
      <c r="P635" s="2"/>
    </row>
    <row r="636" spans="16:16">
      <c r="P636" s="2"/>
    </row>
    <row r="637" spans="16:16">
      <c r="P637" s="2"/>
    </row>
    <row r="638" spans="16:16">
      <c r="P638" s="2"/>
    </row>
    <row r="639" spans="16:16">
      <c r="P639" s="2"/>
    </row>
    <row r="640" spans="16:16">
      <c r="P640" s="2"/>
    </row>
    <row r="641" spans="16:16">
      <c r="P641" s="2"/>
    </row>
    <row r="642" spans="16:16">
      <c r="P642" s="2"/>
    </row>
    <row r="643" spans="16:16">
      <c r="P643" s="2"/>
    </row>
    <row r="644" spans="16:16">
      <c r="P644" s="2"/>
    </row>
    <row r="645" spans="16:16">
      <c r="P645" s="2"/>
    </row>
    <row r="646" spans="16:16">
      <c r="P646" s="2"/>
    </row>
    <row r="647" spans="16:16">
      <c r="P647" s="2"/>
    </row>
    <row r="648" spans="16:16">
      <c r="P648" s="2"/>
    </row>
    <row r="649" spans="16:16">
      <c r="P649" s="2"/>
    </row>
    <row r="650" spans="16:16">
      <c r="P650" s="2"/>
    </row>
    <row r="651" spans="16:16">
      <c r="P651" s="2"/>
    </row>
    <row r="652" spans="16:16">
      <c r="P652" s="2"/>
    </row>
    <row r="653" spans="16:16">
      <c r="P653" s="2"/>
    </row>
    <row r="654" spans="16:16">
      <c r="P654" s="2"/>
    </row>
    <row r="655" spans="16:16">
      <c r="P655" s="2"/>
    </row>
    <row r="656" spans="16:16">
      <c r="P656" s="2"/>
    </row>
    <row r="657" spans="16:16">
      <c r="P657" s="2"/>
    </row>
    <row r="658" spans="16:16">
      <c r="P658" s="2"/>
    </row>
    <row r="659" spans="16:16">
      <c r="P659" s="2"/>
    </row>
    <row r="660" spans="16:16">
      <c r="P660" s="2"/>
    </row>
    <row r="661" spans="16:16">
      <c r="P661" s="2"/>
    </row>
    <row r="662" spans="16:16">
      <c r="P662" s="2"/>
    </row>
    <row r="663" spans="16:16">
      <c r="P663" s="2"/>
    </row>
    <row r="664" spans="16:16">
      <c r="P664" s="2"/>
    </row>
    <row r="665" spans="16:16">
      <c r="P665" s="2"/>
    </row>
    <row r="666" spans="16:16">
      <c r="P666" s="2"/>
    </row>
    <row r="667" spans="16:16">
      <c r="P667" s="2"/>
    </row>
    <row r="668" spans="16:16">
      <c r="P668" s="2"/>
    </row>
    <row r="669" spans="16:16">
      <c r="P669" s="2"/>
    </row>
    <row r="670" spans="16:16">
      <c r="P670" s="2"/>
    </row>
    <row r="671" spans="16:16">
      <c r="P671" s="2"/>
    </row>
    <row r="672" spans="16:16">
      <c r="P672" s="2"/>
    </row>
    <row r="673" spans="16:16">
      <c r="P673" s="2"/>
    </row>
    <row r="674" spans="16:16">
      <c r="P674" s="2"/>
    </row>
    <row r="675" spans="16:16">
      <c r="P675" s="2"/>
    </row>
    <row r="676" spans="16:16">
      <c r="P676" s="2"/>
    </row>
    <row r="677" spans="16:16">
      <c r="P677" s="2"/>
    </row>
    <row r="678" spans="16:16">
      <c r="P678" s="2"/>
    </row>
    <row r="679" spans="16:16">
      <c r="P679" s="2"/>
    </row>
    <row r="680" spans="16:16">
      <c r="P680" s="2"/>
    </row>
    <row r="681" spans="16:16">
      <c r="P681" s="2"/>
    </row>
    <row r="682" spans="16:16">
      <c r="P682" s="2"/>
    </row>
    <row r="683" spans="16:16">
      <c r="P683" s="2"/>
    </row>
    <row r="684" spans="16:16">
      <c r="P684" s="2"/>
    </row>
    <row r="685" spans="16:16">
      <c r="P685" s="2"/>
    </row>
    <row r="686" spans="16:16">
      <c r="P686" s="2"/>
    </row>
    <row r="687" spans="16:16">
      <c r="P687" s="2"/>
    </row>
    <row r="688" spans="16:16">
      <c r="P688" s="2"/>
    </row>
    <row r="689" spans="16:16">
      <c r="P689" s="2"/>
    </row>
    <row r="690" spans="16:16">
      <c r="P690" s="2"/>
    </row>
    <row r="691" spans="16:16">
      <c r="P691" s="2"/>
    </row>
    <row r="692" spans="16:16">
      <c r="P692" s="2"/>
    </row>
    <row r="693" spans="16:16">
      <c r="P693" s="2"/>
    </row>
    <row r="694" spans="16:16">
      <c r="P694" s="2"/>
    </row>
    <row r="695" spans="16:16">
      <c r="P695" s="2"/>
    </row>
    <row r="696" spans="16:16">
      <c r="P696" s="2"/>
    </row>
    <row r="697" spans="16:16">
      <c r="P697" s="2"/>
    </row>
    <row r="698" spans="16:16">
      <c r="P698" s="2"/>
    </row>
    <row r="699" spans="16:16">
      <c r="P699" s="2"/>
    </row>
    <row r="700" spans="16:16">
      <c r="P700" s="2"/>
    </row>
    <row r="701" spans="16:16">
      <c r="P701" s="2"/>
    </row>
    <row r="702" spans="16:16">
      <c r="P702" s="2"/>
    </row>
    <row r="703" spans="16:16">
      <c r="P703" s="2"/>
    </row>
    <row r="704" spans="16:16">
      <c r="P704" s="2"/>
    </row>
    <row r="705" spans="16:16">
      <c r="P705" s="2"/>
    </row>
    <row r="706" spans="16:16">
      <c r="P706" s="2"/>
    </row>
    <row r="707" spans="16:16">
      <c r="P707" s="2"/>
    </row>
    <row r="708" spans="16:16">
      <c r="P708" s="2"/>
    </row>
    <row r="709" spans="16:16">
      <c r="P709" s="2"/>
    </row>
    <row r="710" spans="16:16">
      <c r="P710" s="2"/>
    </row>
    <row r="711" spans="16:16">
      <c r="P711" s="2"/>
    </row>
    <row r="712" spans="16:16">
      <c r="P712" s="2"/>
    </row>
    <row r="713" spans="16:16">
      <c r="P713" s="2"/>
    </row>
    <row r="714" spans="16:16">
      <c r="P714" s="2"/>
    </row>
    <row r="715" spans="16:16">
      <c r="P715" s="2"/>
    </row>
    <row r="716" spans="16:16">
      <c r="P716" s="2"/>
    </row>
    <row r="717" spans="16:16">
      <c r="P717" s="2"/>
    </row>
    <row r="718" spans="16:16">
      <c r="P718" s="2"/>
    </row>
    <row r="719" spans="16:16">
      <c r="P719" s="2"/>
    </row>
    <row r="720" spans="16:16">
      <c r="P720" s="2"/>
    </row>
    <row r="721" spans="16:16">
      <c r="P721" s="2"/>
    </row>
    <row r="722" spans="16:16">
      <c r="P722" s="2"/>
    </row>
    <row r="723" spans="16:16">
      <c r="P723" s="2"/>
    </row>
    <row r="724" spans="16:16">
      <c r="P724" s="2"/>
    </row>
    <row r="725" spans="16:16">
      <c r="P725" s="2"/>
    </row>
    <row r="726" spans="16:16">
      <c r="P726" s="2"/>
    </row>
    <row r="727" spans="16:16">
      <c r="P727" s="2"/>
    </row>
    <row r="728" spans="16:16">
      <c r="P728" s="2"/>
    </row>
    <row r="729" spans="16:16">
      <c r="P729" s="2"/>
    </row>
    <row r="730" spans="16:16">
      <c r="P730" s="2"/>
    </row>
    <row r="731" spans="16:16">
      <c r="P731" s="2"/>
    </row>
    <row r="732" spans="16:16">
      <c r="P732" s="2"/>
    </row>
    <row r="733" spans="16:16">
      <c r="P733" s="2"/>
    </row>
    <row r="734" spans="16:16">
      <c r="P734" s="2"/>
    </row>
    <row r="735" spans="16:16">
      <c r="P735" s="2"/>
    </row>
    <row r="736" spans="16:16">
      <c r="P736" s="2"/>
    </row>
    <row r="737" spans="16:16">
      <c r="P737" s="2"/>
    </row>
    <row r="738" spans="16:16">
      <c r="P738" s="2"/>
    </row>
    <row r="739" spans="16:16">
      <c r="P739" s="2"/>
    </row>
    <row r="740" spans="16:16">
      <c r="P740" s="2"/>
    </row>
    <row r="741" spans="16:16">
      <c r="P741" s="2"/>
    </row>
    <row r="742" spans="16:16">
      <c r="P742" s="2"/>
    </row>
    <row r="743" spans="16:16">
      <c r="P743" s="2"/>
    </row>
    <row r="744" spans="16:16">
      <c r="P744" s="2"/>
    </row>
    <row r="745" spans="16:16">
      <c r="P745" s="2"/>
    </row>
    <row r="746" spans="16:16">
      <c r="P746" s="2"/>
    </row>
    <row r="747" spans="16:16">
      <c r="P747" s="2"/>
    </row>
    <row r="748" spans="16:16">
      <c r="P748" s="2"/>
    </row>
    <row r="749" spans="16:16">
      <c r="P749" s="2"/>
    </row>
    <row r="750" spans="16:16">
      <c r="P750" s="2"/>
    </row>
    <row r="751" spans="16:16">
      <c r="P751" s="2"/>
    </row>
    <row r="752" spans="16:16">
      <c r="P752" s="2"/>
    </row>
    <row r="753" spans="16:16">
      <c r="P753" s="2"/>
    </row>
    <row r="754" spans="16:16">
      <c r="P754" s="2"/>
    </row>
    <row r="755" spans="16:16">
      <c r="P755" s="2"/>
    </row>
    <row r="756" spans="16:16">
      <c r="P756" s="2"/>
    </row>
    <row r="757" spans="16:16">
      <c r="P757" s="2"/>
    </row>
    <row r="758" spans="16:16">
      <c r="P758" s="2"/>
    </row>
    <row r="759" spans="16:16">
      <c r="P759" s="2"/>
    </row>
    <row r="760" spans="16:16">
      <c r="P760" s="2"/>
    </row>
    <row r="761" spans="16:16">
      <c r="P761" s="2"/>
    </row>
    <row r="762" spans="16:16">
      <c r="P762" s="2"/>
    </row>
    <row r="763" spans="16:16">
      <c r="P763" s="2"/>
    </row>
    <row r="764" spans="16:16">
      <c r="P764" s="2"/>
    </row>
    <row r="765" spans="16:16">
      <c r="P765" s="2"/>
    </row>
    <row r="766" spans="16:16">
      <c r="P766" s="2"/>
    </row>
    <row r="767" spans="16:16">
      <c r="P767" s="2"/>
    </row>
    <row r="768" spans="16:16">
      <c r="P768" s="2"/>
    </row>
    <row r="769" spans="16:16">
      <c r="P769" s="2"/>
    </row>
    <row r="770" spans="16:16">
      <c r="P770" s="2"/>
    </row>
    <row r="771" spans="16:16">
      <c r="P771" s="2"/>
    </row>
    <row r="772" spans="16:16">
      <c r="P772" s="2"/>
    </row>
    <row r="773" spans="16:16">
      <c r="P773" s="2"/>
    </row>
    <row r="774" spans="16:16">
      <c r="P774" s="2"/>
    </row>
    <row r="775" spans="16:16">
      <c r="P775" s="2"/>
    </row>
    <row r="776" spans="16:16">
      <c r="P776" s="2"/>
    </row>
    <row r="777" spans="16:16">
      <c r="P777" s="2"/>
    </row>
    <row r="778" spans="16:16">
      <c r="P778" s="2"/>
    </row>
    <row r="779" spans="16:16">
      <c r="P779" s="2"/>
    </row>
    <row r="780" spans="16:16">
      <c r="P780" s="2"/>
    </row>
    <row r="781" spans="16:16">
      <c r="P781" s="2"/>
    </row>
    <row r="782" spans="16:16">
      <c r="P782" s="2"/>
    </row>
    <row r="783" spans="16:16">
      <c r="P783" s="2"/>
    </row>
    <row r="784" spans="16:16">
      <c r="P784" s="2"/>
    </row>
    <row r="785" spans="16:16">
      <c r="P785" s="2"/>
    </row>
    <row r="786" spans="16:16">
      <c r="P786" s="2"/>
    </row>
    <row r="787" spans="16:16">
      <c r="P787" s="2"/>
    </row>
    <row r="788" spans="16:16">
      <c r="P788" s="2"/>
    </row>
    <row r="789" spans="16:16">
      <c r="P789" s="2"/>
    </row>
    <row r="790" spans="16:16">
      <c r="P790" s="2"/>
    </row>
    <row r="791" spans="16:16">
      <c r="P791" s="2"/>
    </row>
    <row r="792" spans="16:16">
      <c r="P792" s="2"/>
    </row>
    <row r="793" spans="16:16">
      <c r="P793" s="2"/>
    </row>
    <row r="794" spans="16:16">
      <c r="P794" s="2"/>
    </row>
    <row r="795" spans="16:16">
      <c r="P795" s="2"/>
    </row>
    <row r="796" spans="16:16">
      <c r="P796" s="2"/>
    </row>
    <row r="797" spans="16:16">
      <c r="P797" s="2"/>
    </row>
    <row r="798" spans="16:16">
      <c r="P798" s="2"/>
    </row>
    <row r="799" spans="16:16">
      <c r="P799" s="2"/>
    </row>
    <row r="800" spans="16:16">
      <c r="P800" s="2"/>
    </row>
    <row r="801" spans="16:16">
      <c r="P801" s="2"/>
    </row>
    <row r="802" spans="16:16">
      <c r="P802" s="2"/>
    </row>
    <row r="803" spans="16:16">
      <c r="P803" s="2"/>
    </row>
    <row r="804" spans="16:16">
      <c r="P804" s="2"/>
    </row>
    <row r="805" spans="16:16">
      <c r="P805" s="2"/>
    </row>
    <row r="806" spans="16:16">
      <c r="P806" s="2"/>
    </row>
    <row r="807" spans="16:16">
      <c r="P807" s="2"/>
    </row>
    <row r="808" spans="16:16">
      <c r="P808" s="2"/>
    </row>
    <row r="809" spans="16:16">
      <c r="P809" s="2"/>
    </row>
    <row r="810" spans="16:16">
      <c r="P810" s="2"/>
    </row>
    <row r="811" spans="16:16">
      <c r="P811" s="2"/>
    </row>
    <row r="812" spans="16:16">
      <c r="P812" s="2"/>
    </row>
    <row r="813" spans="16:16">
      <c r="P813" s="2"/>
    </row>
    <row r="814" spans="16:16">
      <c r="P814" s="2"/>
    </row>
    <row r="815" spans="16:16">
      <c r="P815" s="2"/>
    </row>
    <row r="816" spans="16:16">
      <c r="P816" s="2"/>
    </row>
    <row r="817" spans="16:16">
      <c r="P817" s="2"/>
    </row>
    <row r="818" spans="16:16">
      <c r="P818" s="2"/>
    </row>
    <row r="819" spans="16:16">
      <c r="P819" s="2"/>
    </row>
    <row r="820" spans="16:16">
      <c r="P820" s="2"/>
    </row>
    <row r="821" spans="16:16">
      <c r="P821" s="2"/>
    </row>
    <row r="822" spans="16:16">
      <c r="P822" s="2"/>
    </row>
    <row r="823" spans="16:16">
      <c r="P823" s="2"/>
    </row>
    <row r="824" spans="16:16">
      <c r="P824" s="2"/>
    </row>
    <row r="825" spans="16:16">
      <c r="P825" s="2"/>
    </row>
    <row r="826" spans="16:16">
      <c r="P826" s="2"/>
    </row>
    <row r="827" spans="16:16">
      <c r="P827" s="2"/>
    </row>
    <row r="828" spans="16:16">
      <c r="P828" s="2"/>
    </row>
    <row r="829" spans="16:16">
      <c r="P829" s="2"/>
    </row>
    <row r="830" spans="16:16">
      <c r="P830" s="2"/>
    </row>
    <row r="831" spans="16:16">
      <c r="P831" s="2"/>
    </row>
    <row r="832" spans="16:16">
      <c r="P832" s="2"/>
    </row>
    <row r="833" spans="16:16">
      <c r="P833" s="2"/>
    </row>
    <row r="834" spans="16:16">
      <c r="P834" s="2"/>
    </row>
    <row r="835" spans="16:16">
      <c r="P835" s="2"/>
    </row>
    <row r="836" spans="16:16">
      <c r="P836" s="2"/>
    </row>
    <row r="837" spans="16:16">
      <c r="P837" s="2"/>
    </row>
    <row r="838" spans="16:16">
      <c r="P838" s="2"/>
    </row>
    <row r="839" spans="16:16">
      <c r="P839" s="2"/>
    </row>
    <row r="840" spans="16:16">
      <c r="P840" s="2"/>
    </row>
    <row r="841" spans="16:16">
      <c r="P841" s="2"/>
    </row>
    <row r="842" spans="16:16">
      <c r="P842" s="2"/>
    </row>
    <row r="843" spans="16:16">
      <c r="P843" s="2"/>
    </row>
    <row r="844" spans="16:16">
      <c r="P844" s="2"/>
    </row>
    <row r="845" spans="16:16">
      <c r="P845" s="2"/>
    </row>
    <row r="846" spans="16:16">
      <c r="P846" s="2"/>
    </row>
    <row r="847" spans="16:16">
      <c r="P847" s="2"/>
    </row>
    <row r="848" spans="16:16">
      <c r="P848" s="2"/>
    </row>
    <row r="849" spans="16:16">
      <c r="P849" s="2"/>
    </row>
    <row r="850" spans="16:16">
      <c r="P850" s="2"/>
    </row>
    <row r="851" spans="16:16">
      <c r="P851" s="2"/>
    </row>
    <row r="852" spans="16:16">
      <c r="P852" s="2"/>
    </row>
    <row r="853" spans="16:16">
      <c r="P853" s="2"/>
    </row>
    <row r="854" spans="16:16">
      <c r="P854" s="2"/>
    </row>
    <row r="855" spans="16:16">
      <c r="P855" s="2"/>
    </row>
    <row r="856" spans="16:16">
      <c r="P856" s="2"/>
    </row>
    <row r="857" spans="16:16">
      <c r="P857" s="2"/>
    </row>
    <row r="858" spans="16:16">
      <c r="P858" s="2"/>
    </row>
    <row r="859" spans="16:16">
      <c r="P859" s="2"/>
    </row>
    <row r="860" spans="16:16">
      <c r="P860" s="2"/>
    </row>
    <row r="861" spans="16:16">
      <c r="P861" s="2"/>
    </row>
    <row r="862" spans="16:16">
      <c r="P862" s="2"/>
    </row>
    <row r="863" spans="16:16">
      <c r="P863" s="2"/>
    </row>
    <row r="864" spans="16:16">
      <c r="P864" s="2"/>
    </row>
    <row r="865" spans="16:16">
      <c r="P865" s="2"/>
    </row>
    <row r="866" spans="16:16">
      <c r="P866" s="2"/>
    </row>
    <row r="867" spans="16:16">
      <c r="P867" s="2"/>
    </row>
    <row r="868" spans="16:16">
      <c r="P868" s="2"/>
    </row>
    <row r="869" spans="16:16">
      <c r="P869" s="2"/>
    </row>
    <row r="870" spans="16:16">
      <c r="P870" s="2"/>
    </row>
    <row r="871" spans="16:16">
      <c r="P871" s="2"/>
    </row>
    <row r="872" spans="16:16">
      <c r="P872" s="2"/>
    </row>
    <row r="873" spans="16:16">
      <c r="P873" s="2"/>
    </row>
    <row r="874" spans="16:16">
      <c r="P874" s="2"/>
    </row>
    <row r="875" spans="16:16">
      <c r="P875" s="2"/>
    </row>
    <row r="876" spans="16:16">
      <c r="P876" s="2"/>
    </row>
    <row r="877" spans="16:16">
      <c r="P877" s="2"/>
    </row>
    <row r="878" spans="16:16">
      <c r="P878" s="2"/>
    </row>
    <row r="879" spans="16:16">
      <c r="P879" s="2"/>
    </row>
    <row r="880" spans="16:16">
      <c r="P880" s="2"/>
    </row>
    <row r="881" spans="16:16">
      <c r="P881" s="2"/>
    </row>
    <row r="882" spans="16:16">
      <c r="P882" s="2"/>
    </row>
    <row r="883" spans="16:16">
      <c r="P883" s="2"/>
    </row>
    <row r="884" spans="16:16">
      <c r="P884" s="2"/>
    </row>
    <row r="885" spans="16:16">
      <c r="P885" s="2"/>
    </row>
    <row r="886" spans="16:16">
      <c r="P886" s="2"/>
    </row>
    <row r="887" spans="16:16">
      <c r="P887" s="2"/>
    </row>
    <row r="888" spans="16:16">
      <c r="P888" s="2"/>
    </row>
    <row r="889" spans="16:16">
      <c r="P889" s="2"/>
    </row>
    <row r="890" spans="16:16">
      <c r="P890" s="2"/>
    </row>
    <row r="891" spans="16:16">
      <c r="P891" s="2"/>
    </row>
    <row r="892" spans="16:16">
      <c r="P892" s="2"/>
    </row>
    <row r="893" spans="16:16">
      <c r="P893" s="2"/>
    </row>
    <row r="894" spans="16:16">
      <c r="P894" s="2"/>
    </row>
    <row r="895" spans="16:16">
      <c r="P895" s="2"/>
    </row>
    <row r="896" spans="16:16">
      <c r="P896" s="2"/>
    </row>
    <row r="897" spans="16:16">
      <c r="P897" s="2"/>
    </row>
    <row r="898" spans="16:16">
      <c r="P898" s="2"/>
    </row>
    <row r="899" spans="16:16">
      <c r="P899" s="2"/>
    </row>
    <row r="900" spans="16:16">
      <c r="P900" s="2"/>
    </row>
    <row r="901" spans="16:16">
      <c r="P901" s="2"/>
    </row>
    <row r="902" spans="16:16">
      <c r="P902" s="2"/>
    </row>
    <row r="903" spans="16:16">
      <c r="P903" s="2"/>
    </row>
    <row r="904" spans="16:16">
      <c r="P904" s="2"/>
    </row>
    <row r="905" spans="16:16">
      <c r="P905" s="2"/>
    </row>
    <row r="906" spans="16:16">
      <c r="P906" s="2"/>
    </row>
    <row r="907" spans="16:16">
      <c r="P907" s="2"/>
    </row>
    <row r="908" spans="16:16">
      <c r="P908" s="2"/>
    </row>
    <row r="909" spans="16:16">
      <c r="P909" s="2"/>
    </row>
    <row r="910" spans="16:16">
      <c r="P910" s="2"/>
    </row>
    <row r="911" spans="16:16">
      <c r="P911" s="2"/>
    </row>
    <row r="912" spans="16:16">
      <c r="P912" s="2"/>
    </row>
    <row r="913" spans="16:16">
      <c r="P913" s="2"/>
    </row>
    <row r="914" spans="16:16">
      <c r="P914" s="2"/>
    </row>
    <row r="915" spans="16:16">
      <c r="P915" s="2"/>
    </row>
    <row r="916" spans="16:16">
      <c r="P916" s="2"/>
    </row>
    <row r="917" spans="16:16">
      <c r="P917" s="2"/>
    </row>
    <row r="918" spans="16:16">
      <c r="P918" s="2"/>
    </row>
    <row r="919" spans="16:16">
      <c r="P919" s="2"/>
    </row>
    <row r="920" spans="16:16">
      <c r="P920" s="2"/>
    </row>
    <row r="921" spans="16:16">
      <c r="P921" s="2"/>
    </row>
    <row r="922" spans="16:16">
      <c r="P922" s="2"/>
    </row>
    <row r="923" spans="16:16">
      <c r="P923" s="2"/>
    </row>
    <row r="924" spans="16:16">
      <c r="P924" s="2"/>
    </row>
    <row r="925" spans="16:16">
      <c r="P925" s="2"/>
    </row>
    <row r="926" spans="16:16">
      <c r="P926" s="2"/>
    </row>
    <row r="927" spans="16:16">
      <c r="P927" s="2"/>
    </row>
    <row r="928" spans="16:16">
      <c r="P928" s="2"/>
    </row>
    <row r="929" spans="16:16">
      <c r="P929" s="2"/>
    </row>
    <row r="930" spans="16:16">
      <c r="P930" s="2"/>
    </row>
    <row r="931" spans="16:16">
      <c r="P931" s="2"/>
    </row>
    <row r="932" spans="16:16">
      <c r="P932" s="2"/>
    </row>
    <row r="933" spans="16:16">
      <c r="P933" s="2"/>
    </row>
    <row r="934" spans="16:16">
      <c r="P934" s="2"/>
    </row>
    <row r="935" spans="16:16">
      <c r="P935" s="2"/>
    </row>
    <row r="936" spans="16:16">
      <c r="P936" s="2"/>
    </row>
    <row r="937" spans="16:16">
      <c r="P937" s="2"/>
    </row>
    <row r="938" spans="16:16">
      <c r="P938" s="2"/>
    </row>
    <row r="939" spans="16:16">
      <c r="P939" s="2"/>
    </row>
    <row r="940" spans="16:16">
      <c r="P940" s="2"/>
    </row>
    <row r="941" spans="16:16">
      <c r="P941" s="2"/>
    </row>
    <row r="942" spans="16:16">
      <c r="P942" s="2"/>
    </row>
    <row r="943" spans="16:16">
      <c r="P943" s="2"/>
    </row>
    <row r="944" spans="16:16">
      <c r="P944" s="2"/>
    </row>
    <row r="945" spans="16:16">
      <c r="P945" s="2"/>
    </row>
    <row r="946" spans="16:16">
      <c r="P946" s="2"/>
    </row>
    <row r="947" spans="16:16">
      <c r="P947" s="2"/>
    </row>
    <row r="948" spans="16:16">
      <c r="P948" s="2"/>
    </row>
    <row r="949" spans="16:16">
      <c r="P949" s="2"/>
    </row>
    <row r="950" spans="16:16">
      <c r="P950" s="2"/>
    </row>
    <row r="951" spans="16:16">
      <c r="P951" s="2"/>
    </row>
    <row r="952" spans="16:16">
      <c r="P952" s="2"/>
    </row>
    <row r="953" spans="16:16">
      <c r="P953" s="2"/>
    </row>
    <row r="954" spans="16:16">
      <c r="P954" s="2"/>
    </row>
    <row r="955" spans="16:16">
      <c r="P955" s="2"/>
    </row>
    <row r="956" spans="16:16">
      <c r="P956" s="2"/>
    </row>
    <row r="957" spans="16:16">
      <c r="P957" s="2"/>
    </row>
    <row r="958" spans="16:16">
      <c r="P958" s="2"/>
    </row>
    <row r="959" spans="16:16">
      <c r="P959" s="2"/>
    </row>
    <row r="960" spans="16:16">
      <c r="P960" s="2"/>
    </row>
    <row r="961" spans="16:16">
      <c r="P961" s="2"/>
    </row>
    <row r="962" spans="16:16">
      <c r="P962" s="2"/>
    </row>
    <row r="963" spans="16:16">
      <c r="P963" s="2"/>
    </row>
    <row r="964" spans="16:16">
      <c r="P964" s="2"/>
    </row>
    <row r="965" spans="16:16">
      <c r="P965" s="2"/>
    </row>
    <row r="966" spans="16:16">
      <c r="P966" s="2"/>
    </row>
    <row r="967" spans="16:16">
      <c r="P967" s="2"/>
    </row>
    <row r="968" spans="16:16">
      <c r="P968" s="2"/>
    </row>
    <row r="969" spans="16:16">
      <c r="P969" s="2"/>
    </row>
    <row r="970" spans="16:16">
      <c r="P970" s="2"/>
    </row>
    <row r="971" spans="16:16">
      <c r="P971" s="2"/>
    </row>
    <row r="972" spans="16:16">
      <c r="P972" s="2"/>
    </row>
    <row r="973" spans="16:16">
      <c r="P973" s="2"/>
    </row>
    <row r="974" spans="16:16">
      <c r="P974" s="2"/>
    </row>
    <row r="975" spans="16:16">
      <c r="P975" s="2"/>
    </row>
    <row r="976" spans="16:16">
      <c r="P976" s="2"/>
    </row>
    <row r="977" spans="16:16">
      <c r="P977" s="2"/>
    </row>
    <row r="978" spans="16:16">
      <c r="P978" s="2"/>
    </row>
    <row r="979" spans="16:16">
      <c r="P979" s="2"/>
    </row>
    <row r="980" spans="16:16">
      <c r="P980" s="2"/>
    </row>
    <row r="981" spans="16:16">
      <c r="P981" s="2"/>
    </row>
    <row r="982" spans="16:16">
      <c r="P982" s="2"/>
    </row>
    <row r="983" spans="16:16">
      <c r="P983" s="2"/>
    </row>
    <row r="984" spans="16:16">
      <c r="P984" s="2"/>
    </row>
    <row r="985" spans="16:16">
      <c r="P985" s="2"/>
    </row>
    <row r="986" spans="16:16">
      <c r="P986" s="2"/>
    </row>
    <row r="987" spans="16:16">
      <c r="P987" s="2"/>
    </row>
    <row r="988" spans="16:16">
      <c r="P988" s="2"/>
    </row>
    <row r="989" spans="16:16">
      <c r="P989" s="2"/>
    </row>
    <row r="990" spans="16:16">
      <c r="P990" s="2"/>
    </row>
    <row r="991" spans="16:16">
      <c r="P991" s="2"/>
    </row>
    <row r="992" spans="16:16">
      <c r="P992" s="2"/>
    </row>
    <row r="993" spans="16:16">
      <c r="P993" s="2"/>
    </row>
    <row r="994" spans="16:16">
      <c r="P994" s="2"/>
    </row>
    <row r="995" spans="16:16">
      <c r="P995" s="2"/>
    </row>
    <row r="996" spans="16:16">
      <c r="P996" s="2"/>
    </row>
    <row r="997" spans="16:16">
      <c r="P997" s="2"/>
    </row>
    <row r="998" spans="16:16">
      <c r="P998" s="2"/>
    </row>
    <row r="999" spans="16:16">
      <c r="P999" s="2"/>
    </row>
    <row r="1000" spans="16:16">
      <c r="P1000" s="2"/>
    </row>
    <row r="1001" spans="16:16">
      <c r="P1001" s="2"/>
    </row>
    <row r="1002" spans="16:16">
      <c r="P1002" s="2"/>
    </row>
    <row r="1003" spans="16:16">
      <c r="P1003" s="2"/>
    </row>
    <row r="1004" spans="16:16">
      <c r="P1004" s="2"/>
    </row>
    <row r="1005" spans="16:16">
      <c r="P1005" s="2"/>
    </row>
    <row r="1006" spans="16:16">
      <c r="P1006" s="2"/>
    </row>
    <row r="1007" spans="16:16">
      <c r="P1007" s="2"/>
    </row>
    <row r="1008" spans="16:16">
      <c r="P1008" s="2"/>
    </row>
    <row r="1009" spans="16:16">
      <c r="P1009" s="2"/>
    </row>
    <row r="1010" spans="16:16">
      <c r="P1010" s="2"/>
    </row>
    <row r="1011" spans="16:16">
      <c r="P1011" s="2"/>
    </row>
    <row r="1012" spans="16:16">
      <c r="P1012" s="2"/>
    </row>
    <row r="1013" spans="16:16">
      <c r="P1013" s="2"/>
    </row>
    <row r="1014" spans="16:16">
      <c r="P1014" s="2"/>
    </row>
    <row r="1015" spans="16:16">
      <c r="P1015" s="2"/>
    </row>
    <row r="1016" spans="16:16">
      <c r="P1016" s="2"/>
    </row>
    <row r="1017" spans="16:16">
      <c r="P1017" s="2"/>
    </row>
    <row r="1018" spans="16:16">
      <c r="P1018" s="2"/>
    </row>
    <row r="1019" spans="16:16">
      <c r="P1019" s="2"/>
    </row>
    <row r="1020" spans="16:16">
      <c r="P1020" s="2"/>
    </row>
    <row r="1021" spans="16:16">
      <c r="P1021" s="2"/>
    </row>
    <row r="1022" spans="16:16">
      <c r="P1022" s="2"/>
    </row>
    <row r="1023" spans="16:16">
      <c r="P1023" s="2"/>
    </row>
    <row r="1024" spans="16:16">
      <c r="P1024" s="2"/>
    </row>
    <row r="1025" spans="16:16">
      <c r="P1025" s="2"/>
    </row>
    <row r="1026" spans="16:16">
      <c r="P1026" s="2"/>
    </row>
    <row r="1027" spans="16:16">
      <c r="P1027" s="2"/>
    </row>
    <row r="1028" spans="16:16">
      <c r="P1028" s="2"/>
    </row>
    <row r="1029" spans="16:16">
      <c r="P1029" s="2"/>
    </row>
    <row r="1030" spans="16:16">
      <c r="P1030" s="2"/>
    </row>
    <row r="1031" spans="16:16">
      <c r="P1031" s="2"/>
    </row>
    <row r="1032" spans="16:16">
      <c r="P1032" s="2"/>
    </row>
    <row r="1033" spans="16:16">
      <c r="P1033" s="2"/>
    </row>
    <row r="1034" spans="16:16">
      <c r="P1034" s="2"/>
    </row>
    <row r="1035" spans="16:16">
      <c r="P1035" s="2"/>
    </row>
    <row r="1036" spans="16:16">
      <c r="P1036" s="2"/>
    </row>
    <row r="1037" spans="16:16">
      <c r="P1037" s="2"/>
    </row>
    <row r="1038" spans="16:16">
      <c r="P1038" s="2"/>
    </row>
    <row r="1039" spans="16:16">
      <c r="P1039" s="2"/>
    </row>
    <row r="1040" spans="16:16">
      <c r="P1040" s="2"/>
    </row>
    <row r="1041" spans="16:16">
      <c r="P1041" s="2"/>
    </row>
    <row r="1042" spans="16:16">
      <c r="P1042" s="2"/>
    </row>
    <row r="1043" spans="16:16">
      <c r="P1043" s="2"/>
    </row>
    <row r="1044" spans="16:16">
      <c r="P1044" s="2"/>
    </row>
    <row r="1045" spans="16:16">
      <c r="P1045" s="2"/>
    </row>
    <row r="1046" spans="16:16">
      <c r="P1046" s="2"/>
    </row>
    <row r="1047" spans="16:16">
      <c r="P1047" s="2"/>
    </row>
    <row r="1048" spans="16:16">
      <c r="P1048" s="2"/>
    </row>
    <row r="1049" spans="16:16">
      <c r="P1049" s="2"/>
    </row>
    <row r="1050" spans="16:16">
      <c r="P1050" s="2"/>
    </row>
    <row r="1051" spans="16:16">
      <c r="P1051" s="2"/>
    </row>
    <row r="1052" spans="16:16">
      <c r="P1052" s="2"/>
    </row>
    <row r="1053" spans="16:16">
      <c r="P1053" s="2"/>
    </row>
    <row r="1054" spans="16:16">
      <c r="P1054" s="2"/>
    </row>
    <row r="1055" spans="16:16">
      <c r="P1055" s="2"/>
    </row>
    <row r="1056" spans="16:16">
      <c r="P1056" s="2"/>
    </row>
    <row r="1057" spans="16:16">
      <c r="P1057" s="2"/>
    </row>
    <row r="1058" spans="16:16">
      <c r="P1058" s="2"/>
    </row>
    <row r="1059" spans="16:16">
      <c r="P1059" s="2"/>
    </row>
    <row r="1060" spans="16:16">
      <c r="P1060" s="2"/>
    </row>
    <row r="1061" spans="16:16">
      <c r="P1061" s="2"/>
    </row>
    <row r="1062" spans="16:16">
      <c r="P1062" s="2"/>
    </row>
    <row r="1063" spans="16:16">
      <c r="P1063" s="2"/>
    </row>
    <row r="1064" spans="16:16">
      <c r="P1064" s="2"/>
    </row>
    <row r="1065" spans="16:16">
      <c r="P1065" s="2"/>
    </row>
    <row r="1066" spans="16:16">
      <c r="P1066" s="2"/>
    </row>
    <row r="1067" spans="16:16">
      <c r="P1067" s="2"/>
    </row>
    <row r="1068" spans="16:16">
      <c r="P1068" s="2"/>
    </row>
    <row r="1069" spans="16:16">
      <c r="P1069" s="2"/>
    </row>
    <row r="1070" spans="16:16">
      <c r="P1070" s="2"/>
    </row>
    <row r="1071" spans="16:16">
      <c r="P1071" s="2"/>
    </row>
    <row r="1072" spans="16:16">
      <c r="P1072" s="2"/>
    </row>
    <row r="1073" spans="16:16">
      <c r="P1073" s="2"/>
    </row>
    <row r="1074" spans="16:16">
      <c r="P1074" s="2"/>
    </row>
    <row r="1075" spans="16:16">
      <c r="P1075" s="2"/>
    </row>
    <row r="1076" spans="16:16">
      <c r="P1076" s="2"/>
    </row>
    <row r="1077" spans="16:16">
      <c r="P1077" s="2"/>
    </row>
    <row r="1078" spans="16:16">
      <c r="P1078" s="2"/>
    </row>
    <row r="1079" spans="16:16">
      <c r="P1079" s="2"/>
    </row>
    <row r="1080" spans="16:16">
      <c r="P1080" s="2"/>
    </row>
    <row r="1081" spans="16:16">
      <c r="P1081" s="2"/>
    </row>
    <row r="1082" spans="16:16">
      <c r="P1082" s="2"/>
    </row>
    <row r="1083" spans="16:16">
      <c r="P1083" s="2"/>
    </row>
    <row r="1084" spans="16:16">
      <c r="P1084" s="2"/>
    </row>
    <row r="1085" spans="16:16">
      <c r="P1085" s="2"/>
    </row>
    <row r="1086" spans="16:16">
      <c r="P1086" s="2"/>
    </row>
    <row r="1087" spans="16:16">
      <c r="P1087" s="2"/>
    </row>
    <row r="1088" spans="16:16">
      <c r="P1088" s="2"/>
    </row>
    <row r="1089" spans="16:16">
      <c r="P1089" s="2"/>
    </row>
    <row r="1090" spans="16:16">
      <c r="P1090" s="2"/>
    </row>
    <row r="1091" spans="16:16">
      <c r="P1091" s="2"/>
    </row>
    <row r="1092" spans="16:16">
      <c r="P1092" s="2"/>
    </row>
    <row r="1093" spans="16:16">
      <c r="P1093" s="2"/>
    </row>
    <row r="1094" spans="16:16">
      <c r="P1094" s="2"/>
    </row>
    <row r="1095" spans="16:16">
      <c r="P1095" s="2"/>
    </row>
    <row r="1096" spans="16:16">
      <c r="P1096" s="2"/>
    </row>
    <row r="1097" spans="16:16">
      <c r="P1097" s="2"/>
    </row>
    <row r="1098" spans="16:16">
      <c r="P1098" s="2"/>
    </row>
    <row r="1099" spans="16:16">
      <c r="P1099" s="2"/>
    </row>
    <row r="1100" spans="16:16">
      <c r="P1100" s="2"/>
    </row>
    <row r="1101" spans="16:16">
      <c r="P1101" s="2"/>
    </row>
    <row r="1102" spans="16:16">
      <c r="P1102" s="2"/>
    </row>
    <row r="1103" spans="16:16">
      <c r="P1103" s="2"/>
    </row>
    <row r="1104" spans="16:16">
      <c r="P1104" s="2"/>
    </row>
    <row r="1105" spans="16:16">
      <c r="P1105" s="2"/>
    </row>
    <row r="1106" spans="16:16">
      <c r="P1106" s="2"/>
    </row>
    <row r="1107" spans="16:16">
      <c r="P1107" s="2"/>
    </row>
    <row r="1108" spans="16:16">
      <c r="P1108" s="2"/>
    </row>
    <row r="1109" spans="16:16">
      <c r="P1109" s="2"/>
    </row>
    <row r="1110" spans="16:16">
      <c r="P1110" s="2"/>
    </row>
    <row r="1111" spans="16:16">
      <c r="P1111" s="2"/>
    </row>
    <row r="1112" spans="16:16">
      <c r="P1112" s="2"/>
    </row>
    <row r="1113" spans="16:16">
      <c r="P1113" s="2"/>
    </row>
    <row r="1114" spans="16:16">
      <c r="P1114" s="2"/>
    </row>
    <row r="1115" spans="16:16">
      <c r="P1115" s="2"/>
    </row>
    <row r="1116" spans="16:16">
      <c r="P1116" s="2"/>
    </row>
    <row r="1117" spans="16:16">
      <c r="P1117" s="2"/>
    </row>
    <row r="1118" spans="16:16">
      <c r="P1118" s="2"/>
    </row>
    <row r="1119" spans="16:16">
      <c r="P1119" s="2"/>
    </row>
    <row r="1120" spans="16:16">
      <c r="P1120" s="2"/>
    </row>
    <row r="1121" spans="16:16">
      <c r="P1121" s="2"/>
    </row>
    <row r="1122" spans="16:16">
      <c r="P1122" s="2"/>
    </row>
    <row r="1123" spans="16:16">
      <c r="P1123" s="2"/>
    </row>
    <row r="1124" spans="16:16">
      <c r="P1124" s="2"/>
    </row>
    <row r="1125" spans="16:16">
      <c r="P1125" s="2"/>
    </row>
    <row r="1126" spans="16:16">
      <c r="P1126" s="2"/>
    </row>
    <row r="1127" spans="16:16">
      <c r="P1127" s="2"/>
    </row>
    <row r="1128" spans="16:16">
      <c r="P1128" s="2"/>
    </row>
    <row r="1129" spans="16:16">
      <c r="P1129" s="2"/>
    </row>
    <row r="1130" spans="16:16">
      <c r="P1130" s="2"/>
    </row>
    <row r="1131" spans="16:16">
      <c r="P1131" s="2"/>
    </row>
    <row r="1132" spans="16:16">
      <c r="P1132" s="2"/>
    </row>
    <row r="1133" spans="16:16">
      <c r="P1133" s="2"/>
    </row>
    <row r="1134" spans="16:16">
      <c r="P1134" s="2"/>
    </row>
    <row r="1135" spans="16:16">
      <c r="P1135" s="2"/>
    </row>
    <row r="1136" spans="16:16">
      <c r="P1136" s="2"/>
    </row>
    <row r="1137" spans="16:16">
      <c r="P1137" s="2"/>
    </row>
    <row r="1138" spans="16:16">
      <c r="P1138" s="2"/>
    </row>
    <row r="1139" spans="16:16">
      <c r="P1139" s="2"/>
    </row>
    <row r="1140" spans="16:16">
      <c r="P1140" s="2"/>
    </row>
    <row r="1141" spans="16:16">
      <c r="P1141" s="2"/>
    </row>
    <row r="1142" spans="16:16">
      <c r="P1142" s="2"/>
    </row>
    <row r="1143" spans="16:16">
      <c r="P1143" s="2"/>
    </row>
    <row r="1144" spans="16:16">
      <c r="P1144" s="2"/>
    </row>
    <row r="1145" spans="16:16">
      <c r="P1145" s="2"/>
    </row>
    <row r="1146" spans="16:16">
      <c r="P1146" s="2"/>
    </row>
    <row r="1147" spans="16:16">
      <c r="P1147" s="2"/>
    </row>
    <row r="1148" spans="16:16">
      <c r="P1148" s="2"/>
    </row>
    <row r="1149" spans="16:16">
      <c r="P1149" s="2"/>
    </row>
    <row r="1150" spans="16:16">
      <c r="P1150" s="2"/>
    </row>
    <row r="1151" spans="16:16">
      <c r="P1151" s="2"/>
    </row>
    <row r="1152" spans="16:16">
      <c r="P1152" s="2"/>
    </row>
    <row r="1153" spans="16:16">
      <c r="P1153" s="2"/>
    </row>
    <row r="1154" spans="16:16">
      <c r="P1154" s="2"/>
    </row>
    <row r="1155" spans="16:16">
      <c r="P1155" s="2"/>
    </row>
    <row r="1156" spans="16:16">
      <c r="P1156" s="2"/>
    </row>
    <row r="1157" spans="16:16">
      <c r="P1157" s="2"/>
    </row>
    <row r="1158" spans="16:16">
      <c r="P1158" s="2"/>
    </row>
    <row r="1159" spans="16:16">
      <c r="P1159" s="2"/>
    </row>
    <row r="1160" spans="16:16">
      <c r="P1160" s="2"/>
    </row>
    <row r="1161" spans="16:16">
      <c r="P1161" s="2"/>
    </row>
    <row r="1162" spans="16:16">
      <c r="P1162" s="2"/>
    </row>
    <row r="1163" spans="16:16">
      <c r="P1163" s="2"/>
    </row>
    <row r="1164" spans="16:16">
      <c r="P1164" s="2"/>
    </row>
    <row r="1165" spans="16:16">
      <c r="P1165" s="2"/>
    </row>
    <row r="1166" spans="16:16">
      <c r="P1166" s="2"/>
    </row>
    <row r="1167" spans="16:16">
      <c r="P1167" s="2"/>
    </row>
    <row r="1168" spans="16:16">
      <c r="P1168" s="2"/>
    </row>
    <row r="1169" spans="16:16">
      <c r="P1169" s="2"/>
    </row>
    <row r="1170" spans="16:16">
      <c r="P1170" s="2"/>
    </row>
    <row r="1171" spans="16:16">
      <c r="P1171" s="2"/>
    </row>
    <row r="1172" spans="16:16">
      <c r="P1172" s="2"/>
    </row>
    <row r="1173" spans="16:16">
      <c r="P1173" s="2"/>
    </row>
    <row r="1174" spans="16:16">
      <c r="P1174" s="2"/>
    </row>
    <row r="1175" spans="16:16">
      <c r="P1175" s="2"/>
    </row>
    <row r="1176" spans="16:16">
      <c r="P1176" s="2"/>
    </row>
    <row r="1177" spans="16:16">
      <c r="P1177" s="2"/>
    </row>
    <row r="1178" spans="16:16">
      <c r="P1178" s="2"/>
    </row>
    <row r="1179" spans="16:16">
      <c r="P1179" s="2"/>
    </row>
    <row r="1180" spans="16:16">
      <c r="P1180" s="2"/>
    </row>
    <row r="1181" spans="16:16">
      <c r="P1181" s="2"/>
    </row>
    <row r="1182" spans="16:16">
      <c r="P1182" s="2"/>
    </row>
    <row r="1183" spans="16:16">
      <c r="P1183" s="2"/>
    </row>
    <row r="1184" spans="16:16">
      <c r="P1184" s="2"/>
    </row>
    <row r="1185" spans="16:16">
      <c r="P1185" s="2"/>
    </row>
    <row r="1186" spans="16:16">
      <c r="P1186" s="2"/>
    </row>
    <row r="1187" spans="16:16">
      <c r="P1187" s="2"/>
    </row>
    <row r="1188" spans="16:16">
      <c r="P1188" s="2"/>
    </row>
    <row r="1189" spans="16:16">
      <c r="P1189" s="2"/>
    </row>
    <row r="1190" spans="16:16">
      <c r="P1190" s="2"/>
    </row>
    <row r="1191" spans="16:16">
      <c r="P1191" s="2"/>
    </row>
    <row r="1192" spans="16:16">
      <c r="P1192" s="2"/>
    </row>
    <row r="1193" spans="16:16">
      <c r="P1193" s="2"/>
    </row>
    <row r="1194" spans="16:16">
      <c r="P1194" s="2"/>
    </row>
    <row r="1195" spans="16:16">
      <c r="P1195" s="2"/>
    </row>
    <row r="1196" spans="16:16">
      <c r="P1196" s="2"/>
    </row>
    <row r="1197" spans="16:16">
      <c r="P1197" s="2"/>
    </row>
    <row r="1198" spans="16:16">
      <c r="P1198" s="2"/>
    </row>
    <row r="1199" spans="16:16">
      <c r="P1199" s="2"/>
    </row>
    <row r="1200" spans="16:16">
      <c r="P1200" s="2"/>
    </row>
    <row r="1201" spans="16:16">
      <c r="P1201" s="2"/>
    </row>
    <row r="1202" spans="16:16">
      <c r="P1202" s="2"/>
    </row>
    <row r="1203" spans="16:16">
      <c r="P1203" s="2"/>
    </row>
    <row r="1204" spans="16:16">
      <c r="P1204" s="2"/>
    </row>
    <row r="1205" spans="16:16">
      <c r="P1205" s="2"/>
    </row>
    <row r="1206" spans="16:16">
      <c r="P1206" s="2"/>
    </row>
    <row r="1207" spans="16:16">
      <c r="P1207" s="2"/>
    </row>
    <row r="1208" spans="16:16">
      <c r="P1208" s="2"/>
    </row>
    <row r="1209" spans="16:16">
      <c r="P1209" s="2"/>
    </row>
    <row r="1210" spans="16:16">
      <c r="P1210" s="2"/>
    </row>
    <row r="1211" spans="16:16">
      <c r="P1211" s="2"/>
    </row>
    <row r="1212" spans="16:16">
      <c r="P1212" s="2"/>
    </row>
    <row r="1213" spans="16:16">
      <c r="P1213" s="2"/>
    </row>
    <row r="1214" spans="16:16">
      <c r="P1214" s="2"/>
    </row>
    <row r="1215" spans="16:16">
      <c r="P1215" s="2"/>
    </row>
    <row r="1216" spans="16:16">
      <c r="P1216" s="2"/>
    </row>
    <row r="1217" spans="16:16">
      <c r="P1217" s="2"/>
    </row>
    <row r="1218" spans="16:16">
      <c r="P1218" s="2"/>
    </row>
    <row r="1219" spans="16:16">
      <c r="P1219" s="2"/>
    </row>
    <row r="1220" spans="16:16">
      <c r="P1220" s="2"/>
    </row>
    <row r="1221" spans="16:16">
      <c r="P1221" s="2"/>
    </row>
    <row r="1222" spans="16:16">
      <c r="P1222" s="2"/>
    </row>
    <row r="1223" spans="16:16">
      <c r="P1223" s="2"/>
    </row>
    <row r="1224" spans="16:16">
      <c r="P1224" s="2"/>
    </row>
    <row r="1225" spans="16:16">
      <c r="P1225" s="2"/>
    </row>
    <row r="1226" spans="16:16">
      <c r="P1226" s="2"/>
    </row>
    <row r="1227" spans="16:16">
      <c r="P1227" s="2"/>
    </row>
    <row r="1228" spans="16:16">
      <c r="P1228" s="2"/>
    </row>
    <row r="1229" spans="16:16">
      <c r="P1229" s="2"/>
    </row>
    <row r="1230" spans="16:16">
      <c r="P1230" s="2"/>
    </row>
    <row r="1231" spans="16:16">
      <c r="P1231" s="2"/>
    </row>
    <row r="1232" spans="16:16">
      <c r="P1232" s="2"/>
    </row>
    <row r="1233" spans="16:16">
      <c r="P1233" s="2"/>
    </row>
    <row r="1234" spans="16:16">
      <c r="P1234" s="2"/>
    </row>
    <row r="1235" spans="16:16">
      <c r="P1235" s="2"/>
    </row>
    <row r="1236" spans="16:16">
      <c r="P1236" s="2"/>
    </row>
    <row r="1237" spans="16:16">
      <c r="P1237" s="2"/>
    </row>
    <row r="1238" spans="16:16">
      <c r="P1238" s="2"/>
    </row>
    <row r="1239" spans="16:16">
      <c r="P1239" s="2"/>
    </row>
    <row r="1240" spans="16:16">
      <c r="P1240" s="2"/>
    </row>
    <row r="1241" spans="16:16">
      <c r="P1241" s="2"/>
    </row>
    <row r="1242" spans="16:16">
      <c r="P1242" s="2"/>
    </row>
    <row r="1243" spans="16:16">
      <c r="P1243" s="2"/>
    </row>
    <row r="1244" spans="16:16">
      <c r="P1244" s="2"/>
    </row>
    <row r="1245" spans="16:16">
      <c r="P1245" s="2"/>
    </row>
    <row r="1246" spans="16:16">
      <c r="P1246" s="2"/>
    </row>
    <row r="1247" spans="16:16">
      <c r="P1247" s="2"/>
    </row>
    <row r="1248" spans="16:16">
      <c r="P1248" s="2"/>
    </row>
    <row r="1249" spans="16:16">
      <c r="P1249" s="2"/>
    </row>
    <row r="1250" spans="16:16">
      <c r="P1250" s="2"/>
    </row>
    <row r="1251" spans="16:16">
      <c r="P1251" s="2"/>
    </row>
    <row r="1252" spans="16:16">
      <c r="P1252" s="2"/>
    </row>
    <row r="1253" spans="16:16">
      <c r="P1253" s="2"/>
    </row>
    <row r="1254" spans="16:16">
      <c r="P1254" s="2"/>
    </row>
    <row r="1255" spans="16:16">
      <c r="P1255" s="2"/>
    </row>
    <row r="1256" spans="16:16">
      <c r="P1256" s="2"/>
    </row>
    <row r="1257" spans="16:16">
      <c r="P1257" s="2"/>
    </row>
    <row r="1258" spans="16:16">
      <c r="P1258" s="2"/>
    </row>
    <row r="1259" spans="16:16">
      <c r="P1259" s="2"/>
    </row>
    <row r="1260" spans="16:16">
      <c r="P1260" s="2"/>
    </row>
    <row r="1261" spans="16:16">
      <c r="P1261" s="2"/>
    </row>
    <row r="1262" spans="16:16">
      <c r="P1262" s="2"/>
    </row>
    <row r="1263" spans="16:16">
      <c r="P1263" s="2"/>
    </row>
    <row r="1264" spans="16:16">
      <c r="P1264" s="2"/>
    </row>
    <row r="1265" spans="16:16">
      <c r="P1265" s="2"/>
    </row>
    <row r="1266" spans="16:16">
      <c r="P1266" s="2"/>
    </row>
    <row r="1267" spans="16:16">
      <c r="P1267" s="2"/>
    </row>
    <row r="1268" spans="16:16">
      <c r="P1268" s="2"/>
    </row>
    <row r="1269" spans="16:16">
      <c r="P1269" s="2"/>
    </row>
    <row r="1270" spans="16:16">
      <c r="P1270" s="2"/>
    </row>
    <row r="1271" spans="16:16">
      <c r="P1271" s="2"/>
    </row>
    <row r="1272" spans="16:16">
      <c r="P1272" s="2"/>
    </row>
    <row r="1273" spans="16:16">
      <c r="P1273" s="2"/>
    </row>
    <row r="1274" spans="16:16">
      <c r="P1274" s="2"/>
    </row>
    <row r="1275" spans="16:16">
      <c r="P1275" s="2"/>
    </row>
    <row r="1276" spans="16:16">
      <c r="P1276" s="2"/>
    </row>
    <row r="1277" spans="16:16">
      <c r="P1277" s="2"/>
    </row>
    <row r="1278" spans="16:16">
      <c r="P1278" s="2"/>
    </row>
    <row r="1279" spans="16:16">
      <c r="P1279" s="2"/>
    </row>
    <row r="1280" spans="16:16">
      <c r="P1280" s="2"/>
    </row>
    <row r="1281" spans="16:16">
      <c r="P1281" s="2"/>
    </row>
    <row r="1282" spans="16:16">
      <c r="P1282" s="2"/>
    </row>
    <row r="1283" spans="16:16">
      <c r="P1283" s="2"/>
    </row>
    <row r="1284" spans="16:16">
      <c r="P1284" s="2"/>
    </row>
    <row r="1285" spans="16:16">
      <c r="P1285" s="2"/>
    </row>
    <row r="1286" spans="16:16">
      <c r="P1286" s="2"/>
    </row>
    <row r="1287" spans="16:16">
      <c r="P1287" s="2"/>
    </row>
    <row r="1288" spans="16:16">
      <c r="P1288" s="2"/>
    </row>
    <row r="1289" spans="16:16">
      <c r="P1289" s="2"/>
    </row>
    <row r="1290" spans="16:16">
      <c r="P1290" s="2"/>
    </row>
    <row r="1291" spans="16:16">
      <c r="P1291" s="2"/>
    </row>
    <row r="1292" spans="16:16">
      <c r="P1292" s="2"/>
    </row>
    <row r="1293" spans="16:16">
      <c r="P1293" s="2"/>
    </row>
    <row r="1294" spans="16:16">
      <c r="P1294" s="2"/>
    </row>
    <row r="1295" spans="16:16">
      <c r="P1295" s="2"/>
    </row>
    <row r="1296" spans="16:16">
      <c r="P1296" s="2"/>
    </row>
    <row r="1297" spans="16:16">
      <c r="P1297" s="2"/>
    </row>
    <row r="1298" spans="16:16">
      <c r="P1298" s="2"/>
    </row>
    <row r="1299" spans="16:16">
      <c r="P1299" s="2"/>
    </row>
    <row r="1300" spans="16:16">
      <c r="P1300" s="2"/>
    </row>
    <row r="1301" spans="16:16">
      <c r="P1301" s="2"/>
    </row>
    <row r="1302" spans="16:16">
      <c r="P1302" s="2"/>
    </row>
    <row r="1303" spans="16:16">
      <c r="P1303" s="2"/>
    </row>
    <row r="1304" spans="16:16">
      <c r="P1304" s="2"/>
    </row>
    <row r="1305" spans="16:16">
      <c r="P1305" s="2"/>
    </row>
    <row r="1306" spans="16:16">
      <c r="P1306" s="2"/>
    </row>
    <row r="1307" spans="16:16">
      <c r="P1307" s="2"/>
    </row>
    <row r="1308" spans="16:16">
      <c r="P1308" s="2"/>
    </row>
    <row r="1309" spans="16:16">
      <c r="P1309" s="2"/>
    </row>
    <row r="1310" spans="16:16">
      <c r="P1310" s="2"/>
    </row>
    <row r="1311" spans="16:16">
      <c r="P1311" s="2"/>
    </row>
    <row r="1312" spans="16:16">
      <c r="P1312" s="2"/>
    </row>
    <row r="1313" spans="16:16">
      <c r="P1313" s="2"/>
    </row>
    <row r="1314" spans="16:16">
      <c r="P1314" s="2"/>
    </row>
    <row r="1315" spans="16:16">
      <c r="P1315" s="2"/>
    </row>
    <row r="1316" spans="16:16">
      <c r="P1316" s="2"/>
    </row>
    <row r="1317" spans="16:16">
      <c r="P1317" s="2"/>
    </row>
    <row r="1318" spans="16:16">
      <c r="P1318" s="2"/>
    </row>
    <row r="1319" spans="16:16">
      <c r="P1319" s="2"/>
    </row>
    <row r="1320" spans="16:16">
      <c r="P1320" s="2"/>
    </row>
    <row r="1321" spans="16:16">
      <c r="P1321" s="2"/>
    </row>
    <row r="1322" spans="16:16">
      <c r="P1322" s="2"/>
    </row>
    <row r="1323" spans="16:16">
      <c r="P1323" s="2"/>
    </row>
    <row r="1324" spans="16:16">
      <c r="P1324" s="2"/>
    </row>
    <row r="1325" spans="16:16">
      <c r="P1325" s="2"/>
    </row>
    <row r="1326" spans="16:16">
      <c r="P1326" s="2"/>
    </row>
    <row r="1327" spans="16:16">
      <c r="P1327" s="2"/>
    </row>
    <row r="1328" spans="16:16">
      <c r="P1328" s="2"/>
    </row>
    <row r="1329" spans="16:16">
      <c r="P1329" s="2"/>
    </row>
    <row r="1330" spans="16:16">
      <c r="P1330" s="2"/>
    </row>
    <row r="1331" spans="16:16">
      <c r="P1331" s="2"/>
    </row>
    <row r="1332" spans="16:16">
      <c r="P1332" s="2"/>
    </row>
    <row r="1333" spans="16:16">
      <c r="P1333" s="2"/>
    </row>
    <row r="1334" spans="16:16">
      <c r="P1334" s="2"/>
    </row>
    <row r="1335" spans="16:16">
      <c r="P1335" s="2"/>
    </row>
    <row r="1336" spans="16:16">
      <c r="P1336" s="2"/>
    </row>
    <row r="1337" spans="16:16">
      <c r="P1337" s="2"/>
    </row>
    <row r="1338" spans="16:16">
      <c r="P1338" s="2"/>
    </row>
    <row r="1339" spans="16:16">
      <c r="P1339" s="2"/>
    </row>
    <row r="1340" spans="16:16">
      <c r="P1340" s="2"/>
    </row>
    <row r="1341" spans="16:16">
      <c r="P1341" s="2"/>
    </row>
    <row r="1342" spans="16:16">
      <c r="P1342" s="2"/>
    </row>
    <row r="1343" spans="16:16">
      <c r="P1343" s="2"/>
    </row>
    <row r="1344" spans="16:16">
      <c r="P1344" s="2"/>
    </row>
    <row r="1345" spans="16:16">
      <c r="P1345" s="2"/>
    </row>
    <row r="1346" spans="16:16">
      <c r="P1346" s="2"/>
    </row>
    <row r="1347" spans="16:16">
      <c r="P1347" s="2"/>
    </row>
    <row r="1348" spans="16:16">
      <c r="P1348" s="2"/>
    </row>
    <row r="1349" spans="16:16">
      <c r="P1349" s="2"/>
    </row>
    <row r="1350" spans="16:16">
      <c r="P1350" s="2"/>
    </row>
    <row r="1351" spans="16:16">
      <c r="P1351" s="2"/>
    </row>
    <row r="1352" spans="16:16">
      <c r="P1352" s="2"/>
    </row>
    <row r="1353" spans="16:16">
      <c r="P1353" s="2"/>
    </row>
    <row r="1354" spans="16:16">
      <c r="P1354" s="2"/>
    </row>
    <row r="1355" spans="16:16">
      <c r="P1355" s="2"/>
    </row>
    <row r="1356" spans="16:16">
      <c r="P1356" s="2"/>
    </row>
    <row r="1357" spans="16:16">
      <c r="P1357" s="2"/>
    </row>
    <row r="1358" spans="16:16">
      <c r="P1358" s="2"/>
    </row>
    <row r="1359" spans="16:16">
      <c r="P1359" s="2"/>
    </row>
    <row r="1360" spans="16:16">
      <c r="P1360" s="2"/>
    </row>
    <row r="1361" spans="16:16">
      <c r="P1361" s="2"/>
    </row>
    <row r="1362" spans="16:16">
      <c r="P1362" s="2"/>
    </row>
    <row r="1363" spans="16:16">
      <c r="P1363" s="2"/>
    </row>
    <row r="1364" spans="16:16">
      <c r="P1364" s="2"/>
    </row>
    <row r="1365" spans="16:16">
      <c r="P1365" s="2"/>
    </row>
    <row r="1366" spans="16:16">
      <c r="P1366" s="2"/>
    </row>
    <row r="1367" spans="16:16">
      <c r="P1367" s="2"/>
    </row>
    <row r="1368" spans="16:16">
      <c r="P1368" s="2"/>
    </row>
    <row r="1369" spans="16:16">
      <c r="P1369" s="2"/>
    </row>
    <row r="1370" spans="16:16">
      <c r="P1370" s="2"/>
    </row>
    <row r="1371" spans="16:16">
      <c r="P1371" s="2"/>
    </row>
    <row r="1372" spans="16:16">
      <c r="P1372" s="2"/>
    </row>
    <row r="1373" spans="16:16">
      <c r="P1373" s="2"/>
    </row>
    <row r="1374" spans="16:16">
      <c r="P1374" s="2"/>
    </row>
    <row r="1375" spans="16:16">
      <c r="P1375" s="2"/>
    </row>
    <row r="1376" spans="16:16">
      <c r="P1376" s="2"/>
    </row>
    <row r="1377" spans="16:16">
      <c r="P1377" s="2"/>
    </row>
    <row r="1378" spans="16:16">
      <c r="P1378" s="2"/>
    </row>
    <row r="1379" spans="16:16">
      <c r="P1379" s="2"/>
    </row>
    <row r="1380" spans="16:16">
      <c r="P1380" s="2"/>
    </row>
    <row r="1381" spans="16:16">
      <c r="P1381" s="2"/>
    </row>
    <row r="1382" spans="16:16">
      <c r="P1382" s="2"/>
    </row>
    <row r="1383" spans="16:16">
      <c r="P1383" s="2"/>
    </row>
    <row r="1384" spans="16:16">
      <c r="P1384" s="2"/>
    </row>
    <row r="1385" spans="16:16">
      <c r="P1385" s="2"/>
    </row>
    <row r="1386" spans="16:16">
      <c r="P1386" s="2"/>
    </row>
    <row r="1387" spans="16:16">
      <c r="P1387" s="2"/>
    </row>
    <row r="1388" spans="16:16">
      <c r="P1388" s="2"/>
    </row>
    <row r="1389" spans="16:16">
      <c r="P1389" s="2"/>
    </row>
    <row r="1390" spans="16:16">
      <c r="P1390" s="2"/>
    </row>
    <row r="1391" spans="16:16">
      <c r="P1391" s="2"/>
    </row>
    <row r="1392" spans="16:16">
      <c r="P1392" s="2"/>
    </row>
    <row r="1393" spans="16:16">
      <c r="P1393" s="2"/>
    </row>
    <row r="1394" spans="16:16">
      <c r="P1394" s="2"/>
    </row>
    <row r="1395" spans="16:16">
      <c r="P1395" s="2"/>
    </row>
    <row r="1396" spans="16:16">
      <c r="P1396" s="2"/>
    </row>
    <row r="1397" spans="16:16">
      <c r="P1397" s="2"/>
    </row>
    <row r="1398" spans="16:16">
      <c r="P1398" s="2"/>
    </row>
    <row r="1399" spans="16:16">
      <c r="P1399" s="2"/>
    </row>
    <row r="1400" spans="16:16">
      <c r="P1400" s="2"/>
    </row>
    <row r="1401" spans="16:16">
      <c r="P1401" s="2"/>
    </row>
    <row r="1402" spans="16:16">
      <c r="P1402" s="2"/>
    </row>
    <row r="1403" spans="16:16">
      <c r="P1403" s="2"/>
    </row>
    <row r="1404" spans="16:16">
      <c r="P1404" s="2"/>
    </row>
    <row r="1405" spans="16:16">
      <c r="P1405" s="2"/>
    </row>
    <row r="1406" spans="16:16">
      <c r="P1406" s="2"/>
    </row>
    <row r="1407" spans="16:16">
      <c r="P1407" s="2"/>
    </row>
    <row r="1408" spans="16:16">
      <c r="P1408" s="2"/>
    </row>
    <row r="1409" spans="16:16">
      <c r="P1409" s="2"/>
    </row>
    <row r="1410" spans="16:16">
      <c r="P1410" s="2"/>
    </row>
    <row r="1411" spans="16:16">
      <c r="P1411" s="2"/>
    </row>
    <row r="1412" spans="16:16">
      <c r="P1412" s="2"/>
    </row>
    <row r="1413" spans="16:16">
      <c r="P1413" s="2"/>
    </row>
    <row r="1414" spans="16:16">
      <c r="P1414" s="2"/>
    </row>
    <row r="1415" spans="16:16">
      <c r="P1415" s="2"/>
    </row>
    <row r="1416" spans="16:16">
      <c r="P1416" s="2"/>
    </row>
    <row r="1417" spans="16:16">
      <c r="P1417" s="2"/>
    </row>
    <row r="1418" spans="16:16">
      <c r="P1418" s="2"/>
    </row>
    <row r="1419" spans="16:16">
      <c r="P1419" s="2"/>
    </row>
    <row r="1420" spans="16:16">
      <c r="P1420" s="2"/>
    </row>
    <row r="1421" spans="16:16">
      <c r="P1421" s="2"/>
    </row>
    <row r="1422" spans="16:16">
      <c r="P1422" s="2"/>
    </row>
    <row r="1423" spans="16:16">
      <c r="P1423" s="2"/>
    </row>
    <row r="1424" spans="16:16">
      <c r="P1424" s="2"/>
    </row>
    <row r="1425" spans="16:16">
      <c r="P1425" s="2"/>
    </row>
    <row r="1426" spans="16:16">
      <c r="P1426" s="2"/>
    </row>
    <row r="1427" spans="16:16">
      <c r="P1427" s="2"/>
    </row>
    <row r="1428" spans="16:16">
      <c r="P1428" s="2"/>
    </row>
    <row r="1429" spans="16:16">
      <c r="P1429" s="2"/>
    </row>
    <row r="1430" spans="16:16">
      <c r="P1430" s="2"/>
    </row>
    <row r="1431" spans="16:16">
      <c r="P1431" s="2"/>
    </row>
    <row r="1432" spans="16:16">
      <c r="P1432" s="2"/>
    </row>
    <row r="1433" spans="16:16">
      <c r="P1433" s="2"/>
    </row>
    <row r="1434" spans="16:16">
      <c r="P1434" s="2"/>
    </row>
    <row r="1435" spans="16:16">
      <c r="P1435" s="2"/>
    </row>
    <row r="1436" spans="16:16">
      <c r="P1436" s="2"/>
    </row>
    <row r="1437" spans="16:16">
      <c r="P1437" s="2"/>
    </row>
    <row r="1438" spans="16:16">
      <c r="P1438" s="2"/>
    </row>
    <row r="1439" spans="16:16">
      <c r="P1439" s="2"/>
    </row>
    <row r="1440" spans="16:16">
      <c r="P1440" s="2"/>
    </row>
    <row r="1441" spans="16:16">
      <c r="P1441" s="2"/>
    </row>
    <row r="1442" spans="16:16">
      <c r="P1442" s="2"/>
    </row>
  </sheetData>
  <mergeCells count="3">
    <mergeCell ref="B5:J5"/>
    <mergeCell ref="B6:J6"/>
    <mergeCell ref="B7:J7"/>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8305"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8306"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8307"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8308"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98309" r:id="rId7" name="Button 5">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8310" r:id="rId8"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8311" r:id="rId9"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8312" r:id="rId10"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enableFormatConditionsCalculation="0"/>
  <dimension ref="A1:N512"/>
  <sheetViews>
    <sheetView workbookViewId="0"/>
  </sheetViews>
  <sheetFormatPr baseColWidth="10" defaultColWidth="8.83203125" defaultRowHeight="12" x14ac:dyDescent="0"/>
  <cols>
    <col min="1" max="1" width="11.6640625" customWidth="1"/>
    <col min="2" max="2" width="11" customWidth="1"/>
    <col min="4" max="6" width="10.5" customWidth="1"/>
    <col min="9" max="9" width="14.5" customWidth="1"/>
    <col min="10" max="11" width="12.5" customWidth="1"/>
  </cols>
  <sheetData>
    <row r="1" spans="1:14">
      <c r="A1" s="21"/>
      <c r="B1" s="21"/>
      <c r="C1" s="21" t="s">
        <v>846</v>
      </c>
      <c r="D1" s="21"/>
      <c r="E1" s="21"/>
      <c r="F1" s="21"/>
      <c r="G1" s="21"/>
      <c r="H1" s="21"/>
      <c r="I1" s="21"/>
      <c r="J1" s="21"/>
      <c r="K1" s="21"/>
      <c r="L1" s="21"/>
    </row>
    <row r="2" spans="1:14" ht="21" customHeight="1">
      <c r="A2" s="21"/>
      <c r="B2" s="21"/>
      <c r="C2" s="21"/>
      <c r="D2" s="374"/>
      <c r="E2" s="374"/>
      <c r="F2" s="374"/>
      <c r="G2" s="374"/>
      <c r="H2" s="374"/>
      <c r="I2" s="374"/>
      <c r="J2" s="374"/>
      <c r="K2" s="374"/>
      <c r="L2" s="374"/>
      <c r="M2" s="372"/>
      <c r="N2" s="372"/>
    </row>
    <row r="3" spans="1:14" ht="15">
      <c r="A3" s="19" t="s">
        <v>1045</v>
      </c>
      <c r="B3" s="20" t="s">
        <v>138</v>
      </c>
      <c r="C3" s="21"/>
      <c r="D3" s="21"/>
      <c r="E3" s="21"/>
      <c r="F3" s="21"/>
      <c r="G3" s="21"/>
      <c r="H3" s="21"/>
      <c r="I3" s="21"/>
      <c r="J3" s="21"/>
      <c r="K3" s="21"/>
      <c r="L3" s="21"/>
      <c r="M3" s="360"/>
    </row>
    <row r="4" spans="1:14" ht="15">
      <c r="A4" s="19" t="s">
        <v>774</v>
      </c>
      <c r="B4" s="20" t="s">
        <v>775</v>
      </c>
      <c r="C4" s="21"/>
      <c r="D4" s="21"/>
      <c r="E4" s="21"/>
      <c r="F4" s="21"/>
      <c r="G4" s="21"/>
      <c r="H4" s="21"/>
      <c r="I4" s="21"/>
      <c r="J4" s="21"/>
      <c r="K4" s="21"/>
      <c r="L4" s="21"/>
      <c r="M4" s="360"/>
    </row>
    <row r="5" spans="1:14" ht="15">
      <c r="A5" s="19" t="s">
        <v>779</v>
      </c>
      <c r="B5" s="127" t="s">
        <v>33</v>
      </c>
      <c r="C5" s="21"/>
      <c r="D5" s="21"/>
      <c r="E5" s="21"/>
      <c r="F5" s="21"/>
      <c r="G5" s="21"/>
      <c r="H5" s="21"/>
      <c r="I5" s="21"/>
      <c r="J5" s="21"/>
      <c r="K5" s="21"/>
      <c r="L5" s="21"/>
      <c r="M5" s="360"/>
      <c r="N5" s="365"/>
    </row>
    <row r="6" spans="1:14" ht="15">
      <c r="A6" s="19"/>
      <c r="B6" s="366" t="s">
        <v>34</v>
      </c>
      <c r="C6" s="21"/>
      <c r="D6" s="21"/>
      <c r="E6" s="21"/>
      <c r="F6" s="21"/>
      <c r="G6" s="21"/>
      <c r="H6" s="21"/>
      <c r="I6" s="21"/>
      <c r="J6" s="21"/>
      <c r="K6" s="21"/>
      <c r="L6" s="21"/>
      <c r="M6" s="360"/>
      <c r="N6" s="365"/>
    </row>
    <row r="7" spans="1:14" ht="32.25" customHeight="1">
      <c r="A7" s="19"/>
      <c r="B7" s="467" t="s">
        <v>35</v>
      </c>
      <c r="C7" s="467"/>
      <c r="D7" s="467"/>
      <c r="E7" s="467"/>
      <c r="F7" s="467"/>
      <c r="G7" s="467"/>
      <c r="H7" s="467"/>
      <c r="I7" s="467"/>
      <c r="J7" s="467"/>
      <c r="K7" s="467"/>
      <c r="L7" s="467"/>
      <c r="M7" s="360"/>
      <c r="N7" s="365"/>
    </row>
    <row r="8" spans="1:14" ht="32.25" customHeight="1">
      <c r="A8" s="19"/>
      <c r="B8" s="467" t="s">
        <v>36</v>
      </c>
      <c r="C8" s="467"/>
      <c r="D8" s="467"/>
      <c r="E8" s="467"/>
      <c r="F8" s="467"/>
      <c r="G8" s="467"/>
      <c r="H8" s="467"/>
      <c r="I8" s="467"/>
      <c r="J8" s="467"/>
      <c r="K8" s="467"/>
      <c r="L8" s="467"/>
      <c r="M8" s="360"/>
      <c r="N8" s="365"/>
    </row>
    <row r="9" spans="1:14" ht="18" customHeight="1">
      <c r="A9" s="19"/>
      <c r="B9" s="467" t="s">
        <v>37</v>
      </c>
      <c r="C9" s="467"/>
      <c r="D9" s="467"/>
      <c r="E9" s="467"/>
      <c r="F9" s="467"/>
      <c r="G9" s="467"/>
      <c r="H9" s="467"/>
      <c r="I9" s="467"/>
      <c r="J9" s="467"/>
      <c r="K9" s="467"/>
      <c r="L9" s="467"/>
      <c r="M9" s="360"/>
      <c r="N9" s="365"/>
    </row>
    <row r="10" spans="1:14" ht="15">
      <c r="A10" s="19"/>
      <c r="B10" s="127" t="s">
        <v>38</v>
      </c>
      <c r="C10" s="21"/>
      <c r="D10" s="21"/>
      <c r="E10" s="21"/>
      <c r="F10" s="21"/>
      <c r="G10" s="21"/>
      <c r="H10" s="21"/>
      <c r="I10" s="21"/>
      <c r="J10" s="21"/>
      <c r="K10" s="21"/>
      <c r="L10" s="21"/>
      <c r="M10" s="360"/>
      <c r="N10" s="365"/>
    </row>
    <row r="11" spans="1:14" ht="47.25" customHeight="1">
      <c r="A11" s="19"/>
      <c r="B11" s="20"/>
      <c r="C11" s="21"/>
      <c r="D11" s="21"/>
      <c r="E11" s="21"/>
      <c r="F11" s="21"/>
      <c r="G11" s="21"/>
      <c r="H11" s="21"/>
      <c r="I11" s="21"/>
      <c r="J11" s="21"/>
      <c r="K11" s="21"/>
      <c r="L11" s="21"/>
      <c r="M11" s="360"/>
      <c r="N11" s="365"/>
    </row>
    <row r="12" spans="1:14" ht="44.25" customHeight="1">
      <c r="A12" s="19"/>
      <c r="B12" s="446" t="s">
        <v>39</v>
      </c>
      <c r="C12" s="446"/>
      <c r="D12" s="446"/>
      <c r="E12" s="446"/>
      <c r="F12" s="446"/>
      <c r="G12" s="446"/>
      <c r="H12" s="446"/>
      <c r="I12" s="446"/>
      <c r="J12" s="446"/>
      <c r="K12" s="446"/>
      <c r="L12" s="446"/>
      <c r="M12" s="360"/>
      <c r="N12" s="365"/>
    </row>
    <row r="13" spans="1:14" ht="43.5" customHeight="1">
      <c r="A13" s="19"/>
      <c r="B13" s="20"/>
      <c r="C13" s="21"/>
      <c r="D13" s="21"/>
      <c r="E13" s="21"/>
      <c r="F13" s="21"/>
      <c r="G13" s="21"/>
      <c r="H13" s="21"/>
      <c r="I13" s="21"/>
      <c r="J13" s="21"/>
      <c r="K13" s="21"/>
      <c r="L13" s="21"/>
      <c r="M13" s="360"/>
      <c r="N13" s="365"/>
    </row>
    <row r="14" spans="1:14" ht="43.5" customHeight="1">
      <c r="A14" s="19"/>
      <c r="B14" s="446" t="s">
        <v>40</v>
      </c>
      <c r="C14" s="446"/>
      <c r="D14" s="446"/>
      <c r="E14" s="446"/>
      <c r="F14" s="446"/>
      <c r="G14" s="446"/>
      <c r="H14" s="446"/>
      <c r="I14" s="446"/>
      <c r="J14" s="446"/>
      <c r="K14" s="446"/>
      <c r="L14" s="446"/>
      <c r="M14" s="360"/>
      <c r="N14" s="365"/>
    </row>
    <row r="15" spans="1:14" ht="47.25" customHeight="1">
      <c r="A15" s="21"/>
      <c r="B15" s="446" t="s">
        <v>41</v>
      </c>
      <c r="C15" s="446"/>
      <c r="D15" s="446"/>
      <c r="E15" s="446"/>
      <c r="F15" s="446"/>
      <c r="G15" s="446"/>
      <c r="H15" s="446"/>
      <c r="I15" s="446"/>
      <c r="J15" s="446"/>
      <c r="K15" s="446"/>
      <c r="L15" s="446"/>
      <c r="M15" s="360"/>
    </row>
    <row r="16" spans="1:14" ht="30" customHeight="1">
      <c r="A16" s="19"/>
      <c r="B16" s="446" t="s">
        <v>42</v>
      </c>
      <c r="C16" s="446"/>
      <c r="D16" s="446"/>
      <c r="E16" s="446"/>
      <c r="F16" s="446"/>
      <c r="G16" s="446"/>
      <c r="H16" s="446"/>
      <c r="I16" s="446"/>
      <c r="J16" s="446"/>
      <c r="K16" s="446"/>
      <c r="L16" s="446"/>
      <c r="M16" s="360"/>
    </row>
    <row r="17" spans="1:13" ht="48" customHeight="1">
      <c r="A17" s="19"/>
      <c r="B17" s="446" t="s">
        <v>43</v>
      </c>
      <c r="C17" s="446"/>
      <c r="D17" s="446"/>
      <c r="E17" s="446"/>
      <c r="F17" s="446"/>
      <c r="G17" s="446"/>
      <c r="H17" s="446"/>
      <c r="I17" s="446"/>
      <c r="J17" s="446"/>
      <c r="K17" s="446"/>
      <c r="L17" s="446"/>
      <c r="M17" s="241"/>
    </row>
    <row r="18" spans="1:13" ht="14.25" customHeight="1">
      <c r="A18" s="19" t="s">
        <v>635</v>
      </c>
      <c r="B18" s="21" t="s">
        <v>776</v>
      </c>
      <c r="C18" s="21"/>
      <c r="D18" s="21"/>
      <c r="E18" s="21"/>
      <c r="F18" s="21"/>
      <c r="G18" s="21"/>
      <c r="H18" s="21"/>
      <c r="I18" s="21"/>
      <c r="J18" s="21"/>
      <c r="K18" s="21"/>
      <c r="L18" s="21"/>
    </row>
    <row r="19" spans="1:13" ht="14.25" customHeight="1">
      <c r="A19" s="21"/>
      <c r="B19" s="21" t="s">
        <v>777</v>
      </c>
      <c r="C19" s="21"/>
      <c r="D19" s="21"/>
      <c r="E19" s="21"/>
      <c r="F19" s="21"/>
      <c r="G19" s="21"/>
      <c r="H19" s="21"/>
      <c r="I19" s="21"/>
      <c r="J19" s="21"/>
      <c r="K19" s="21"/>
      <c r="L19" s="21"/>
      <c r="M19" s="241"/>
    </row>
    <row r="20" spans="1:13" ht="14.25" customHeight="1">
      <c r="A20" s="21"/>
      <c r="B20" s="21" t="s">
        <v>778</v>
      </c>
      <c r="C20" s="21"/>
      <c r="D20" s="21"/>
      <c r="E20" s="21"/>
      <c r="F20" s="21"/>
      <c r="G20" s="21"/>
      <c r="H20" s="21"/>
      <c r="I20" s="21"/>
      <c r="J20" s="21"/>
      <c r="K20" s="21"/>
      <c r="L20" s="21"/>
    </row>
    <row r="21" spans="1:13" ht="54.75" customHeight="1">
      <c r="A21" s="22" t="s">
        <v>1090</v>
      </c>
      <c r="B21" s="22" t="s">
        <v>1096</v>
      </c>
      <c r="C21" s="22" t="s">
        <v>1097</v>
      </c>
      <c r="D21" s="22" t="s">
        <v>1098</v>
      </c>
      <c r="E21" s="31" t="s">
        <v>1154</v>
      </c>
      <c r="F21" s="31" t="s">
        <v>1155</v>
      </c>
      <c r="G21" s="31" t="s">
        <v>1156</v>
      </c>
      <c r="H21" s="31" t="s">
        <v>1157</v>
      </c>
      <c r="I21" s="31" t="s">
        <v>1158</v>
      </c>
      <c r="J21" s="31" t="s">
        <v>1159</v>
      </c>
      <c r="K21" s="31" t="s">
        <v>1160</v>
      </c>
      <c r="L21" s="31" t="s">
        <v>1161</v>
      </c>
    </row>
    <row r="22" spans="1:13" ht="15">
      <c r="A22" s="26">
        <v>35664</v>
      </c>
      <c r="B22" s="52">
        <v>34.375</v>
      </c>
      <c r="C22" s="52">
        <v>33.531199999999998</v>
      </c>
      <c r="D22" s="52">
        <v>34.3125</v>
      </c>
      <c r="E22" s="52"/>
      <c r="F22" s="52"/>
      <c r="G22" s="52"/>
      <c r="H22" s="64"/>
      <c r="I22" s="190"/>
      <c r="J22" s="190"/>
      <c r="K22" s="190"/>
      <c r="L22" s="132"/>
      <c r="M22" s="241"/>
    </row>
    <row r="23" spans="1:13">
      <c r="A23" s="26">
        <v>35667</v>
      </c>
      <c r="B23" s="52">
        <v>34.75</v>
      </c>
      <c r="C23" s="52">
        <v>33.906199999999998</v>
      </c>
      <c r="D23" s="52">
        <v>34.125</v>
      </c>
      <c r="E23" s="52"/>
      <c r="F23" s="52"/>
      <c r="G23" s="52"/>
      <c r="H23" s="64"/>
      <c r="I23" s="190"/>
      <c r="J23" s="190"/>
      <c r="K23" s="190"/>
      <c r="L23" s="132"/>
    </row>
    <row r="24" spans="1:13">
      <c r="A24" s="27">
        <v>35668</v>
      </c>
      <c r="B24" s="55">
        <v>34.218800000000002</v>
      </c>
      <c r="C24" s="55">
        <v>33.6875</v>
      </c>
      <c r="D24" s="55">
        <v>33.75</v>
      </c>
      <c r="E24" s="55"/>
      <c r="F24" s="55"/>
      <c r="G24" s="55"/>
      <c r="H24" s="65"/>
      <c r="I24" s="191"/>
      <c r="J24" s="191"/>
      <c r="K24" s="191"/>
      <c r="L24" s="154"/>
    </row>
    <row r="25" spans="1:13">
      <c r="A25" s="27">
        <v>35669</v>
      </c>
      <c r="B25" s="55">
        <v>33.828099999999999</v>
      </c>
      <c r="C25" s="55">
        <v>33.25</v>
      </c>
      <c r="D25" s="55">
        <v>33.640599999999999</v>
      </c>
      <c r="E25" s="55"/>
      <c r="F25" s="55"/>
      <c r="G25" s="55"/>
      <c r="H25" s="65"/>
      <c r="I25" s="191"/>
      <c r="J25" s="191"/>
      <c r="K25" s="191"/>
      <c r="L25" s="154"/>
    </row>
    <row r="26" spans="1:13">
      <c r="A26" s="26">
        <v>35670</v>
      </c>
      <c r="B26" s="52">
        <v>33.4375</v>
      </c>
      <c r="C26" s="52">
        <v>33</v>
      </c>
      <c r="D26" s="52">
        <v>33.015599999999999</v>
      </c>
      <c r="E26" s="52">
        <f>MIN(C22:C26)</f>
        <v>33</v>
      </c>
      <c r="F26" s="52">
        <f>MAX(B22:B26)</f>
        <v>34.75</v>
      </c>
      <c r="G26" s="52">
        <f t="shared" ref="G26:G57" si="0">D26-E26</f>
        <v>1.559999999999917E-2</v>
      </c>
      <c r="H26" s="64">
        <f>F26-E26</f>
        <v>1.75</v>
      </c>
      <c r="I26" s="190"/>
      <c r="J26" s="190"/>
      <c r="K26" s="190"/>
      <c r="L26" s="132"/>
    </row>
    <row r="27" spans="1:13">
      <c r="A27" s="26">
        <v>35671</v>
      </c>
      <c r="B27" s="52">
        <v>33.468800000000002</v>
      </c>
      <c r="C27" s="52">
        <v>32.9375</v>
      </c>
      <c r="D27" s="52">
        <v>33.046900000000001</v>
      </c>
      <c r="E27" s="52">
        <f t="shared" ref="E27:E77" si="1">MIN(C23:C27)</f>
        <v>32.9375</v>
      </c>
      <c r="F27" s="52">
        <f t="shared" ref="F27:F77" si="2">MAX(B23:B27)</f>
        <v>34.75</v>
      </c>
      <c r="G27" s="52">
        <f t="shared" si="0"/>
        <v>0.10940000000000083</v>
      </c>
      <c r="H27" s="64">
        <f t="shared" ref="H27:H77" si="3">F27-E27</f>
        <v>1.8125</v>
      </c>
      <c r="I27" s="190"/>
      <c r="J27" s="190"/>
      <c r="K27" s="190"/>
      <c r="L27" s="132"/>
    </row>
    <row r="28" spans="1:13">
      <c r="A28" s="27">
        <v>35675</v>
      </c>
      <c r="B28" s="55">
        <v>34.375</v>
      </c>
      <c r="C28" s="55">
        <v>33.25</v>
      </c>
      <c r="D28" s="55">
        <v>34.296900000000001</v>
      </c>
      <c r="E28" s="55">
        <f t="shared" si="1"/>
        <v>32.9375</v>
      </c>
      <c r="F28" s="55">
        <f t="shared" si="2"/>
        <v>34.375</v>
      </c>
      <c r="G28" s="55">
        <f t="shared" si="0"/>
        <v>1.3594000000000008</v>
      </c>
      <c r="H28" s="65">
        <f t="shared" si="3"/>
        <v>1.4375</v>
      </c>
      <c r="I28" s="191">
        <f t="shared" ref="I28:J30" si="4">SUM(G26:G28)</f>
        <v>1.4844000000000008</v>
      </c>
      <c r="J28" s="191">
        <f t="shared" si="4"/>
        <v>5</v>
      </c>
      <c r="K28" s="191">
        <f>I28/J28*100</f>
        <v>29.688000000000013</v>
      </c>
      <c r="L28" s="154"/>
      <c r="M28" s="2"/>
    </row>
    <row r="29" spans="1:13">
      <c r="A29" s="27">
        <v>35676</v>
      </c>
      <c r="B29" s="55">
        <v>34.718800000000002</v>
      </c>
      <c r="C29" s="55">
        <v>34.046900000000001</v>
      </c>
      <c r="D29" s="55">
        <v>34.140599999999999</v>
      </c>
      <c r="E29" s="55">
        <f t="shared" si="1"/>
        <v>32.9375</v>
      </c>
      <c r="F29" s="55">
        <f t="shared" si="2"/>
        <v>34.718800000000002</v>
      </c>
      <c r="G29" s="55">
        <f t="shared" si="0"/>
        <v>1.2030999999999992</v>
      </c>
      <c r="H29" s="65">
        <f t="shared" si="3"/>
        <v>1.7813000000000017</v>
      </c>
      <c r="I29" s="191">
        <f t="shared" si="4"/>
        <v>2.6719000000000008</v>
      </c>
      <c r="J29" s="191">
        <f t="shared" si="4"/>
        <v>5.0313000000000017</v>
      </c>
      <c r="K29" s="191">
        <f>I29/J29*100</f>
        <v>53.10555919941168</v>
      </c>
      <c r="L29" s="154"/>
      <c r="M29" s="2"/>
    </row>
    <row r="30" spans="1:13">
      <c r="A30" s="26">
        <v>35677</v>
      </c>
      <c r="B30" s="52">
        <v>34.625</v>
      </c>
      <c r="C30" s="52">
        <v>33.9375</v>
      </c>
      <c r="D30" s="52">
        <v>34.546900000000001</v>
      </c>
      <c r="E30" s="52">
        <f t="shared" si="1"/>
        <v>32.9375</v>
      </c>
      <c r="F30" s="52">
        <f t="shared" si="2"/>
        <v>34.718800000000002</v>
      </c>
      <c r="G30" s="52">
        <f t="shared" si="0"/>
        <v>1.6094000000000008</v>
      </c>
      <c r="H30" s="64">
        <f t="shared" si="3"/>
        <v>1.7813000000000017</v>
      </c>
      <c r="I30" s="190">
        <f t="shared" si="4"/>
        <v>4.1719000000000008</v>
      </c>
      <c r="J30" s="190">
        <f t="shared" si="4"/>
        <v>5.0001000000000033</v>
      </c>
      <c r="K30" s="190">
        <f>I30/J30*100</f>
        <v>83.436331273374492</v>
      </c>
      <c r="L30" s="132">
        <f>SUM(K28:K30)/3</f>
        <v>55.409963490928725</v>
      </c>
      <c r="M30" s="2"/>
    </row>
    <row r="31" spans="1:13">
      <c r="A31" s="26">
        <v>35678</v>
      </c>
      <c r="B31" s="52">
        <v>34.921900000000001</v>
      </c>
      <c r="C31" s="52">
        <v>34.0625</v>
      </c>
      <c r="D31" s="52">
        <v>34.328099999999999</v>
      </c>
      <c r="E31" s="52">
        <f t="shared" si="1"/>
        <v>32.9375</v>
      </c>
      <c r="F31" s="52">
        <f t="shared" si="2"/>
        <v>34.921900000000001</v>
      </c>
      <c r="G31" s="52">
        <f t="shared" si="0"/>
        <v>1.3905999999999992</v>
      </c>
      <c r="H31" s="64">
        <f t="shared" si="3"/>
        <v>1.9844000000000008</v>
      </c>
      <c r="I31" s="190">
        <f t="shared" ref="I31:I77" si="5">SUM(G29:G31)</f>
        <v>4.2030999999999992</v>
      </c>
      <c r="J31" s="190">
        <f t="shared" ref="J31:J77" si="6">SUM(H29:H31)</f>
        <v>5.5470000000000041</v>
      </c>
      <c r="K31" s="190">
        <f t="shared" ref="K31:K77" si="7">I31/J31*100</f>
        <v>75.772489634036347</v>
      </c>
      <c r="L31" s="132">
        <f>SUM(K29:K31)/3</f>
        <v>70.771460035607504</v>
      </c>
      <c r="M31" s="2"/>
    </row>
    <row r="32" spans="1:13">
      <c r="A32" s="27">
        <v>35681</v>
      </c>
      <c r="B32" s="55">
        <v>34.953099999999999</v>
      </c>
      <c r="C32" s="55">
        <v>34.4375</v>
      </c>
      <c r="D32" s="55">
        <v>34.828099999999999</v>
      </c>
      <c r="E32" s="55">
        <f t="shared" si="1"/>
        <v>33.25</v>
      </c>
      <c r="F32" s="55">
        <f t="shared" si="2"/>
        <v>34.953099999999999</v>
      </c>
      <c r="G32" s="55">
        <f t="shared" si="0"/>
        <v>1.5780999999999992</v>
      </c>
      <c r="H32" s="65">
        <f t="shared" si="3"/>
        <v>1.7030999999999992</v>
      </c>
      <c r="I32" s="191">
        <f t="shared" si="5"/>
        <v>4.5780999999999992</v>
      </c>
      <c r="J32" s="191">
        <f t="shared" si="6"/>
        <v>5.4688000000000017</v>
      </c>
      <c r="K32" s="191">
        <f t="shared" si="7"/>
        <v>83.713063194850747</v>
      </c>
      <c r="L32" s="159">
        <f>SUM(K30:K32)/3</f>
        <v>80.973961367420529</v>
      </c>
      <c r="M32" s="2"/>
    </row>
    <row r="33" spans="1:13">
      <c r="A33" s="27">
        <v>35682</v>
      </c>
      <c r="B33" s="55">
        <v>35.0625</v>
      </c>
      <c r="C33" s="55">
        <v>34.593800000000002</v>
      </c>
      <c r="D33" s="55">
        <v>34.875</v>
      </c>
      <c r="E33" s="55">
        <f t="shared" si="1"/>
        <v>33.9375</v>
      </c>
      <c r="F33" s="55">
        <f t="shared" si="2"/>
        <v>35.0625</v>
      </c>
      <c r="G33" s="55">
        <f t="shared" si="0"/>
        <v>0.9375</v>
      </c>
      <c r="H33" s="65">
        <f t="shared" si="3"/>
        <v>1.125</v>
      </c>
      <c r="I33" s="191">
        <f t="shared" si="5"/>
        <v>3.9061999999999983</v>
      </c>
      <c r="J33" s="191">
        <f t="shared" si="6"/>
        <v>4.8125</v>
      </c>
      <c r="K33" s="191">
        <f t="shared" si="7"/>
        <v>81.167792207792175</v>
      </c>
      <c r="L33" s="159">
        <f t="shared" ref="L33:L77" si="8">SUM(K31:K33)/3</f>
        <v>80.217781678893076</v>
      </c>
      <c r="M33" s="2"/>
    </row>
    <row r="34" spans="1:13">
      <c r="A34" s="26">
        <v>35683</v>
      </c>
      <c r="B34" s="52">
        <v>34.781199999999998</v>
      </c>
      <c r="C34" s="52">
        <v>33.765599999999999</v>
      </c>
      <c r="D34" s="52">
        <v>33.781199999999998</v>
      </c>
      <c r="E34" s="52">
        <f t="shared" si="1"/>
        <v>33.765599999999999</v>
      </c>
      <c r="F34" s="52">
        <f t="shared" si="2"/>
        <v>35.0625</v>
      </c>
      <c r="G34" s="52">
        <f t="shared" si="0"/>
        <v>1.559999999999917E-2</v>
      </c>
      <c r="H34" s="64">
        <f t="shared" si="3"/>
        <v>1.2969000000000008</v>
      </c>
      <c r="I34" s="190">
        <f t="shared" si="5"/>
        <v>2.5311999999999983</v>
      </c>
      <c r="J34" s="190">
        <f t="shared" si="6"/>
        <v>4.125</v>
      </c>
      <c r="K34" s="190">
        <f t="shared" si="7"/>
        <v>61.362424242424204</v>
      </c>
      <c r="L34" s="158">
        <f t="shared" si="8"/>
        <v>75.414426548355706</v>
      </c>
      <c r="M34" s="2"/>
    </row>
    <row r="35" spans="1:13">
      <c r="A35" s="26">
        <v>35684</v>
      </c>
      <c r="B35" s="52">
        <v>34.343800000000002</v>
      </c>
      <c r="C35" s="52">
        <v>33.218800000000002</v>
      </c>
      <c r="D35" s="52">
        <v>34.203099999999999</v>
      </c>
      <c r="E35" s="52">
        <f t="shared" si="1"/>
        <v>33.218800000000002</v>
      </c>
      <c r="F35" s="52">
        <f t="shared" si="2"/>
        <v>35.0625</v>
      </c>
      <c r="G35" s="52">
        <f t="shared" si="0"/>
        <v>0.98429999999999751</v>
      </c>
      <c r="H35" s="64">
        <f t="shared" si="3"/>
        <v>1.8436999999999983</v>
      </c>
      <c r="I35" s="190">
        <f t="shared" si="5"/>
        <v>1.9373999999999967</v>
      </c>
      <c r="J35" s="190">
        <f t="shared" si="6"/>
        <v>4.2655999999999992</v>
      </c>
      <c r="K35" s="190">
        <f t="shared" si="7"/>
        <v>45.419167291822887</v>
      </c>
      <c r="L35" s="158">
        <f t="shared" si="8"/>
        <v>62.64979458067976</v>
      </c>
      <c r="M35" s="2"/>
    </row>
    <row r="36" spans="1:13">
      <c r="A36" s="27">
        <v>35685</v>
      </c>
      <c r="B36" s="55">
        <v>34.593800000000002</v>
      </c>
      <c r="C36" s="55">
        <v>33.906199999999998</v>
      </c>
      <c r="D36" s="55">
        <v>34.484400000000001</v>
      </c>
      <c r="E36" s="55">
        <f t="shared" si="1"/>
        <v>33.218800000000002</v>
      </c>
      <c r="F36" s="55">
        <f t="shared" si="2"/>
        <v>35.0625</v>
      </c>
      <c r="G36" s="55">
        <f t="shared" si="0"/>
        <v>1.2655999999999992</v>
      </c>
      <c r="H36" s="65">
        <f t="shared" si="3"/>
        <v>1.8436999999999983</v>
      </c>
      <c r="I36" s="191">
        <f t="shared" si="5"/>
        <v>2.2654999999999959</v>
      </c>
      <c r="J36" s="191">
        <f t="shared" si="6"/>
        <v>4.9842999999999975</v>
      </c>
      <c r="K36" s="191">
        <f t="shared" si="7"/>
        <v>45.45272154565329</v>
      </c>
      <c r="L36" s="159">
        <f t="shared" si="8"/>
        <v>50.744771026633465</v>
      </c>
      <c r="M36" s="2"/>
    </row>
    <row r="37" spans="1:13">
      <c r="A37" s="27">
        <v>35688</v>
      </c>
      <c r="B37" s="55">
        <v>34.3125</v>
      </c>
      <c r="C37" s="55">
        <v>32.656199999999998</v>
      </c>
      <c r="D37" s="55">
        <v>32.671900000000001</v>
      </c>
      <c r="E37" s="55">
        <f t="shared" si="1"/>
        <v>32.656199999999998</v>
      </c>
      <c r="F37" s="55">
        <f t="shared" si="2"/>
        <v>35.0625</v>
      </c>
      <c r="G37" s="55">
        <f t="shared" si="0"/>
        <v>1.570000000000249E-2</v>
      </c>
      <c r="H37" s="65">
        <f t="shared" si="3"/>
        <v>2.4063000000000017</v>
      </c>
      <c r="I37" s="191">
        <f t="shared" si="5"/>
        <v>2.2655999999999992</v>
      </c>
      <c r="J37" s="191">
        <f t="shared" si="6"/>
        <v>6.0936999999999983</v>
      </c>
      <c r="K37" s="191">
        <f t="shared" si="7"/>
        <v>37.179381984672695</v>
      </c>
      <c r="L37" s="159">
        <f t="shared" si="8"/>
        <v>42.683756940716286</v>
      </c>
      <c r="M37" s="2"/>
    </row>
    <row r="38" spans="1:13">
      <c r="A38" s="26">
        <v>35689</v>
      </c>
      <c r="B38" s="52">
        <v>34.25</v>
      </c>
      <c r="C38" s="52">
        <v>32.75</v>
      </c>
      <c r="D38" s="52">
        <v>34.093800000000002</v>
      </c>
      <c r="E38" s="52">
        <f t="shared" si="1"/>
        <v>32.656199999999998</v>
      </c>
      <c r="F38" s="52">
        <f t="shared" si="2"/>
        <v>34.781199999999998</v>
      </c>
      <c r="G38" s="52">
        <f t="shared" si="0"/>
        <v>1.4376000000000033</v>
      </c>
      <c r="H38" s="64">
        <f t="shared" si="3"/>
        <v>2.125</v>
      </c>
      <c r="I38" s="190">
        <f t="shared" si="5"/>
        <v>2.718900000000005</v>
      </c>
      <c r="J38" s="190">
        <f t="shared" si="6"/>
        <v>6.375</v>
      </c>
      <c r="K38" s="190">
        <f t="shared" si="7"/>
        <v>42.64941176470596</v>
      </c>
      <c r="L38" s="158">
        <f t="shared" si="8"/>
        <v>41.760505098343984</v>
      </c>
      <c r="M38" s="2"/>
    </row>
    <row r="39" spans="1:13">
      <c r="A39" s="26">
        <v>35690</v>
      </c>
      <c r="B39" s="52">
        <v>34.1875</v>
      </c>
      <c r="C39" s="52">
        <v>33.156199999999998</v>
      </c>
      <c r="D39" s="52">
        <v>33.296900000000001</v>
      </c>
      <c r="E39" s="52">
        <f t="shared" si="1"/>
        <v>32.656199999999998</v>
      </c>
      <c r="F39" s="52">
        <f t="shared" si="2"/>
        <v>34.593800000000002</v>
      </c>
      <c r="G39" s="52">
        <f t="shared" si="0"/>
        <v>0.64070000000000249</v>
      </c>
      <c r="H39" s="64">
        <f t="shared" si="3"/>
        <v>1.9376000000000033</v>
      </c>
      <c r="I39" s="190">
        <f t="shared" si="5"/>
        <v>2.0940000000000083</v>
      </c>
      <c r="J39" s="190">
        <f t="shared" si="6"/>
        <v>6.468900000000005</v>
      </c>
      <c r="K39" s="190">
        <f t="shared" si="7"/>
        <v>32.370263877939166</v>
      </c>
      <c r="L39" s="158">
        <f t="shared" si="8"/>
        <v>37.399685875772612</v>
      </c>
      <c r="M39" s="2"/>
    </row>
    <row r="40" spans="1:13">
      <c r="A40" s="27">
        <v>35691</v>
      </c>
      <c r="B40" s="55">
        <v>33.781199999999998</v>
      </c>
      <c r="C40" s="55">
        <v>32.859400000000001</v>
      </c>
      <c r="D40" s="55">
        <v>33.0625</v>
      </c>
      <c r="E40" s="55">
        <f t="shared" si="1"/>
        <v>32.656199999999998</v>
      </c>
      <c r="F40" s="55">
        <f t="shared" si="2"/>
        <v>34.593800000000002</v>
      </c>
      <c r="G40" s="55">
        <f t="shared" si="0"/>
        <v>0.40630000000000166</v>
      </c>
      <c r="H40" s="65">
        <f t="shared" si="3"/>
        <v>1.9376000000000033</v>
      </c>
      <c r="I40" s="191">
        <f t="shared" si="5"/>
        <v>2.4846000000000075</v>
      </c>
      <c r="J40" s="191">
        <f t="shared" si="6"/>
        <v>6.0002000000000066</v>
      </c>
      <c r="K40" s="191">
        <f t="shared" si="7"/>
        <v>41.40861971267632</v>
      </c>
      <c r="L40" s="159">
        <f t="shared" si="8"/>
        <v>38.809431785107144</v>
      </c>
      <c r="M40" s="2"/>
    </row>
    <row r="41" spans="1:13">
      <c r="A41" s="27">
        <v>35692</v>
      </c>
      <c r="B41" s="55">
        <v>33.8125</v>
      </c>
      <c r="C41" s="55">
        <v>33</v>
      </c>
      <c r="D41" s="55">
        <v>33.796900000000001</v>
      </c>
      <c r="E41" s="55">
        <f t="shared" si="1"/>
        <v>32.656199999999998</v>
      </c>
      <c r="F41" s="55">
        <f t="shared" si="2"/>
        <v>34.3125</v>
      </c>
      <c r="G41" s="55">
        <f t="shared" si="0"/>
        <v>1.1407000000000025</v>
      </c>
      <c r="H41" s="65">
        <f t="shared" si="3"/>
        <v>1.6563000000000017</v>
      </c>
      <c r="I41" s="191">
        <f t="shared" si="5"/>
        <v>2.1877000000000066</v>
      </c>
      <c r="J41" s="191">
        <f t="shared" si="6"/>
        <v>5.5315000000000083</v>
      </c>
      <c r="K41" s="191">
        <f t="shared" si="7"/>
        <v>39.549850854198745</v>
      </c>
      <c r="L41" s="159">
        <f t="shared" si="8"/>
        <v>37.776244814938082</v>
      </c>
      <c r="M41" s="2"/>
    </row>
    <row r="42" spans="1:13">
      <c r="A42" s="26">
        <v>35695</v>
      </c>
      <c r="B42" s="52">
        <v>33.968800000000002</v>
      </c>
      <c r="C42" s="52">
        <v>33.296900000000001</v>
      </c>
      <c r="D42" s="52">
        <v>33.328099999999999</v>
      </c>
      <c r="E42" s="52">
        <f t="shared" si="1"/>
        <v>32.75</v>
      </c>
      <c r="F42" s="52">
        <f t="shared" si="2"/>
        <v>34.25</v>
      </c>
      <c r="G42" s="52">
        <f t="shared" si="0"/>
        <v>0.57809999999999917</v>
      </c>
      <c r="H42" s="64">
        <f t="shared" si="3"/>
        <v>1.5</v>
      </c>
      <c r="I42" s="190">
        <f t="shared" si="5"/>
        <v>2.1251000000000033</v>
      </c>
      <c r="J42" s="190">
        <f t="shared" si="6"/>
        <v>5.093900000000005</v>
      </c>
      <c r="K42" s="190">
        <f t="shared" si="7"/>
        <v>41.718526080213614</v>
      </c>
      <c r="L42" s="158">
        <f t="shared" si="8"/>
        <v>40.892332215696229</v>
      </c>
      <c r="M42" s="2"/>
    </row>
    <row r="43" spans="1:13">
      <c r="A43" s="26">
        <v>35696</v>
      </c>
      <c r="B43" s="52">
        <v>33.875</v>
      </c>
      <c r="C43" s="52">
        <v>33.281199999999998</v>
      </c>
      <c r="D43" s="52">
        <v>33.875</v>
      </c>
      <c r="E43" s="52">
        <f t="shared" si="1"/>
        <v>32.859400000000001</v>
      </c>
      <c r="F43" s="52">
        <f t="shared" si="2"/>
        <v>34.1875</v>
      </c>
      <c r="G43" s="52">
        <f t="shared" si="0"/>
        <v>1.0155999999999992</v>
      </c>
      <c r="H43" s="64">
        <f t="shared" si="3"/>
        <v>1.3280999999999992</v>
      </c>
      <c r="I43" s="190">
        <f t="shared" si="5"/>
        <v>2.7344000000000008</v>
      </c>
      <c r="J43" s="190">
        <f t="shared" si="6"/>
        <v>4.4844000000000008</v>
      </c>
      <c r="K43" s="190">
        <f t="shared" si="7"/>
        <v>60.975827312460986</v>
      </c>
      <c r="L43" s="158">
        <f t="shared" si="8"/>
        <v>47.414734748957784</v>
      </c>
      <c r="M43" s="2"/>
    </row>
    <row r="44" spans="1:13">
      <c r="A44" s="27">
        <v>35697</v>
      </c>
      <c r="B44" s="55">
        <v>34.015599999999999</v>
      </c>
      <c r="C44" s="55">
        <v>33.031199999999998</v>
      </c>
      <c r="D44" s="55">
        <v>33.109400000000001</v>
      </c>
      <c r="E44" s="55">
        <f t="shared" si="1"/>
        <v>32.859400000000001</v>
      </c>
      <c r="F44" s="55">
        <f t="shared" si="2"/>
        <v>34.015599999999999</v>
      </c>
      <c r="G44" s="55">
        <f t="shared" si="0"/>
        <v>0.25</v>
      </c>
      <c r="H44" s="65">
        <f t="shared" si="3"/>
        <v>1.1561999999999983</v>
      </c>
      <c r="I44" s="191">
        <f t="shared" si="5"/>
        <v>1.8436999999999983</v>
      </c>
      <c r="J44" s="191">
        <f t="shared" si="6"/>
        <v>3.9842999999999975</v>
      </c>
      <c r="K44" s="191">
        <f t="shared" si="7"/>
        <v>46.274125944331487</v>
      </c>
      <c r="L44" s="159">
        <f t="shared" si="8"/>
        <v>49.656159779002031</v>
      </c>
      <c r="M44" s="2"/>
    </row>
    <row r="45" spans="1:13">
      <c r="A45" s="27">
        <v>35698</v>
      </c>
      <c r="B45" s="55">
        <v>33.531199999999998</v>
      </c>
      <c r="C45" s="55">
        <v>33.015599999999999</v>
      </c>
      <c r="D45" s="55">
        <v>33.1875</v>
      </c>
      <c r="E45" s="55">
        <f t="shared" si="1"/>
        <v>33</v>
      </c>
      <c r="F45" s="55">
        <f t="shared" si="2"/>
        <v>34.015599999999999</v>
      </c>
      <c r="G45" s="55">
        <f t="shared" si="0"/>
        <v>0.1875</v>
      </c>
      <c r="H45" s="65">
        <f t="shared" si="3"/>
        <v>1.0155999999999992</v>
      </c>
      <c r="I45" s="191">
        <f t="shared" si="5"/>
        <v>1.4530999999999992</v>
      </c>
      <c r="J45" s="191">
        <f t="shared" si="6"/>
        <v>3.4998999999999967</v>
      </c>
      <c r="K45" s="191">
        <f t="shared" si="7"/>
        <v>41.518329095117018</v>
      </c>
      <c r="L45" s="159">
        <f t="shared" si="8"/>
        <v>49.589427450636499</v>
      </c>
      <c r="M45" s="2"/>
    </row>
    <row r="46" spans="1:13">
      <c r="A46" s="26">
        <v>35699</v>
      </c>
      <c r="B46" s="52">
        <v>33.4375</v>
      </c>
      <c r="C46" s="52">
        <v>32.906199999999998</v>
      </c>
      <c r="D46" s="52">
        <v>33.343800000000002</v>
      </c>
      <c r="E46" s="52">
        <f t="shared" si="1"/>
        <v>32.906199999999998</v>
      </c>
      <c r="F46" s="52">
        <f t="shared" si="2"/>
        <v>34.015599999999999</v>
      </c>
      <c r="G46" s="52">
        <f t="shared" si="0"/>
        <v>0.43760000000000332</v>
      </c>
      <c r="H46" s="64">
        <f t="shared" si="3"/>
        <v>1.1094000000000008</v>
      </c>
      <c r="I46" s="190">
        <f t="shared" si="5"/>
        <v>0.87510000000000332</v>
      </c>
      <c r="J46" s="190">
        <f t="shared" si="6"/>
        <v>3.2811999999999983</v>
      </c>
      <c r="K46" s="190">
        <f t="shared" si="7"/>
        <v>26.67012068755345</v>
      </c>
      <c r="L46" s="158">
        <f t="shared" si="8"/>
        <v>38.154191909000652</v>
      </c>
      <c r="M46" s="2"/>
    </row>
    <row r="47" spans="1:13">
      <c r="A47" s="26">
        <v>35702</v>
      </c>
      <c r="B47" s="52">
        <v>33.6875</v>
      </c>
      <c r="C47" s="52">
        <v>33.218800000000002</v>
      </c>
      <c r="D47" s="52">
        <v>33.625</v>
      </c>
      <c r="E47" s="52">
        <f t="shared" si="1"/>
        <v>32.906199999999998</v>
      </c>
      <c r="F47" s="52">
        <f t="shared" si="2"/>
        <v>34.015599999999999</v>
      </c>
      <c r="G47" s="52">
        <f t="shared" si="0"/>
        <v>0.71880000000000166</v>
      </c>
      <c r="H47" s="64">
        <f t="shared" si="3"/>
        <v>1.1094000000000008</v>
      </c>
      <c r="I47" s="190">
        <f t="shared" si="5"/>
        <v>1.343900000000005</v>
      </c>
      <c r="J47" s="190">
        <f t="shared" si="6"/>
        <v>3.2344000000000008</v>
      </c>
      <c r="K47" s="190">
        <f t="shared" si="7"/>
        <v>41.550210239920993</v>
      </c>
      <c r="L47" s="158">
        <f t="shared" si="8"/>
        <v>36.579553340863818</v>
      </c>
      <c r="M47" s="2"/>
    </row>
    <row r="48" spans="1:13">
      <c r="A48" s="27">
        <v>35703</v>
      </c>
      <c r="B48" s="55">
        <v>33.9375</v>
      </c>
      <c r="C48" s="55">
        <v>33.0625</v>
      </c>
      <c r="D48" s="55">
        <v>33.078099999999999</v>
      </c>
      <c r="E48" s="55">
        <f t="shared" si="1"/>
        <v>32.906199999999998</v>
      </c>
      <c r="F48" s="55">
        <f t="shared" si="2"/>
        <v>34.015599999999999</v>
      </c>
      <c r="G48" s="55">
        <f t="shared" si="0"/>
        <v>0.17190000000000083</v>
      </c>
      <c r="H48" s="65">
        <f t="shared" si="3"/>
        <v>1.1094000000000008</v>
      </c>
      <c r="I48" s="191">
        <f t="shared" si="5"/>
        <v>1.3283000000000058</v>
      </c>
      <c r="J48" s="191">
        <f t="shared" si="6"/>
        <v>3.3282000000000025</v>
      </c>
      <c r="K48" s="191">
        <f t="shared" si="7"/>
        <v>39.910462111652087</v>
      </c>
      <c r="L48" s="159">
        <f t="shared" si="8"/>
        <v>36.043597679708846</v>
      </c>
      <c r="M48" s="2"/>
    </row>
    <row r="49" spans="1:13">
      <c r="A49" s="27">
        <v>35704</v>
      </c>
      <c r="B49" s="55">
        <v>33.625</v>
      </c>
      <c r="C49" s="55">
        <v>32.843800000000002</v>
      </c>
      <c r="D49" s="55">
        <v>33.468800000000002</v>
      </c>
      <c r="E49" s="55">
        <f t="shared" si="1"/>
        <v>32.843800000000002</v>
      </c>
      <c r="F49" s="55">
        <f t="shared" si="2"/>
        <v>33.9375</v>
      </c>
      <c r="G49" s="55">
        <f t="shared" si="0"/>
        <v>0.625</v>
      </c>
      <c r="H49" s="65">
        <f t="shared" si="3"/>
        <v>1.0936999999999983</v>
      </c>
      <c r="I49" s="191">
        <f t="shared" si="5"/>
        <v>1.5157000000000025</v>
      </c>
      <c r="J49" s="191">
        <f t="shared" si="6"/>
        <v>3.3125</v>
      </c>
      <c r="K49" s="191">
        <f t="shared" si="7"/>
        <v>45.756981132075545</v>
      </c>
      <c r="L49" s="159">
        <f t="shared" si="8"/>
        <v>42.405884494549547</v>
      </c>
      <c r="M49" s="2"/>
    </row>
    <row r="50" spans="1:13">
      <c r="A50" s="26">
        <v>35705</v>
      </c>
      <c r="B50" s="52">
        <v>33.656199999999998</v>
      </c>
      <c r="C50" s="52">
        <v>33.1875</v>
      </c>
      <c r="D50" s="52">
        <v>33.296900000000001</v>
      </c>
      <c r="E50" s="52">
        <f t="shared" si="1"/>
        <v>32.843800000000002</v>
      </c>
      <c r="F50" s="52">
        <f t="shared" si="2"/>
        <v>33.9375</v>
      </c>
      <c r="G50" s="52">
        <f t="shared" si="0"/>
        <v>0.45309999999999917</v>
      </c>
      <c r="H50" s="64">
        <f t="shared" si="3"/>
        <v>1.0936999999999983</v>
      </c>
      <c r="I50" s="190">
        <f t="shared" si="5"/>
        <v>1.25</v>
      </c>
      <c r="J50" s="190">
        <f t="shared" si="6"/>
        <v>3.2967999999999975</v>
      </c>
      <c r="K50" s="190">
        <f t="shared" si="7"/>
        <v>37.915554477068703</v>
      </c>
      <c r="L50" s="158">
        <f t="shared" si="8"/>
        <v>41.194332573598778</v>
      </c>
      <c r="M50" s="2"/>
    </row>
    <row r="51" spans="1:13">
      <c r="A51" s="26">
        <v>35706</v>
      </c>
      <c r="B51" s="52">
        <v>34.0625</v>
      </c>
      <c r="C51" s="52">
        <v>33.343800000000002</v>
      </c>
      <c r="D51" s="52">
        <v>33.734400000000001</v>
      </c>
      <c r="E51" s="52">
        <f t="shared" si="1"/>
        <v>32.843800000000002</v>
      </c>
      <c r="F51" s="52">
        <f t="shared" si="2"/>
        <v>34.0625</v>
      </c>
      <c r="G51" s="52">
        <f t="shared" si="0"/>
        <v>0.89059999999999917</v>
      </c>
      <c r="H51" s="64">
        <f t="shared" si="3"/>
        <v>1.2186999999999983</v>
      </c>
      <c r="I51" s="190">
        <f t="shared" si="5"/>
        <v>1.9686999999999983</v>
      </c>
      <c r="J51" s="190">
        <f t="shared" si="6"/>
        <v>3.406099999999995</v>
      </c>
      <c r="K51" s="190">
        <f t="shared" si="7"/>
        <v>57.799242535451135</v>
      </c>
      <c r="L51" s="158">
        <f t="shared" si="8"/>
        <v>47.157259381531794</v>
      </c>
      <c r="M51" s="2"/>
    </row>
    <row r="52" spans="1:13">
      <c r="A52" s="27">
        <v>35709</v>
      </c>
      <c r="B52" s="55">
        <v>34.0625</v>
      </c>
      <c r="C52" s="55">
        <v>33.5625</v>
      </c>
      <c r="D52" s="55">
        <v>33.781199999999998</v>
      </c>
      <c r="E52" s="55">
        <f t="shared" si="1"/>
        <v>32.843800000000002</v>
      </c>
      <c r="F52" s="55">
        <f t="shared" si="2"/>
        <v>34.0625</v>
      </c>
      <c r="G52" s="55">
        <f t="shared" si="0"/>
        <v>0.93739999999999668</v>
      </c>
      <c r="H52" s="65">
        <f t="shared" si="3"/>
        <v>1.2186999999999983</v>
      </c>
      <c r="I52" s="191">
        <f t="shared" si="5"/>
        <v>2.281099999999995</v>
      </c>
      <c r="J52" s="191">
        <f t="shared" si="6"/>
        <v>3.531099999999995</v>
      </c>
      <c r="K52" s="191">
        <f t="shared" si="7"/>
        <v>64.600266205998082</v>
      </c>
      <c r="L52" s="159">
        <f t="shared" si="8"/>
        <v>53.438354406172643</v>
      </c>
      <c r="M52" s="2"/>
    </row>
    <row r="53" spans="1:13">
      <c r="A53" s="27">
        <v>35710</v>
      </c>
      <c r="B53" s="55">
        <v>34.421900000000001</v>
      </c>
      <c r="C53" s="55">
        <v>33.656199999999998</v>
      </c>
      <c r="D53" s="55">
        <v>34.140599999999999</v>
      </c>
      <c r="E53" s="55">
        <f t="shared" si="1"/>
        <v>32.843800000000002</v>
      </c>
      <c r="F53" s="55">
        <f t="shared" si="2"/>
        <v>34.421900000000001</v>
      </c>
      <c r="G53" s="55">
        <f t="shared" si="0"/>
        <v>1.2967999999999975</v>
      </c>
      <c r="H53" s="65">
        <f t="shared" si="3"/>
        <v>1.5780999999999992</v>
      </c>
      <c r="I53" s="191">
        <f t="shared" si="5"/>
        <v>3.1247999999999934</v>
      </c>
      <c r="J53" s="191">
        <f t="shared" si="6"/>
        <v>4.0154999999999959</v>
      </c>
      <c r="K53" s="191">
        <f t="shared" si="7"/>
        <v>77.818453492715648</v>
      </c>
      <c r="L53" s="159">
        <f t="shared" si="8"/>
        <v>66.739320744721624</v>
      </c>
      <c r="M53" s="2"/>
    </row>
    <row r="54" spans="1:13">
      <c r="A54" s="26">
        <v>35711</v>
      </c>
      <c r="B54" s="52">
        <v>34.765599999999999</v>
      </c>
      <c r="C54" s="52">
        <v>34.0625</v>
      </c>
      <c r="D54" s="52">
        <v>34.75</v>
      </c>
      <c r="E54" s="52">
        <f t="shared" si="1"/>
        <v>33.1875</v>
      </c>
      <c r="F54" s="52">
        <f t="shared" si="2"/>
        <v>34.765599999999999</v>
      </c>
      <c r="G54" s="52">
        <f t="shared" si="0"/>
        <v>1.5625</v>
      </c>
      <c r="H54" s="64">
        <f t="shared" si="3"/>
        <v>1.5780999999999992</v>
      </c>
      <c r="I54" s="190">
        <f t="shared" si="5"/>
        <v>3.7966999999999942</v>
      </c>
      <c r="J54" s="190">
        <f t="shared" si="6"/>
        <v>4.3748999999999967</v>
      </c>
      <c r="K54" s="190">
        <f t="shared" si="7"/>
        <v>86.783697913095097</v>
      </c>
      <c r="L54" s="158">
        <f t="shared" si="8"/>
        <v>76.400805870602952</v>
      </c>
      <c r="M54" s="2"/>
    </row>
    <row r="55" spans="1:13">
      <c r="A55" s="26">
        <v>35712</v>
      </c>
      <c r="B55" s="52">
        <v>34.906199999999998</v>
      </c>
      <c r="C55" s="52">
        <v>34.531199999999998</v>
      </c>
      <c r="D55" s="52">
        <v>34.734400000000001</v>
      </c>
      <c r="E55" s="52">
        <f t="shared" si="1"/>
        <v>33.343800000000002</v>
      </c>
      <c r="F55" s="52">
        <f t="shared" si="2"/>
        <v>34.906199999999998</v>
      </c>
      <c r="G55" s="52">
        <f t="shared" si="0"/>
        <v>1.3905999999999992</v>
      </c>
      <c r="H55" s="64">
        <f t="shared" si="3"/>
        <v>1.5623999999999967</v>
      </c>
      <c r="I55" s="190">
        <f t="shared" si="5"/>
        <v>4.2498999999999967</v>
      </c>
      <c r="J55" s="190">
        <f t="shared" si="6"/>
        <v>4.718599999999995</v>
      </c>
      <c r="K55" s="190">
        <f t="shared" si="7"/>
        <v>90.066969016233656</v>
      </c>
      <c r="L55" s="158">
        <f t="shared" si="8"/>
        <v>84.889706807348134</v>
      </c>
      <c r="M55" s="2"/>
    </row>
    <row r="56" spans="1:13">
      <c r="A56" s="27">
        <v>35713</v>
      </c>
      <c r="B56" s="55">
        <v>34.6875</v>
      </c>
      <c r="C56" s="55">
        <v>34.0625</v>
      </c>
      <c r="D56" s="55">
        <v>34.125</v>
      </c>
      <c r="E56" s="55">
        <f t="shared" si="1"/>
        <v>33.5625</v>
      </c>
      <c r="F56" s="55">
        <f t="shared" si="2"/>
        <v>34.906199999999998</v>
      </c>
      <c r="G56" s="55">
        <f t="shared" si="0"/>
        <v>0.5625</v>
      </c>
      <c r="H56" s="65">
        <f t="shared" si="3"/>
        <v>1.3436999999999983</v>
      </c>
      <c r="I56" s="191">
        <f t="shared" si="5"/>
        <v>3.5155999999999992</v>
      </c>
      <c r="J56" s="191">
        <f t="shared" si="6"/>
        <v>4.4841999999999942</v>
      </c>
      <c r="K56" s="191">
        <f t="shared" si="7"/>
        <v>78.399714553320635</v>
      </c>
      <c r="L56" s="159">
        <f t="shared" si="8"/>
        <v>85.083460494216467</v>
      </c>
      <c r="M56" s="2"/>
    </row>
    <row r="57" spans="1:13">
      <c r="A57" s="27">
        <v>35716</v>
      </c>
      <c r="B57" s="55">
        <v>34.468800000000002</v>
      </c>
      <c r="C57" s="55">
        <v>34.140599999999999</v>
      </c>
      <c r="D57" s="55">
        <v>34.1875</v>
      </c>
      <c r="E57" s="55">
        <f t="shared" si="1"/>
        <v>33.656199999999998</v>
      </c>
      <c r="F57" s="55">
        <f t="shared" si="2"/>
        <v>34.906199999999998</v>
      </c>
      <c r="G57" s="55">
        <f t="shared" si="0"/>
        <v>0.53130000000000166</v>
      </c>
      <c r="H57" s="65">
        <f t="shared" si="3"/>
        <v>1.25</v>
      </c>
      <c r="I57" s="191">
        <f t="shared" si="5"/>
        <v>2.4844000000000008</v>
      </c>
      <c r="J57" s="191">
        <f t="shared" si="6"/>
        <v>4.156099999999995</v>
      </c>
      <c r="K57" s="191">
        <f t="shared" si="7"/>
        <v>59.777194966434962</v>
      </c>
      <c r="L57" s="159">
        <f t="shared" si="8"/>
        <v>76.081292845329742</v>
      </c>
      <c r="M57" s="2"/>
    </row>
    <row r="58" spans="1:13">
      <c r="A58" s="26">
        <v>35717</v>
      </c>
      <c r="B58" s="52">
        <v>34.343800000000002</v>
      </c>
      <c r="C58" s="52">
        <v>33.843800000000002</v>
      </c>
      <c r="D58" s="52">
        <v>34.171900000000001</v>
      </c>
      <c r="E58" s="52">
        <f t="shared" si="1"/>
        <v>33.843800000000002</v>
      </c>
      <c r="F58" s="52">
        <f t="shared" si="2"/>
        <v>34.906199999999998</v>
      </c>
      <c r="G58" s="52">
        <f t="shared" ref="G58:G77" si="9">D58-E58</f>
        <v>0.32809999999999917</v>
      </c>
      <c r="H58" s="64">
        <f t="shared" si="3"/>
        <v>1.0623999999999967</v>
      </c>
      <c r="I58" s="190">
        <f t="shared" si="5"/>
        <v>1.4219000000000008</v>
      </c>
      <c r="J58" s="190">
        <f t="shared" si="6"/>
        <v>3.656099999999995</v>
      </c>
      <c r="K58" s="190">
        <f t="shared" si="7"/>
        <v>38.891168184677738</v>
      </c>
      <c r="L58" s="158">
        <f t="shared" si="8"/>
        <v>59.022692568144443</v>
      </c>
      <c r="M58" s="2"/>
    </row>
    <row r="59" spans="1:13">
      <c r="A59" s="26">
        <v>35718</v>
      </c>
      <c r="B59" s="52">
        <v>34</v>
      </c>
      <c r="C59" s="52">
        <v>33.718800000000002</v>
      </c>
      <c r="D59" s="52">
        <v>33.9375</v>
      </c>
      <c r="E59" s="52">
        <f t="shared" si="1"/>
        <v>33.718800000000002</v>
      </c>
      <c r="F59" s="52">
        <f t="shared" si="2"/>
        <v>34.906199999999998</v>
      </c>
      <c r="G59" s="52">
        <f t="shared" si="9"/>
        <v>0.21869999999999834</v>
      </c>
      <c r="H59" s="64">
        <f t="shared" si="3"/>
        <v>1.1873999999999967</v>
      </c>
      <c r="I59" s="190">
        <f t="shared" si="5"/>
        <v>1.0780999999999992</v>
      </c>
      <c r="J59" s="190">
        <f t="shared" si="6"/>
        <v>3.4997999999999934</v>
      </c>
      <c r="K59" s="190">
        <f t="shared" si="7"/>
        <v>30.804617406708989</v>
      </c>
      <c r="L59" s="158">
        <f t="shared" si="8"/>
        <v>43.157660185940564</v>
      </c>
      <c r="M59" s="2"/>
    </row>
    <row r="60" spans="1:13">
      <c r="A60" s="27">
        <v>35719</v>
      </c>
      <c r="B60" s="55">
        <v>34.156199999999998</v>
      </c>
      <c r="C60" s="55">
        <v>33.0625</v>
      </c>
      <c r="D60" s="55">
        <v>33.476599999999998</v>
      </c>
      <c r="E60" s="55">
        <f t="shared" si="1"/>
        <v>33.0625</v>
      </c>
      <c r="F60" s="55">
        <f t="shared" si="2"/>
        <v>34.6875</v>
      </c>
      <c r="G60" s="55">
        <f t="shared" si="9"/>
        <v>0.41409999999999769</v>
      </c>
      <c r="H60" s="65">
        <f t="shared" si="3"/>
        <v>1.625</v>
      </c>
      <c r="I60" s="191">
        <f t="shared" si="5"/>
        <v>0.9608999999999952</v>
      </c>
      <c r="J60" s="191">
        <f t="shared" si="6"/>
        <v>3.8747999999999934</v>
      </c>
      <c r="K60" s="191">
        <f t="shared" si="7"/>
        <v>24.798699287705091</v>
      </c>
      <c r="L60" s="159">
        <f t="shared" si="8"/>
        <v>31.498161626363938</v>
      </c>
      <c r="M60" s="2"/>
    </row>
    <row r="61" spans="1:13">
      <c r="A61" s="27">
        <v>35720</v>
      </c>
      <c r="B61" s="55">
        <v>33.656199999999998</v>
      </c>
      <c r="C61" s="55">
        <v>32.593800000000002</v>
      </c>
      <c r="D61" s="55">
        <v>33.0625</v>
      </c>
      <c r="E61" s="55">
        <f t="shared" si="1"/>
        <v>32.593800000000002</v>
      </c>
      <c r="F61" s="55">
        <f t="shared" si="2"/>
        <v>34.468800000000002</v>
      </c>
      <c r="G61" s="55">
        <f t="shared" si="9"/>
        <v>0.46869999999999834</v>
      </c>
      <c r="H61" s="65">
        <f t="shared" si="3"/>
        <v>1.875</v>
      </c>
      <c r="I61" s="191">
        <f t="shared" si="5"/>
        <v>1.1014999999999944</v>
      </c>
      <c r="J61" s="191">
        <f t="shared" si="6"/>
        <v>4.6873999999999967</v>
      </c>
      <c r="K61" s="191">
        <f t="shared" si="7"/>
        <v>23.499167982250185</v>
      </c>
      <c r="L61" s="159">
        <f t="shared" si="8"/>
        <v>26.367494892221419</v>
      </c>
      <c r="M61" s="2"/>
    </row>
    <row r="62" spans="1:13">
      <c r="A62" s="26">
        <v>35723</v>
      </c>
      <c r="B62" s="52">
        <v>33.8125</v>
      </c>
      <c r="C62" s="52">
        <v>31.875</v>
      </c>
      <c r="D62" s="52">
        <v>33.156199999999998</v>
      </c>
      <c r="E62" s="52">
        <f t="shared" si="1"/>
        <v>31.875</v>
      </c>
      <c r="F62" s="52">
        <f t="shared" si="2"/>
        <v>34.343800000000002</v>
      </c>
      <c r="G62" s="52">
        <f t="shared" si="9"/>
        <v>1.2811999999999983</v>
      </c>
      <c r="H62" s="64">
        <f t="shared" si="3"/>
        <v>2.4688000000000017</v>
      </c>
      <c r="I62" s="190">
        <f t="shared" si="5"/>
        <v>2.1639999999999944</v>
      </c>
      <c r="J62" s="190">
        <f t="shared" si="6"/>
        <v>5.9688000000000017</v>
      </c>
      <c r="K62" s="190">
        <f t="shared" si="7"/>
        <v>36.255193673770172</v>
      </c>
      <c r="L62" s="158">
        <f t="shared" si="8"/>
        <v>28.184353647908484</v>
      </c>
      <c r="M62" s="2"/>
    </row>
    <row r="63" spans="1:13">
      <c r="A63" s="26">
        <v>35724</v>
      </c>
      <c r="B63" s="52">
        <v>34.808599999999998</v>
      </c>
      <c r="C63" s="52">
        <v>33.828099999999999</v>
      </c>
      <c r="D63" s="52">
        <v>34.625</v>
      </c>
      <c r="E63" s="52">
        <f t="shared" si="1"/>
        <v>31.875</v>
      </c>
      <c r="F63" s="52">
        <f t="shared" si="2"/>
        <v>34.808599999999998</v>
      </c>
      <c r="G63" s="52">
        <f t="shared" si="9"/>
        <v>2.75</v>
      </c>
      <c r="H63" s="64">
        <f t="shared" si="3"/>
        <v>2.9335999999999984</v>
      </c>
      <c r="I63" s="190">
        <f t="shared" si="5"/>
        <v>4.4998999999999967</v>
      </c>
      <c r="J63" s="190">
        <f t="shared" si="6"/>
        <v>7.2774000000000001</v>
      </c>
      <c r="K63" s="190">
        <f t="shared" si="7"/>
        <v>61.833896721356481</v>
      </c>
      <c r="L63" s="158">
        <f t="shared" si="8"/>
        <v>40.529419459125613</v>
      </c>
      <c r="M63" s="2"/>
    </row>
    <row r="64" spans="1:13">
      <c r="A64" s="27">
        <v>35725</v>
      </c>
      <c r="B64" s="55">
        <v>34.625</v>
      </c>
      <c r="C64" s="55">
        <v>33.843800000000002</v>
      </c>
      <c r="D64" s="55">
        <v>33.921900000000001</v>
      </c>
      <c r="E64" s="55">
        <f t="shared" si="1"/>
        <v>31.875</v>
      </c>
      <c r="F64" s="55">
        <f t="shared" si="2"/>
        <v>34.808599999999998</v>
      </c>
      <c r="G64" s="55">
        <f t="shared" si="9"/>
        <v>2.0469000000000008</v>
      </c>
      <c r="H64" s="65">
        <f t="shared" si="3"/>
        <v>2.9335999999999984</v>
      </c>
      <c r="I64" s="191">
        <f t="shared" si="5"/>
        <v>6.0780999999999992</v>
      </c>
      <c r="J64" s="191">
        <f t="shared" si="6"/>
        <v>8.3359999999999985</v>
      </c>
      <c r="K64" s="191">
        <f t="shared" si="7"/>
        <v>72.913867562380048</v>
      </c>
      <c r="L64" s="159">
        <f t="shared" si="8"/>
        <v>57.000985985835563</v>
      </c>
      <c r="M64" s="2"/>
    </row>
    <row r="65" spans="1:13">
      <c r="A65" s="27">
        <v>35726</v>
      </c>
      <c r="B65" s="55">
        <v>34.3125</v>
      </c>
      <c r="C65" s="55">
        <v>33</v>
      </c>
      <c r="D65" s="55">
        <v>33.906199999999998</v>
      </c>
      <c r="E65" s="55">
        <f t="shared" si="1"/>
        <v>31.875</v>
      </c>
      <c r="F65" s="55">
        <f t="shared" si="2"/>
        <v>34.808599999999998</v>
      </c>
      <c r="G65" s="55">
        <f t="shared" si="9"/>
        <v>2.0311999999999983</v>
      </c>
      <c r="H65" s="65">
        <f t="shared" si="3"/>
        <v>2.9335999999999984</v>
      </c>
      <c r="I65" s="191">
        <f t="shared" si="5"/>
        <v>6.8280999999999992</v>
      </c>
      <c r="J65" s="191">
        <f t="shared" si="6"/>
        <v>8.8007999999999953</v>
      </c>
      <c r="K65" s="191">
        <f t="shared" si="7"/>
        <v>77.584992273429719</v>
      </c>
      <c r="L65" s="159">
        <f t="shared" si="8"/>
        <v>70.777585519055421</v>
      </c>
      <c r="M65" s="2"/>
    </row>
    <row r="66" spans="1:13">
      <c r="A66" s="26">
        <v>35727</v>
      </c>
      <c r="B66" s="52">
        <v>34.3125</v>
      </c>
      <c r="C66" s="52">
        <v>33.3125</v>
      </c>
      <c r="D66" s="52">
        <v>33.843800000000002</v>
      </c>
      <c r="E66" s="52">
        <f t="shared" si="1"/>
        <v>31.875</v>
      </c>
      <c r="F66" s="52">
        <f t="shared" si="2"/>
        <v>34.808599999999998</v>
      </c>
      <c r="G66" s="52">
        <f t="shared" si="9"/>
        <v>1.9688000000000017</v>
      </c>
      <c r="H66" s="64">
        <f t="shared" si="3"/>
        <v>2.9335999999999984</v>
      </c>
      <c r="I66" s="190">
        <f t="shared" si="5"/>
        <v>6.0469000000000008</v>
      </c>
      <c r="J66" s="190">
        <f t="shared" si="6"/>
        <v>8.8007999999999953</v>
      </c>
      <c r="K66" s="190">
        <f t="shared" si="7"/>
        <v>68.708526497591166</v>
      </c>
      <c r="L66" s="158">
        <f t="shared" si="8"/>
        <v>73.069128777800302</v>
      </c>
      <c r="M66" s="2"/>
    </row>
    <row r="67" spans="1:13">
      <c r="A67" s="26">
        <v>35730</v>
      </c>
      <c r="B67" s="52">
        <v>34.0625</v>
      </c>
      <c r="C67" s="52">
        <v>32.156199999999998</v>
      </c>
      <c r="D67" s="52">
        <v>32.1875</v>
      </c>
      <c r="E67" s="52">
        <f t="shared" si="1"/>
        <v>32.156199999999998</v>
      </c>
      <c r="F67" s="52">
        <f t="shared" si="2"/>
        <v>34.808599999999998</v>
      </c>
      <c r="G67" s="52">
        <f t="shared" si="9"/>
        <v>3.130000000000166E-2</v>
      </c>
      <c r="H67" s="64">
        <f t="shared" si="3"/>
        <v>2.6524000000000001</v>
      </c>
      <c r="I67" s="190">
        <f t="shared" si="5"/>
        <v>4.0313000000000017</v>
      </c>
      <c r="J67" s="190">
        <f t="shared" si="6"/>
        <v>8.519599999999997</v>
      </c>
      <c r="K67" s="190">
        <f t="shared" si="7"/>
        <v>47.317949199492972</v>
      </c>
      <c r="L67" s="158">
        <f t="shared" si="8"/>
        <v>64.537155990171286</v>
      </c>
      <c r="M67" s="2"/>
    </row>
    <row r="68" spans="1:13">
      <c r="A68" s="27">
        <v>35731</v>
      </c>
      <c r="B68" s="55">
        <v>33.75</v>
      </c>
      <c r="C68" s="55">
        <v>30.875</v>
      </c>
      <c r="D68" s="55">
        <v>33.343800000000002</v>
      </c>
      <c r="E68" s="55">
        <f t="shared" si="1"/>
        <v>30.875</v>
      </c>
      <c r="F68" s="55">
        <f t="shared" si="2"/>
        <v>34.625</v>
      </c>
      <c r="G68" s="55">
        <f t="shared" si="9"/>
        <v>2.4688000000000017</v>
      </c>
      <c r="H68" s="65">
        <f t="shared" si="3"/>
        <v>3.75</v>
      </c>
      <c r="I68" s="191">
        <f t="shared" si="5"/>
        <v>4.468900000000005</v>
      </c>
      <c r="J68" s="191">
        <f t="shared" si="6"/>
        <v>9.3359999999999985</v>
      </c>
      <c r="K68" s="191">
        <f t="shared" si="7"/>
        <v>47.867395029991492</v>
      </c>
      <c r="L68" s="159">
        <f t="shared" si="8"/>
        <v>54.631290242358546</v>
      </c>
      <c r="M68" s="2"/>
    </row>
    <row r="69" spans="1:13">
      <c r="A69" s="27">
        <v>35732</v>
      </c>
      <c r="B69" s="55">
        <v>33.765599999999999</v>
      </c>
      <c r="C69" s="55">
        <v>32.531199999999998</v>
      </c>
      <c r="D69" s="55">
        <v>32.781199999999998</v>
      </c>
      <c r="E69" s="55">
        <f t="shared" si="1"/>
        <v>30.875</v>
      </c>
      <c r="F69" s="55">
        <f t="shared" si="2"/>
        <v>34.3125</v>
      </c>
      <c r="G69" s="55">
        <f t="shared" si="9"/>
        <v>1.9061999999999983</v>
      </c>
      <c r="H69" s="65">
        <f t="shared" si="3"/>
        <v>3.4375</v>
      </c>
      <c r="I69" s="191">
        <f t="shared" si="5"/>
        <v>4.4063000000000017</v>
      </c>
      <c r="J69" s="191">
        <f t="shared" si="6"/>
        <v>9.8399000000000001</v>
      </c>
      <c r="K69" s="191">
        <f t="shared" si="7"/>
        <v>44.779926625270598</v>
      </c>
      <c r="L69" s="159">
        <f t="shared" si="8"/>
        <v>46.655090284918352</v>
      </c>
      <c r="M69" s="2"/>
    </row>
    <row r="70" spans="1:13">
      <c r="A70" s="26">
        <v>35733</v>
      </c>
      <c r="B70" s="52">
        <v>32.906199999999998</v>
      </c>
      <c r="C70" s="52">
        <v>32.125</v>
      </c>
      <c r="D70" s="52">
        <v>32.156199999999998</v>
      </c>
      <c r="E70" s="52">
        <f t="shared" si="1"/>
        <v>30.875</v>
      </c>
      <c r="F70" s="52">
        <f t="shared" si="2"/>
        <v>34.3125</v>
      </c>
      <c r="G70" s="52">
        <f t="shared" si="9"/>
        <v>1.2811999999999983</v>
      </c>
      <c r="H70" s="64">
        <f t="shared" si="3"/>
        <v>3.4375</v>
      </c>
      <c r="I70" s="190">
        <f t="shared" si="5"/>
        <v>5.6561999999999983</v>
      </c>
      <c r="J70" s="190">
        <f t="shared" si="6"/>
        <v>10.625</v>
      </c>
      <c r="K70" s="190">
        <f t="shared" si="7"/>
        <v>53.234823529411749</v>
      </c>
      <c r="L70" s="158">
        <f t="shared" si="8"/>
        <v>48.627381728224613</v>
      </c>
      <c r="M70" s="2"/>
    </row>
    <row r="71" spans="1:13">
      <c r="A71" s="26">
        <v>35734</v>
      </c>
      <c r="B71" s="52">
        <v>32.875</v>
      </c>
      <c r="C71" s="52">
        <v>32.406199999999998</v>
      </c>
      <c r="D71" s="52">
        <v>32.5</v>
      </c>
      <c r="E71" s="52">
        <f t="shared" si="1"/>
        <v>30.875</v>
      </c>
      <c r="F71" s="52">
        <f t="shared" si="2"/>
        <v>34.0625</v>
      </c>
      <c r="G71" s="52">
        <f t="shared" si="9"/>
        <v>1.625</v>
      </c>
      <c r="H71" s="64">
        <f t="shared" si="3"/>
        <v>3.1875</v>
      </c>
      <c r="I71" s="190">
        <f t="shared" si="5"/>
        <v>4.8123999999999967</v>
      </c>
      <c r="J71" s="190">
        <f t="shared" si="6"/>
        <v>10.0625</v>
      </c>
      <c r="K71" s="190">
        <f t="shared" si="7"/>
        <v>47.82509316770183</v>
      </c>
      <c r="L71" s="158">
        <f t="shared" si="8"/>
        <v>48.613281107461397</v>
      </c>
      <c r="M71" s="2"/>
    </row>
    <row r="72" spans="1:13">
      <c r="A72" s="27">
        <v>35737</v>
      </c>
      <c r="B72" s="55">
        <v>33.5625</v>
      </c>
      <c r="C72" s="55">
        <v>32.828099999999999</v>
      </c>
      <c r="D72" s="55">
        <v>33.531199999999998</v>
      </c>
      <c r="E72" s="55">
        <f t="shared" si="1"/>
        <v>30.875</v>
      </c>
      <c r="F72" s="55">
        <f t="shared" si="2"/>
        <v>33.765599999999999</v>
      </c>
      <c r="G72" s="55">
        <f t="shared" si="9"/>
        <v>2.6561999999999983</v>
      </c>
      <c r="H72" s="65">
        <f t="shared" si="3"/>
        <v>2.8905999999999992</v>
      </c>
      <c r="I72" s="191">
        <f t="shared" si="5"/>
        <v>5.5623999999999967</v>
      </c>
      <c r="J72" s="191">
        <f t="shared" si="6"/>
        <v>9.5155999999999992</v>
      </c>
      <c r="K72" s="191">
        <f t="shared" si="7"/>
        <v>58.455588717474441</v>
      </c>
      <c r="L72" s="159">
        <f t="shared" si="8"/>
        <v>53.171835138196002</v>
      </c>
      <c r="M72" s="2"/>
    </row>
    <row r="73" spans="1:13">
      <c r="A73" s="27">
        <v>35738</v>
      </c>
      <c r="B73" s="55">
        <v>33.734400000000001</v>
      </c>
      <c r="C73" s="55">
        <v>33.296900000000001</v>
      </c>
      <c r="D73" s="55">
        <v>33.5625</v>
      </c>
      <c r="E73" s="55">
        <f t="shared" si="1"/>
        <v>32.125</v>
      </c>
      <c r="F73" s="55">
        <f t="shared" si="2"/>
        <v>33.765599999999999</v>
      </c>
      <c r="G73" s="55">
        <f t="shared" si="9"/>
        <v>1.4375</v>
      </c>
      <c r="H73" s="65">
        <f t="shared" si="3"/>
        <v>1.6405999999999992</v>
      </c>
      <c r="I73" s="191">
        <f t="shared" si="5"/>
        <v>5.7186999999999983</v>
      </c>
      <c r="J73" s="191">
        <f t="shared" si="6"/>
        <v>7.7186999999999983</v>
      </c>
      <c r="K73" s="191">
        <f t="shared" si="7"/>
        <v>74.08890098073509</v>
      </c>
      <c r="L73" s="159">
        <f t="shared" si="8"/>
        <v>60.123194288637116</v>
      </c>
      <c r="M73" s="2"/>
    </row>
    <row r="74" spans="1:13">
      <c r="A74" s="26">
        <v>35739</v>
      </c>
      <c r="B74" s="52">
        <v>33.656199999999998</v>
      </c>
      <c r="C74" s="52">
        <v>33.125</v>
      </c>
      <c r="D74" s="52">
        <v>33.390599999999999</v>
      </c>
      <c r="E74" s="52">
        <f t="shared" si="1"/>
        <v>32.125</v>
      </c>
      <c r="F74" s="52">
        <f t="shared" si="2"/>
        <v>33.734400000000001</v>
      </c>
      <c r="G74" s="52">
        <f t="shared" si="9"/>
        <v>1.2655999999999992</v>
      </c>
      <c r="H74" s="64">
        <f t="shared" si="3"/>
        <v>1.6094000000000008</v>
      </c>
      <c r="I74" s="190">
        <f t="shared" si="5"/>
        <v>5.3592999999999975</v>
      </c>
      <c r="J74" s="190">
        <f t="shared" si="6"/>
        <v>6.1405999999999992</v>
      </c>
      <c r="K74" s="190">
        <f t="shared" si="7"/>
        <v>87.276487639644301</v>
      </c>
      <c r="L74" s="158">
        <f t="shared" si="8"/>
        <v>73.273659112617949</v>
      </c>
      <c r="M74" s="2"/>
    </row>
    <row r="75" spans="1:13">
      <c r="A75" s="26">
        <v>35740</v>
      </c>
      <c r="B75" s="52">
        <v>33.375</v>
      </c>
      <c r="C75" s="52">
        <v>32.9375</v>
      </c>
      <c r="D75" s="52">
        <v>33.015599999999999</v>
      </c>
      <c r="E75" s="52">
        <f t="shared" si="1"/>
        <v>32.406199999999998</v>
      </c>
      <c r="F75" s="52">
        <f t="shared" si="2"/>
        <v>33.734400000000001</v>
      </c>
      <c r="G75" s="52">
        <f t="shared" si="9"/>
        <v>0.60940000000000083</v>
      </c>
      <c r="H75" s="64">
        <f t="shared" si="3"/>
        <v>1.3282000000000025</v>
      </c>
      <c r="I75" s="190">
        <f t="shared" si="5"/>
        <v>3.3125</v>
      </c>
      <c r="J75" s="190">
        <f t="shared" si="6"/>
        <v>4.5782000000000025</v>
      </c>
      <c r="K75" s="190">
        <f t="shared" si="7"/>
        <v>72.353763487833618</v>
      </c>
      <c r="L75" s="158">
        <f t="shared" si="8"/>
        <v>77.906384036071003</v>
      </c>
      <c r="M75" s="2"/>
    </row>
    <row r="76" spans="1:13">
      <c r="A76" s="68">
        <v>35741</v>
      </c>
      <c r="B76" s="55">
        <v>33</v>
      </c>
      <c r="C76" s="55">
        <v>32.468800000000002</v>
      </c>
      <c r="D76" s="55">
        <v>32.890599999999999</v>
      </c>
      <c r="E76" s="55">
        <f t="shared" si="1"/>
        <v>32.468800000000002</v>
      </c>
      <c r="F76" s="55">
        <f t="shared" si="2"/>
        <v>33.734400000000001</v>
      </c>
      <c r="G76" s="55">
        <f t="shared" si="9"/>
        <v>0.42179999999999751</v>
      </c>
      <c r="H76" s="65">
        <f t="shared" si="3"/>
        <v>1.2655999999999992</v>
      </c>
      <c r="I76" s="191">
        <f t="shared" si="5"/>
        <v>2.2967999999999975</v>
      </c>
      <c r="J76" s="191">
        <f t="shared" si="6"/>
        <v>4.2032000000000025</v>
      </c>
      <c r="K76" s="191">
        <f t="shared" si="7"/>
        <v>54.644080700418641</v>
      </c>
      <c r="L76" s="159">
        <f t="shared" si="8"/>
        <v>71.424777275965525</v>
      </c>
      <c r="M76" s="2"/>
    </row>
    <row r="77" spans="1:13">
      <c r="A77" s="68">
        <v>35744</v>
      </c>
      <c r="B77" s="55">
        <v>33.125</v>
      </c>
      <c r="C77" s="55">
        <v>32.4375</v>
      </c>
      <c r="D77" s="55">
        <v>32.546900000000001</v>
      </c>
      <c r="E77" s="55">
        <f t="shared" si="1"/>
        <v>32.4375</v>
      </c>
      <c r="F77" s="55">
        <f t="shared" si="2"/>
        <v>33.734400000000001</v>
      </c>
      <c r="G77" s="55">
        <f t="shared" si="9"/>
        <v>0.10940000000000083</v>
      </c>
      <c r="H77" s="65">
        <f t="shared" si="3"/>
        <v>1.2969000000000008</v>
      </c>
      <c r="I77" s="191">
        <f t="shared" si="5"/>
        <v>1.1405999999999992</v>
      </c>
      <c r="J77" s="191">
        <f t="shared" si="6"/>
        <v>3.8907000000000025</v>
      </c>
      <c r="K77" s="191">
        <f t="shared" si="7"/>
        <v>29.316061377130037</v>
      </c>
      <c r="L77" s="159">
        <f t="shared" si="8"/>
        <v>52.104635188460769</v>
      </c>
      <c r="M77" s="2"/>
    </row>
    <row r="78" spans="1:13">
      <c r="A78" s="2"/>
      <c r="L78" s="2"/>
      <c r="M78" s="2"/>
    </row>
    <row r="79" spans="1:13">
      <c r="A79" s="2"/>
      <c r="L79" s="2"/>
      <c r="M79" s="2"/>
    </row>
    <row r="80" spans="1:13" ht="15">
      <c r="A80" s="241" t="s">
        <v>44</v>
      </c>
      <c r="L80" s="2"/>
      <c r="M80" s="2"/>
    </row>
    <row r="81" spans="1:13" ht="15">
      <c r="A81" s="241" t="s">
        <v>45</v>
      </c>
      <c r="L81" s="2"/>
      <c r="M81" s="2"/>
    </row>
    <row r="82" spans="1:13" ht="15">
      <c r="A82" s="241" t="s">
        <v>46</v>
      </c>
      <c r="L82" s="2"/>
      <c r="M82" s="2"/>
    </row>
    <row r="83" spans="1:13" ht="15">
      <c r="A83" s="241" t="s">
        <v>47</v>
      </c>
      <c r="L83" s="2"/>
      <c r="M83" s="2"/>
    </row>
    <row r="84" spans="1:13" ht="15">
      <c r="A84" s="241" t="s">
        <v>48</v>
      </c>
      <c r="L84" s="2"/>
      <c r="M84" s="2"/>
    </row>
    <row r="85" spans="1:13" ht="15">
      <c r="A85" s="241" t="s">
        <v>1151</v>
      </c>
      <c r="L85" s="2"/>
      <c r="M85" s="2"/>
    </row>
    <row r="86" spans="1:13" ht="15">
      <c r="A86" s="241" t="s">
        <v>1152</v>
      </c>
      <c r="L86" s="2"/>
      <c r="M86" s="2"/>
    </row>
    <row r="87" spans="1:13" ht="33" customHeight="1">
      <c r="A87" s="447" t="s">
        <v>1153</v>
      </c>
      <c r="B87" s="447"/>
      <c r="C87" s="447"/>
      <c r="D87" s="447"/>
      <c r="E87" s="447"/>
      <c r="F87" s="447"/>
      <c r="G87" s="447"/>
      <c r="H87" s="447"/>
      <c r="I87" s="447"/>
      <c r="J87" s="447"/>
      <c r="K87" s="447"/>
      <c r="L87" s="447"/>
      <c r="M87" s="2"/>
    </row>
    <row r="88" spans="1:13">
      <c r="A88" s="2"/>
      <c r="L88" s="2"/>
      <c r="M88" s="2"/>
    </row>
    <row r="89" spans="1:13">
      <c r="A89" s="2"/>
      <c r="L89" s="2"/>
      <c r="M89" s="2"/>
    </row>
    <row r="90" spans="1:13">
      <c r="A90" s="2"/>
      <c r="L90" s="2"/>
      <c r="M90" s="2"/>
    </row>
    <row r="91" spans="1:13">
      <c r="A91" s="2"/>
      <c r="L91" s="2"/>
      <c r="M91" s="2"/>
    </row>
    <row r="92" spans="1:13">
      <c r="A92" s="2"/>
      <c r="L92" s="2"/>
      <c r="M92" s="2"/>
    </row>
    <row r="93" spans="1:13">
      <c r="A93" s="2"/>
      <c r="L93" s="2"/>
      <c r="M93" s="2"/>
    </row>
    <row r="94" spans="1:13">
      <c r="A94" s="2"/>
      <c r="L94" s="2"/>
      <c r="M94" s="2"/>
    </row>
    <row r="95" spans="1:13">
      <c r="A95" s="2"/>
      <c r="L95" s="2"/>
      <c r="M95" s="2"/>
    </row>
    <row r="96" spans="1:13">
      <c r="A96" s="2"/>
      <c r="L96" s="2"/>
      <c r="M96" s="2"/>
    </row>
    <row r="97" spans="1:13">
      <c r="A97" s="2"/>
      <c r="L97" s="2"/>
      <c r="M97" s="2"/>
    </row>
    <row r="98" spans="1:13">
      <c r="A98" s="2"/>
      <c r="L98" s="2"/>
      <c r="M98" s="2"/>
    </row>
    <row r="99" spans="1:13">
      <c r="A99" s="2"/>
      <c r="L99" s="2"/>
      <c r="M99" s="2"/>
    </row>
    <row r="100" spans="1:13">
      <c r="A100" s="2"/>
      <c r="L100" s="2"/>
      <c r="M100" s="2"/>
    </row>
    <row r="101" spans="1:13">
      <c r="A101" s="2"/>
      <c r="L101" s="2"/>
      <c r="M101" s="2"/>
    </row>
    <row r="102" spans="1:13">
      <c r="A102" s="2"/>
      <c r="L102" s="2"/>
      <c r="M102" s="2"/>
    </row>
    <row r="103" spans="1:13">
      <c r="A103" s="2"/>
      <c r="L103" s="2"/>
      <c r="M103" s="2"/>
    </row>
    <row r="104" spans="1:13">
      <c r="A104" s="2"/>
      <c r="L104" s="2"/>
      <c r="M104" s="2"/>
    </row>
    <row r="105" spans="1:13">
      <c r="A105" s="2"/>
      <c r="L105" s="2"/>
      <c r="M105" s="2"/>
    </row>
    <row r="106" spans="1:13">
      <c r="A106" s="2"/>
      <c r="L106" s="2"/>
      <c r="M106" s="2"/>
    </row>
    <row r="107" spans="1:13">
      <c r="A107" s="2"/>
      <c r="L107" s="2"/>
      <c r="M107" s="2"/>
    </row>
    <row r="108" spans="1:13">
      <c r="A108" s="2"/>
      <c r="L108" s="2"/>
      <c r="M108" s="2"/>
    </row>
    <row r="109" spans="1:13">
      <c r="A109" s="2"/>
      <c r="L109" s="2"/>
      <c r="M109" s="2"/>
    </row>
    <row r="110" spans="1:13">
      <c r="A110" s="2"/>
      <c r="L110" s="2"/>
      <c r="M110" s="2"/>
    </row>
    <row r="111" spans="1:13">
      <c r="A111" s="2"/>
      <c r="L111" s="2"/>
      <c r="M111" s="2"/>
    </row>
    <row r="112" spans="1:13">
      <c r="A112" s="2"/>
      <c r="L112" s="2"/>
      <c r="M112" s="2"/>
    </row>
    <row r="113" spans="1:13">
      <c r="A113" s="2"/>
      <c r="L113" s="2"/>
      <c r="M113" s="2"/>
    </row>
    <row r="114" spans="1:13">
      <c r="A114" s="2"/>
      <c r="L114" s="2"/>
      <c r="M114" s="2"/>
    </row>
    <row r="115" spans="1:13">
      <c r="A115" s="2"/>
      <c r="L115" s="2"/>
      <c r="M115" s="2"/>
    </row>
    <row r="116" spans="1:13">
      <c r="A116" s="2"/>
      <c r="L116" s="2"/>
      <c r="M116" s="2"/>
    </row>
    <row r="117" spans="1:13">
      <c r="A117" s="2"/>
      <c r="L117" s="2"/>
      <c r="M117" s="2"/>
    </row>
    <row r="118" spans="1:13">
      <c r="A118" s="2"/>
      <c r="L118" s="2"/>
      <c r="M118" s="2"/>
    </row>
    <row r="119" spans="1:13">
      <c r="A119" s="2"/>
      <c r="L119" s="2"/>
      <c r="M119" s="2"/>
    </row>
    <row r="120" spans="1:13">
      <c r="A120" s="2"/>
      <c r="L120" s="2"/>
      <c r="M120" s="2"/>
    </row>
    <row r="121" spans="1:13">
      <c r="A121" s="2"/>
      <c r="L121" s="2"/>
      <c r="M121" s="2"/>
    </row>
    <row r="122" spans="1:13">
      <c r="A122" s="2"/>
      <c r="L122" s="2"/>
      <c r="M122" s="2"/>
    </row>
    <row r="123" spans="1:13">
      <c r="A123" s="2"/>
      <c r="L123" s="2"/>
      <c r="M123" s="2"/>
    </row>
    <row r="124" spans="1:13">
      <c r="A124" s="2"/>
      <c r="L124" s="2"/>
      <c r="M124" s="2"/>
    </row>
    <row r="125" spans="1:13">
      <c r="A125" s="2"/>
      <c r="L125" s="2"/>
      <c r="M125" s="2"/>
    </row>
    <row r="126" spans="1:13">
      <c r="A126" s="2"/>
      <c r="L126" s="2"/>
      <c r="M126" s="2"/>
    </row>
    <row r="127" spans="1:13">
      <c r="A127" s="2"/>
      <c r="L127" s="2"/>
      <c r="M127" s="2"/>
    </row>
    <row r="128" spans="1:13">
      <c r="A128" s="2"/>
      <c r="L128" s="2"/>
      <c r="M128" s="2"/>
    </row>
    <row r="129" spans="1:13">
      <c r="A129" s="2"/>
      <c r="L129" s="2"/>
      <c r="M129" s="2"/>
    </row>
    <row r="130" spans="1:13">
      <c r="A130" s="2"/>
      <c r="L130" s="2"/>
      <c r="M130" s="2"/>
    </row>
    <row r="131" spans="1:13">
      <c r="A131" s="2"/>
      <c r="L131" s="2"/>
      <c r="M131" s="2"/>
    </row>
    <row r="132" spans="1:13">
      <c r="A132" s="2"/>
      <c r="L132" s="2"/>
      <c r="M132" s="2"/>
    </row>
    <row r="133" spans="1:13">
      <c r="A133" s="2"/>
      <c r="L133" s="2"/>
      <c r="M133" s="2"/>
    </row>
    <row r="134" spans="1:13">
      <c r="A134" s="2"/>
      <c r="L134" s="2"/>
      <c r="M134" s="2"/>
    </row>
    <row r="135" spans="1:13">
      <c r="A135" s="2"/>
      <c r="L135" s="2"/>
      <c r="M135" s="2"/>
    </row>
    <row r="136" spans="1:13">
      <c r="A136" s="2"/>
      <c r="L136" s="2"/>
      <c r="M136" s="2"/>
    </row>
    <row r="137" spans="1:13">
      <c r="A137" s="2"/>
      <c r="L137" s="2"/>
      <c r="M137" s="2"/>
    </row>
    <row r="138" spans="1:13">
      <c r="A138" s="2"/>
      <c r="L138" s="2"/>
      <c r="M138" s="2"/>
    </row>
    <row r="139" spans="1:13">
      <c r="A139" s="2"/>
      <c r="L139" s="2"/>
      <c r="M139" s="2"/>
    </row>
    <row r="140" spans="1:13">
      <c r="A140" s="2"/>
      <c r="L140" s="2"/>
      <c r="M140" s="2"/>
    </row>
    <row r="141" spans="1:13">
      <c r="A141" s="2"/>
      <c r="L141" s="2"/>
      <c r="M141" s="2"/>
    </row>
    <row r="142" spans="1:13">
      <c r="A142" s="2"/>
      <c r="L142" s="2"/>
      <c r="M142" s="2"/>
    </row>
    <row r="143" spans="1:13">
      <c r="A143" s="2"/>
      <c r="L143" s="2"/>
      <c r="M143" s="2"/>
    </row>
    <row r="144" spans="1:13">
      <c r="A144" s="2"/>
      <c r="L144" s="2"/>
      <c r="M144" s="2"/>
    </row>
    <row r="145" spans="1:13">
      <c r="A145" s="2"/>
      <c r="L145" s="2"/>
      <c r="M145" s="2"/>
    </row>
    <row r="146" spans="1:13">
      <c r="A146" s="2"/>
      <c r="L146" s="2"/>
      <c r="M146" s="2"/>
    </row>
    <row r="147" spans="1:13">
      <c r="A147" s="2"/>
      <c r="L147" s="2"/>
      <c r="M147" s="2"/>
    </row>
    <row r="148" spans="1:13">
      <c r="A148" s="2"/>
      <c r="L148" s="2"/>
      <c r="M148" s="2"/>
    </row>
    <row r="149" spans="1:13">
      <c r="A149" s="2"/>
      <c r="L149" s="2"/>
      <c r="M149" s="2"/>
    </row>
    <row r="150" spans="1:13">
      <c r="A150" s="2"/>
      <c r="L150" s="2"/>
      <c r="M150" s="2"/>
    </row>
    <row r="151" spans="1:13">
      <c r="A151" s="2"/>
      <c r="L151" s="2"/>
      <c r="M151" s="2"/>
    </row>
    <row r="152" spans="1:13">
      <c r="A152" s="2"/>
      <c r="L152" s="2"/>
      <c r="M152" s="2"/>
    </row>
    <row r="153" spans="1:13">
      <c r="A153" s="2"/>
      <c r="L153" s="2"/>
      <c r="M153" s="2"/>
    </row>
    <row r="154" spans="1:13">
      <c r="A154" s="2"/>
      <c r="L154" s="2"/>
      <c r="M154" s="2"/>
    </row>
    <row r="155" spans="1:13">
      <c r="A155" s="2"/>
      <c r="L155" s="2"/>
      <c r="M155" s="2"/>
    </row>
    <row r="156" spans="1:13">
      <c r="A156" s="2"/>
      <c r="L156" s="2"/>
      <c r="M156" s="2"/>
    </row>
    <row r="157" spans="1:13">
      <c r="A157" s="2"/>
      <c r="L157" s="2"/>
      <c r="M157" s="2"/>
    </row>
    <row r="158" spans="1:13">
      <c r="A158" s="2"/>
      <c r="L158" s="2"/>
      <c r="M158" s="2"/>
    </row>
    <row r="159" spans="1:13">
      <c r="A159" s="2"/>
      <c r="L159" s="2"/>
      <c r="M159" s="2"/>
    </row>
    <row r="160" spans="1:13">
      <c r="A160" s="2"/>
      <c r="L160" s="2"/>
      <c r="M160" s="2"/>
    </row>
    <row r="161" spans="1:13">
      <c r="A161" s="2"/>
      <c r="L161" s="2"/>
      <c r="M161" s="2"/>
    </row>
    <row r="162" spans="1:13">
      <c r="A162" s="2"/>
      <c r="L162" s="2"/>
      <c r="M162" s="2"/>
    </row>
    <row r="163" spans="1:13">
      <c r="A163" s="2"/>
      <c r="L163" s="2"/>
      <c r="M163" s="2"/>
    </row>
    <row r="164" spans="1:13">
      <c r="A164" s="2"/>
      <c r="L164" s="2"/>
      <c r="M164" s="2"/>
    </row>
    <row r="165" spans="1:13">
      <c r="A165" s="2"/>
      <c r="L165" s="2"/>
      <c r="M165" s="2"/>
    </row>
    <row r="166" spans="1:13">
      <c r="A166" s="2"/>
      <c r="L166" s="2"/>
      <c r="M166" s="2"/>
    </row>
    <row r="167" spans="1:13">
      <c r="A167" s="2"/>
      <c r="L167" s="2"/>
      <c r="M167" s="2"/>
    </row>
    <row r="168" spans="1:13">
      <c r="A168" s="2"/>
      <c r="L168" s="2"/>
      <c r="M168" s="2"/>
    </row>
    <row r="169" spans="1:13">
      <c r="A169" s="2"/>
      <c r="L169" s="2"/>
      <c r="M169" s="2"/>
    </row>
    <row r="170" spans="1:13">
      <c r="A170" s="2"/>
      <c r="L170" s="2"/>
      <c r="M170" s="2"/>
    </row>
    <row r="171" spans="1:13">
      <c r="A171" s="2"/>
      <c r="L171" s="2"/>
      <c r="M171" s="2"/>
    </row>
    <row r="172" spans="1:13">
      <c r="A172" s="2"/>
      <c r="L172" s="2"/>
      <c r="M172" s="2"/>
    </row>
    <row r="173" spans="1:13">
      <c r="A173" s="2"/>
      <c r="L173" s="2"/>
      <c r="M173" s="2"/>
    </row>
    <row r="174" spans="1:13">
      <c r="A174" s="2"/>
      <c r="L174" s="2"/>
      <c r="M174" s="2"/>
    </row>
    <row r="175" spans="1:13">
      <c r="A175" s="2"/>
      <c r="L175" s="2"/>
      <c r="M175" s="2"/>
    </row>
    <row r="176" spans="1:13">
      <c r="A176" s="2"/>
      <c r="L176" s="2"/>
      <c r="M176" s="2"/>
    </row>
    <row r="177" spans="1:13">
      <c r="A177" s="2"/>
      <c r="L177" s="2"/>
      <c r="M177" s="2"/>
    </row>
    <row r="178" spans="1:13">
      <c r="A178" s="2"/>
      <c r="L178" s="2"/>
      <c r="M178" s="2"/>
    </row>
    <row r="179" spans="1:13">
      <c r="A179" s="2"/>
      <c r="L179" s="2"/>
      <c r="M179" s="2"/>
    </row>
    <row r="180" spans="1:13">
      <c r="A180" s="2"/>
      <c r="L180" s="2"/>
      <c r="M180" s="2"/>
    </row>
    <row r="181" spans="1:13">
      <c r="A181" s="2"/>
      <c r="L181" s="2"/>
      <c r="M181" s="2"/>
    </row>
    <row r="182" spans="1:13">
      <c r="A182" s="2"/>
      <c r="L182" s="2"/>
      <c r="M182" s="2"/>
    </row>
    <row r="183" spans="1:13">
      <c r="A183" s="2"/>
      <c r="L183" s="2"/>
      <c r="M183" s="2"/>
    </row>
    <row r="184" spans="1:13">
      <c r="A184" s="2"/>
      <c r="L184" s="2"/>
      <c r="M184" s="2"/>
    </row>
    <row r="185" spans="1:13">
      <c r="A185" s="2"/>
      <c r="L185" s="2"/>
      <c r="M185" s="2"/>
    </row>
    <row r="186" spans="1:13">
      <c r="A186" s="2"/>
      <c r="L186" s="2"/>
      <c r="M186" s="2"/>
    </row>
    <row r="187" spans="1:13">
      <c r="A187" s="2"/>
      <c r="L187" s="2"/>
      <c r="M187" s="2"/>
    </row>
    <row r="188" spans="1:13">
      <c r="A188" s="2"/>
      <c r="L188" s="2"/>
      <c r="M188" s="2"/>
    </row>
    <row r="189" spans="1:13">
      <c r="A189" s="2"/>
      <c r="L189" s="2"/>
      <c r="M189" s="2"/>
    </row>
    <row r="190" spans="1:13">
      <c r="A190" s="2"/>
      <c r="L190" s="2"/>
      <c r="M190" s="2"/>
    </row>
    <row r="191" spans="1:13">
      <c r="A191" s="2"/>
      <c r="L191" s="2"/>
      <c r="M191" s="2"/>
    </row>
    <row r="192" spans="1:13">
      <c r="A192" s="2"/>
      <c r="L192" s="2"/>
      <c r="M192" s="2"/>
    </row>
    <row r="193" spans="1:13">
      <c r="A193" s="2"/>
      <c r="L193" s="2"/>
      <c r="M193" s="2"/>
    </row>
    <row r="194" spans="1:13">
      <c r="A194" s="2"/>
      <c r="L194" s="2"/>
      <c r="M194" s="2"/>
    </row>
    <row r="195" spans="1:13">
      <c r="A195" s="2"/>
      <c r="L195" s="2"/>
      <c r="M195" s="2"/>
    </row>
    <row r="196" spans="1:13">
      <c r="A196" s="2"/>
      <c r="L196" s="2"/>
      <c r="M196" s="2"/>
    </row>
    <row r="197" spans="1:13">
      <c r="A197" s="2"/>
      <c r="L197" s="2"/>
      <c r="M197" s="2"/>
    </row>
    <row r="198" spans="1:13">
      <c r="A198" s="2"/>
      <c r="L198" s="2"/>
      <c r="M198" s="2"/>
    </row>
    <row r="199" spans="1:13">
      <c r="A199" s="2"/>
      <c r="L199" s="2"/>
      <c r="M199" s="2"/>
    </row>
    <row r="200" spans="1:13">
      <c r="A200" s="2"/>
      <c r="L200" s="2"/>
      <c r="M200" s="2"/>
    </row>
    <row r="201" spans="1:13">
      <c r="A201" s="2"/>
      <c r="L201" s="2"/>
      <c r="M201" s="2"/>
    </row>
    <row r="202" spans="1:13">
      <c r="A202" s="2"/>
      <c r="L202" s="2"/>
      <c r="M202" s="2"/>
    </row>
    <row r="203" spans="1:13">
      <c r="A203" s="2"/>
      <c r="L203" s="2"/>
      <c r="M203" s="2"/>
    </row>
    <row r="204" spans="1:13">
      <c r="A204" s="2"/>
      <c r="L204" s="2"/>
      <c r="M204" s="2"/>
    </row>
    <row r="205" spans="1:13">
      <c r="A205" s="2"/>
      <c r="L205" s="2"/>
      <c r="M205" s="2"/>
    </row>
    <row r="206" spans="1:13">
      <c r="A206" s="2"/>
      <c r="L206" s="2"/>
      <c r="M206" s="2"/>
    </row>
    <row r="207" spans="1:13">
      <c r="A207" s="2"/>
      <c r="L207" s="2"/>
      <c r="M207" s="2"/>
    </row>
    <row r="208" spans="1:13">
      <c r="A208" s="2"/>
      <c r="L208" s="2"/>
      <c r="M208" s="2"/>
    </row>
    <row r="209" spans="1:13">
      <c r="A209" s="2"/>
      <c r="L209" s="2"/>
      <c r="M209" s="2"/>
    </row>
    <row r="210" spans="1:13">
      <c r="A210" s="2"/>
      <c r="L210" s="2"/>
      <c r="M210" s="2"/>
    </row>
    <row r="211" spans="1:13">
      <c r="A211" s="2"/>
      <c r="L211" s="2"/>
      <c r="M211" s="2"/>
    </row>
    <row r="212" spans="1:13">
      <c r="A212" s="2"/>
      <c r="L212" s="2"/>
      <c r="M212" s="2"/>
    </row>
    <row r="213" spans="1:13">
      <c r="A213" s="2"/>
      <c r="L213" s="2"/>
      <c r="M213" s="2"/>
    </row>
    <row r="214" spans="1:13">
      <c r="A214" s="2"/>
      <c r="L214" s="2"/>
      <c r="M214" s="2"/>
    </row>
    <row r="215" spans="1:13">
      <c r="A215" s="2"/>
      <c r="L215" s="2"/>
      <c r="M215" s="2"/>
    </row>
    <row r="216" spans="1:13">
      <c r="A216" s="2"/>
      <c r="L216" s="2"/>
      <c r="M216" s="2"/>
    </row>
    <row r="217" spans="1:13">
      <c r="A217" s="2"/>
      <c r="L217" s="2"/>
      <c r="M217" s="2"/>
    </row>
    <row r="218" spans="1:13">
      <c r="A218" s="2"/>
      <c r="L218" s="2"/>
      <c r="M218" s="2"/>
    </row>
    <row r="219" spans="1:13">
      <c r="A219" s="2"/>
      <c r="L219" s="2"/>
      <c r="M219" s="2"/>
    </row>
    <row r="220" spans="1:13">
      <c r="A220" s="2"/>
      <c r="L220" s="2"/>
      <c r="M220" s="2"/>
    </row>
    <row r="221" spans="1:13">
      <c r="A221" s="2"/>
      <c r="L221" s="2"/>
      <c r="M221" s="2"/>
    </row>
    <row r="222" spans="1:13">
      <c r="A222" s="2"/>
      <c r="L222" s="2"/>
      <c r="M222" s="2"/>
    </row>
    <row r="223" spans="1:13">
      <c r="A223" s="2"/>
      <c r="L223" s="2"/>
      <c r="M223" s="2"/>
    </row>
    <row r="224" spans="1:13">
      <c r="A224" s="2"/>
      <c r="L224" s="2"/>
      <c r="M224" s="2"/>
    </row>
    <row r="225" spans="1:13">
      <c r="A225" s="2"/>
      <c r="L225" s="2"/>
      <c r="M225" s="2"/>
    </row>
    <row r="226" spans="1:13">
      <c r="A226" s="2"/>
      <c r="L226" s="2"/>
      <c r="M226" s="2"/>
    </row>
    <row r="227" spans="1:13">
      <c r="A227" s="2"/>
      <c r="L227" s="2"/>
      <c r="M227" s="2"/>
    </row>
    <row r="228" spans="1:13">
      <c r="A228" s="2"/>
      <c r="L228" s="2"/>
      <c r="M228" s="2"/>
    </row>
    <row r="229" spans="1:13">
      <c r="A229" s="2"/>
      <c r="L229" s="2"/>
      <c r="M229" s="2"/>
    </row>
    <row r="230" spans="1:13">
      <c r="A230" s="2"/>
      <c r="L230" s="2"/>
      <c r="M230" s="2"/>
    </row>
    <row r="231" spans="1:13">
      <c r="A231" s="2"/>
      <c r="L231" s="2"/>
      <c r="M231" s="2"/>
    </row>
    <row r="232" spans="1:13">
      <c r="A232" s="2"/>
      <c r="L232" s="2"/>
      <c r="M232" s="2"/>
    </row>
    <row r="233" spans="1:13">
      <c r="A233" s="2"/>
      <c r="L233" s="2"/>
      <c r="M233" s="2"/>
    </row>
    <row r="234" spans="1:13">
      <c r="A234" s="2"/>
      <c r="L234" s="2"/>
      <c r="M234" s="2"/>
    </row>
    <row r="235" spans="1:13">
      <c r="A235" s="2"/>
      <c r="L235" s="2"/>
      <c r="M235" s="2"/>
    </row>
    <row r="236" spans="1:13">
      <c r="A236" s="2"/>
      <c r="L236" s="2"/>
      <c r="M236" s="2"/>
    </row>
    <row r="237" spans="1:13">
      <c r="A237" s="2"/>
      <c r="L237" s="2"/>
      <c r="M237" s="2"/>
    </row>
    <row r="238" spans="1:13">
      <c r="A238" s="2"/>
      <c r="L238" s="2"/>
      <c r="M238" s="2"/>
    </row>
    <row r="239" spans="1:13">
      <c r="A239" s="2"/>
      <c r="L239" s="2"/>
      <c r="M239" s="2"/>
    </row>
    <row r="240" spans="1:13">
      <c r="A240" s="2"/>
      <c r="L240" s="2"/>
      <c r="M240" s="2"/>
    </row>
    <row r="241" spans="1:13">
      <c r="A241" s="2"/>
      <c r="L241" s="2"/>
      <c r="M241" s="2"/>
    </row>
    <row r="242" spans="1:13">
      <c r="A242" s="2"/>
      <c r="L242" s="2"/>
      <c r="M242" s="2"/>
    </row>
    <row r="243" spans="1:13">
      <c r="A243" s="2"/>
      <c r="L243" s="2"/>
      <c r="M243" s="2"/>
    </row>
    <row r="244" spans="1:13">
      <c r="A244" s="2"/>
      <c r="L244" s="2"/>
      <c r="M244" s="2"/>
    </row>
    <row r="245" spans="1:13">
      <c r="A245" s="2"/>
      <c r="L245" s="2"/>
      <c r="M245" s="2"/>
    </row>
    <row r="246" spans="1:13">
      <c r="A246" s="2"/>
      <c r="L246" s="2"/>
      <c r="M246" s="2"/>
    </row>
    <row r="247" spans="1:13">
      <c r="A247" s="2"/>
      <c r="L247" s="2"/>
      <c r="M247" s="2"/>
    </row>
    <row r="248" spans="1:13">
      <c r="A248" s="2"/>
      <c r="L248" s="2"/>
      <c r="M248" s="2"/>
    </row>
    <row r="249" spans="1:13">
      <c r="A249" s="2"/>
      <c r="L249" s="2"/>
      <c r="M249" s="2"/>
    </row>
    <row r="250" spans="1:13">
      <c r="A250" s="2"/>
      <c r="L250" s="2"/>
      <c r="M250" s="2"/>
    </row>
    <row r="251" spans="1:13">
      <c r="A251" s="2"/>
      <c r="L251" s="2"/>
      <c r="M251" s="2"/>
    </row>
    <row r="252" spans="1:13">
      <c r="A252" s="2"/>
      <c r="L252" s="2"/>
      <c r="M252" s="2"/>
    </row>
    <row r="253" spans="1:13">
      <c r="A253" s="2"/>
      <c r="L253" s="2"/>
      <c r="M253" s="2"/>
    </row>
    <row r="254" spans="1:13">
      <c r="A254" s="2"/>
      <c r="L254" s="2"/>
      <c r="M254" s="2"/>
    </row>
    <row r="255" spans="1:13">
      <c r="A255" s="2"/>
      <c r="L255" s="2"/>
      <c r="M255" s="2"/>
    </row>
    <row r="256" spans="1:13">
      <c r="A256" s="2"/>
      <c r="L256" s="2"/>
      <c r="M256" s="2"/>
    </row>
    <row r="257" spans="1:13">
      <c r="A257" s="2"/>
      <c r="L257" s="2"/>
      <c r="M257" s="2"/>
    </row>
    <row r="258" spans="1:13">
      <c r="A258" s="2"/>
      <c r="L258" s="2"/>
      <c r="M258" s="2"/>
    </row>
    <row r="259" spans="1:13">
      <c r="A259" s="2"/>
      <c r="L259" s="2"/>
      <c r="M259" s="2"/>
    </row>
    <row r="260" spans="1:13">
      <c r="A260" s="2"/>
      <c r="L260" s="2"/>
      <c r="M260" s="2"/>
    </row>
    <row r="261" spans="1:13">
      <c r="A261" s="2"/>
      <c r="L261" s="2"/>
      <c r="M261" s="2"/>
    </row>
    <row r="262" spans="1:13">
      <c r="A262" s="2"/>
      <c r="L262" s="2"/>
      <c r="M262" s="2"/>
    </row>
    <row r="263" spans="1:13">
      <c r="A263" s="2"/>
      <c r="L263" s="2"/>
      <c r="M263" s="2"/>
    </row>
    <row r="264" spans="1:13">
      <c r="A264" s="2"/>
      <c r="L264" s="2"/>
      <c r="M264" s="2"/>
    </row>
    <row r="265" spans="1:13">
      <c r="A265" s="2"/>
      <c r="L265" s="2"/>
      <c r="M265" s="2"/>
    </row>
    <row r="266" spans="1:13">
      <c r="A266" s="2"/>
      <c r="L266" s="2"/>
      <c r="M266" s="2"/>
    </row>
    <row r="267" spans="1:13">
      <c r="A267" s="2"/>
      <c r="L267" s="2"/>
      <c r="M267" s="2"/>
    </row>
    <row r="268" spans="1:13">
      <c r="A268" s="2"/>
      <c r="L268" s="2"/>
      <c r="M268" s="2"/>
    </row>
    <row r="269" spans="1:13">
      <c r="A269" s="2"/>
      <c r="L269" s="2"/>
      <c r="M269" s="2"/>
    </row>
    <row r="270" spans="1:13">
      <c r="A270" s="2"/>
      <c r="L270" s="2"/>
      <c r="M270" s="2"/>
    </row>
    <row r="271" spans="1:13">
      <c r="A271" s="2"/>
      <c r="L271" s="2"/>
      <c r="M271" s="2"/>
    </row>
    <row r="272" spans="1:13">
      <c r="A272" s="2"/>
      <c r="L272" s="2"/>
      <c r="M272" s="2"/>
    </row>
    <row r="273" spans="1:13">
      <c r="A273" s="2"/>
      <c r="L273" s="2"/>
      <c r="M273" s="2"/>
    </row>
    <row r="274" spans="1:13">
      <c r="A274" s="2"/>
      <c r="L274" s="2"/>
      <c r="M274" s="2"/>
    </row>
    <row r="275" spans="1:13">
      <c r="A275" s="2"/>
      <c r="L275" s="2"/>
      <c r="M275" s="2"/>
    </row>
    <row r="276" spans="1:13">
      <c r="A276" s="2"/>
      <c r="L276" s="2"/>
      <c r="M276" s="2"/>
    </row>
    <row r="277" spans="1:13">
      <c r="A277" s="2"/>
      <c r="L277" s="2"/>
      <c r="M277" s="2"/>
    </row>
    <row r="278" spans="1:13">
      <c r="A278" s="2"/>
      <c r="L278" s="2"/>
      <c r="M278" s="2"/>
    </row>
    <row r="279" spans="1:13">
      <c r="A279" s="2"/>
      <c r="L279" s="2"/>
      <c r="M279" s="2"/>
    </row>
    <row r="280" spans="1:13">
      <c r="A280" s="2"/>
      <c r="L280" s="2"/>
      <c r="M280" s="2"/>
    </row>
    <row r="281" spans="1:13">
      <c r="A281" s="2"/>
      <c r="L281" s="2"/>
      <c r="M281" s="2"/>
    </row>
    <row r="282" spans="1:13">
      <c r="A282" s="2"/>
      <c r="L282" s="2"/>
      <c r="M282" s="2"/>
    </row>
    <row r="283" spans="1:13">
      <c r="A283" s="2"/>
      <c r="L283" s="2"/>
      <c r="M283" s="2"/>
    </row>
    <row r="284" spans="1:13">
      <c r="A284" s="2"/>
      <c r="L284" s="2"/>
      <c r="M284" s="2"/>
    </row>
    <row r="285" spans="1:13">
      <c r="A285" s="2"/>
      <c r="L285" s="2"/>
      <c r="M285" s="2"/>
    </row>
    <row r="286" spans="1:13">
      <c r="A286" s="2"/>
      <c r="L286" s="2"/>
      <c r="M286" s="2"/>
    </row>
    <row r="287" spans="1:13">
      <c r="A287" s="2"/>
      <c r="L287" s="2"/>
      <c r="M287" s="2"/>
    </row>
    <row r="288" spans="1:13">
      <c r="A288" s="2"/>
      <c r="L288" s="2"/>
      <c r="M288" s="2"/>
    </row>
    <row r="289" spans="1:13">
      <c r="A289" s="2"/>
      <c r="L289" s="2"/>
      <c r="M289" s="2"/>
    </row>
    <row r="290" spans="1:13">
      <c r="A290" s="2"/>
      <c r="L290" s="2"/>
      <c r="M290" s="2"/>
    </row>
    <row r="291" spans="1:13">
      <c r="A291" s="2"/>
      <c r="L291" s="2"/>
      <c r="M291" s="2"/>
    </row>
    <row r="292" spans="1:13">
      <c r="A292" s="2"/>
      <c r="L292" s="2"/>
      <c r="M292" s="2"/>
    </row>
    <row r="293" spans="1:13">
      <c r="A293" s="2"/>
      <c r="L293" s="2"/>
      <c r="M293" s="2"/>
    </row>
    <row r="294" spans="1:13">
      <c r="A294" s="2"/>
      <c r="L294" s="2"/>
      <c r="M294" s="2"/>
    </row>
    <row r="295" spans="1:13">
      <c r="A295" s="2"/>
      <c r="L295" s="2"/>
      <c r="M295" s="2"/>
    </row>
    <row r="296" spans="1:13">
      <c r="A296" s="2"/>
      <c r="L296" s="2"/>
      <c r="M296" s="2"/>
    </row>
    <row r="297" spans="1:13">
      <c r="A297" s="2"/>
      <c r="L297" s="2"/>
      <c r="M297" s="2"/>
    </row>
    <row r="298" spans="1:13">
      <c r="A298" s="2"/>
      <c r="L298" s="2"/>
      <c r="M298" s="2"/>
    </row>
    <row r="299" spans="1:13">
      <c r="A299" s="2"/>
      <c r="L299" s="2"/>
      <c r="M299" s="2"/>
    </row>
    <row r="300" spans="1:13">
      <c r="A300" s="2"/>
      <c r="L300" s="2"/>
      <c r="M300" s="2"/>
    </row>
    <row r="301" spans="1:13">
      <c r="A301" s="2"/>
      <c r="L301" s="2"/>
      <c r="M301" s="2"/>
    </row>
    <row r="302" spans="1:13">
      <c r="A302" s="2"/>
      <c r="L302" s="2"/>
      <c r="M302" s="2"/>
    </row>
    <row r="303" spans="1:13">
      <c r="A303" s="2"/>
      <c r="L303" s="2"/>
      <c r="M303" s="2"/>
    </row>
    <row r="304" spans="1:13">
      <c r="A304" s="2"/>
      <c r="L304" s="2"/>
      <c r="M304" s="2"/>
    </row>
    <row r="305" spans="1:13">
      <c r="A305" s="2"/>
      <c r="L305" s="2"/>
      <c r="M305" s="2"/>
    </row>
    <row r="306" spans="1:13">
      <c r="A306" s="2"/>
      <c r="L306" s="2"/>
      <c r="M306" s="2"/>
    </row>
    <row r="307" spans="1:13">
      <c r="A307" s="2"/>
      <c r="L307" s="2"/>
      <c r="M307" s="2"/>
    </row>
    <row r="308" spans="1:13">
      <c r="A308" s="2"/>
      <c r="L308" s="2"/>
      <c r="M308" s="2"/>
    </row>
    <row r="309" spans="1:13">
      <c r="A309" s="2"/>
      <c r="L309" s="2"/>
      <c r="M309" s="2"/>
    </row>
    <row r="310" spans="1:13">
      <c r="A310" s="2"/>
      <c r="L310" s="2"/>
      <c r="M310" s="2"/>
    </row>
    <row r="311" spans="1:13">
      <c r="A311" s="2"/>
      <c r="L311" s="2"/>
      <c r="M311" s="2"/>
    </row>
    <row r="312" spans="1:13">
      <c r="A312" s="2"/>
      <c r="L312" s="2"/>
      <c r="M312" s="2"/>
    </row>
    <row r="313" spans="1:13">
      <c r="A313" s="2"/>
      <c r="L313" s="2"/>
      <c r="M313" s="2"/>
    </row>
    <row r="314" spans="1:13">
      <c r="A314" s="2"/>
      <c r="L314" s="2"/>
      <c r="M314" s="2"/>
    </row>
    <row r="315" spans="1:13">
      <c r="A315" s="2"/>
      <c r="L315" s="2"/>
      <c r="M315" s="2"/>
    </row>
    <row r="316" spans="1:13">
      <c r="A316" s="2"/>
      <c r="L316" s="2"/>
      <c r="M316" s="2"/>
    </row>
    <row r="317" spans="1:13">
      <c r="A317" s="2"/>
      <c r="L317" s="2"/>
      <c r="M317" s="2"/>
    </row>
    <row r="318" spans="1:13">
      <c r="A318" s="2"/>
      <c r="L318" s="2"/>
      <c r="M318" s="2"/>
    </row>
    <row r="319" spans="1:13">
      <c r="A319" s="2"/>
      <c r="L319" s="2"/>
      <c r="M319" s="2"/>
    </row>
    <row r="320" spans="1:13">
      <c r="A320" s="2"/>
      <c r="L320" s="2"/>
      <c r="M320" s="2"/>
    </row>
    <row r="321" spans="1:13">
      <c r="A321" s="2"/>
      <c r="L321" s="2"/>
      <c r="M321" s="2"/>
    </row>
    <row r="322" spans="1:13">
      <c r="A322" s="2"/>
      <c r="L322" s="2"/>
      <c r="M322" s="2"/>
    </row>
    <row r="323" spans="1:13">
      <c r="A323" s="2"/>
      <c r="L323" s="2"/>
      <c r="M323" s="2"/>
    </row>
    <row r="324" spans="1:13">
      <c r="A324" s="2"/>
      <c r="L324" s="2"/>
      <c r="M324" s="2"/>
    </row>
    <row r="325" spans="1:13">
      <c r="A325" s="2"/>
      <c r="L325" s="2"/>
      <c r="M325" s="2"/>
    </row>
    <row r="326" spans="1:13">
      <c r="A326" s="2"/>
      <c r="L326" s="2"/>
      <c r="M326" s="2"/>
    </row>
    <row r="327" spans="1:13">
      <c r="A327" s="2"/>
      <c r="L327" s="2"/>
      <c r="M327" s="2"/>
    </row>
    <row r="328" spans="1:13">
      <c r="A328" s="2"/>
      <c r="L328" s="2"/>
      <c r="M328" s="2"/>
    </row>
    <row r="329" spans="1:13">
      <c r="A329" s="2"/>
      <c r="L329" s="2"/>
      <c r="M329" s="2"/>
    </row>
    <row r="330" spans="1:13">
      <c r="A330" s="2"/>
      <c r="L330" s="2"/>
      <c r="M330" s="2"/>
    </row>
    <row r="331" spans="1:13">
      <c r="A331" s="2"/>
      <c r="L331" s="2"/>
      <c r="M331" s="2"/>
    </row>
    <row r="332" spans="1:13">
      <c r="A332" s="2"/>
      <c r="L332" s="2"/>
      <c r="M332" s="2"/>
    </row>
    <row r="333" spans="1:13">
      <c r="A333" s="2"/>
      <c r="L333" s="2"/>
      <c r="M333" s="2"/>
    </row>
    <row r="334" spans="1:13">
      <c r="A334" s="2"/>
      <c r="L334" s="2"/>
      <c r="M334" s="2"/>
    </row>
    <row r="335" spans="1:13">
      <c r="A335" s="2"/>
      <c r="L335" s="2"/>
      <c r="M335" s="2"/>
    </row>
    <row r="336" spans="1:13">
      <c r="A336" s="2"/>
      <c r="L336" s="2"/>
      <c r="M336" s="2"/>
    </row>
    <row r="337" spans="1:13">
      <c r="A337" s="2"/>
      <c r="L337" s="2"/>
      <c r="M337" s="2"/>
    </row>
    <row r="338" spans="1:13">
      <c r="A338" s="2"/>
      <c r="L338" s="2"/>
      <c r="M338" s="2"/>
    </row>
    <row r="339" spans="1:13">
      <c r="A339" s="2"/>
      <c r="L339" s="2"/>
      <c r="M339" s="2"/>
    </row>
    <row r="340" spans="1:13">
      <c r="A340" s="2"/>
      <c r="L340" s="2"/>
      <c r="M340" s="2"/>
    </row>
    <row r="341" spans="1:13">
      <c r="A341" s="2"/>
      <c r="L341" s="2"/>
      <c r="M341" s="2"/>
    </row>
    <row r="342" spans="1:13">
      <c r="A342" s="2"/>
      <c r="L342" s="2"/>
      <c r="M342" s="2"/>
    </row>
    <row r="343" spans="1:13">
      <c r="A343" s="2"/>
      <c r="L343" s="2"/>
      <c r="M343" s="2"/>
    </row>
    <row r="344" spans="1:13">
      <c r="A344" s="2"/>
      <c r="L344" s="2"/>
      <c r="M344" s="2"/>
    </row>
    <row r="345" spans="1:13">
      <c r="A345" s="2"/>
      <c r="L345" s="2"/>
      <c r="M345" s="2"/>
    </row>
    <row r="346" spans="1:13">
      <c r="A346" s="2"/>
      <c r="L346" s="2"/>
      <c r="M346" s="2"/>
    </row>
    <row r="347" spans="1:13">
      <c r="A347" s="2"/>
      <c r="L347" s="2"/>
      <c r="M347" s="2"/>
    </row>
    <row r="348" spans="1:13">
      <c r="A348" s="2"/>
      <c r="L348" s="2"/>
      <c r="M348" s="2"/>
    </row>
    <row r="349" spans="1:13">
      <c r="A349" s="2"/>
      <c r="L349" s="2"/>
      <c r="M349" s="2"/>
    </row>
    <row r="350" spans="1:13">
      <c r="A350" s="2"/>
      <c r="L350" s="2"/>
      <c r="M350" s="2"/>
    </row>
    <row r="351" spans="1:13">
      <c r="A351" s="2"/>
      <c r="L351" s="2"/>
      <c r="M351" s="2"/>
    </row>
    <row r="352" spans="1:13">
      <c r="A352" s="2"/>
      <c r="L352" s="2"/>
      <c r="M352" s="2"/>
    </row>
    <row r="353" spans="1:13">
      <c r="A353" s="2"/>
      <c r="L353" s="2"/>
      <c r="M353" s="2"/>
    </row>
    <row r="354" spans="1:13">
      <c r="A354" s="2"/>
      <c r="L354" s="2"/>
      <c r="M354" s="2"/>
    </row>
    <row r="355" spans="1:13">
      <c r="A355" s="2"/>
      <c r="L355" s="2"/>
      <c r="M355" s="2"/>
    </row>
    <row r="356" spans="1:13">
      <c r="A356" s="2"/>
      <c r="L356" s="2"/>
      <c r="M356" s="2"/>
    </row>
    <row r="357" spans="1:13">
      <c r="A357" s="2"/>
      <c r="L357" s="2"/>
      <c r="M357" s="2"/>
    </row>
    <row r="358" spans="1:13">
      <c r="A358" s="2"/>
      <c r="L358" s="2"/>
      <c r="M358" s="2"/>
    </row>
    <row r="359" spans="1:13">
      <c r="A359" s="2"/>
      <c r="L359" s="2"/>
      <c r="M359" s="2"/>
    </row>
    <row r="360" spans="1:13">
      <c r="A360" s="2"/>
      <c r="L360" s="2"/>
      <c r="M360" s="2"/>
    </row>
    <row r="361" spans="1:13">
      <c r="A361" s="2"/>
      <c r="L361" s="2"/>
      <c r="M361" s="2"/>
    </row>
    <row r="362" spans="1:13">
      <c r="A362" s="2"/>
      <c r="L362" s="2"/>
      <c r="M362" s="2"/>
    </row>
    <row r="363" spans="1:13">
      <c r="A363" s="2"/>
      <c r="L363" s="2"/>
      <c r="M363" s="2"/>
    </row>
    <row r="364" spans="1:13">
      <c r="A364" s="2"/>
      <c r="L364" s="2"/>
      <c r="M364" s="2"/>
    </row>
    <row r="365" spans="1:13">
      <c r="A365" s="2"/>
      <c r="L365" s="2"/>
      <c r="M365" s="2"/>
    </row>
    <row r="366" spans="1:13">
      <c r="A366" s="2"/>
      <c r="L366" s="2"/>
      <c r="M366" s="2"/>
    </row>
    <row r="367" spans="1:13">
      <c r="A367" s="2"/>
      <c r="L367" s="2"/>
      <c r="M367" s="2"/>
    </row>
    <row r="368" spans="1:13">
      <c r="A368" s="2"/>
      <c r="L368" s="2"/>
      <c r="M368" s="2"/>
    </row>
    <row r="369" spans="1:13">
      <c r="A369" s="2"/>
      <c r="L369" s="2"/>
      <c r="M369" s="2"/>
    </row>
    <row r="370" spans="1:13">
      <c r="A370" s="2"/>
      <c r="L370" s="2"/>
      <c r="M370" s="2"/>
    </row>
    <row r="371" spans="1:13">
      <c r="A371" s="2"/>
      <c r="L371" s="2"/>
      <c r="M371" s="2"/>
    </row>
    <row r="372" spans="1:13">
      <c r="A372" s="2"/>
      <c r="L372" s="2"/>
      <c r="M372" s="2"/>
    </row>
    <row r="373" spans="1:13">
      <c r="A373" s="2"/>
      <c r="L373" s="2"/>
      <c r="M373" s="2"/>
    </row>
    <row r="374" spans="1:13">
      <c r="A374" s="2"/>
      <c r="L374" s="2"/>
      <c r="M374" s="2"/>
    </row>
    <row r="375" spans="1:13">
      <c r="A375" s="2"/>
      <c r="L375" s="2"/>
      <c r="M375" s="2"/>
    </row>
    <row r="376" spans="1:13">
      <c r="A376" s="2"/>
      <c r="L376" s="2"/>
      <c r="M376" s="2"/>
    </row>
    <row r="377" spans="1:13">
      <c r="A377" s="2"/>
      <c r="L377" s="2"/>
      <c r="M377" s="2"/>
    </row>
    <row r="378" spans="1:13">
      <c r="A378" s="2"/>
      <c r="L378" s="2"/>
      <c r="M378" s="2"/>
    </row>
    <row r="379" spans="1:13">
      <c r="A379" s="2"/>
      <c r="L379" s="2"/>
      <c r="M379" s="2"/>
    </row>
    <row r="380" spans="1:13">
      <c r="A380" s="2"/>
      <c r="L380" s="2"/>
      <c r="M380" s="2"/>
    </row>
    <row r="381" spans="1:13">
      <c r="A381" s="2"/>
      <c r="L381" s="2"/>
      <c r="M381" s="2"/>
    </row>
    <row r="382" spans="1:13">
      <c r="A382" s="2"/>
      <c r="L382" s="2"/>
      <c r="M382" s="2"/>
    </row>
    <row r="383" spans="1:13">
      <c r="A383" s="2"/>
      <c r="L383" s="2"/>
      <c r="M383" s="2"/>
    </row>
    <row r="384" spans="1:13">
      <c r="A384" s="2"/>
      <c r="L384" s="2"/>
      <c r="M384" s="2"/>
    </row>
    <row r="385" spans="1:13">
      <c r="A385" s="2"/>
      <c r="L385" s="2"/>
      <c r="M385" s="2"/>
    </row>
    <row r="386" spans="1:13">
      <c r="A386" s="2"/>
      <c r="L386" s="2"/>
      <c r="M386" s="2"/>
    </row>
    <row r="387" spans="1:13">
      <c r="A387" s="2"/>
      <c r="L387" s="2"/>
      <c r="M387" s="2"/>
    </row>
    <row r="388" spans="1:13">
      <c r="A388" s="2"/>
      <c r="L388" s="2"/>
      <c r="M388" s="2"/>
    </row>
    <row r="389" spans="1:13">
      <c r="A389" s="2"/>
      <c r="L389" s="2"/>
      <c r="M389" s="2"/>
    </row>
    <row r="390" spans="1:13">
      <c r="A390" s="2"/>
      <c r="L390" s="2"/>
      <c r="M390" s="2"/>
    </row>
    <row r="391" spans="1:13">
      <c r="A391" s="2"/>
      <c r="L391" s="2"/>
      <c r="M391" s="2"/>
    </row>
    <row r="392" spans="1:13">
      <c r="A392" s="2"/>
      <c r="L392" s="2"/>
      <c r="M392" s="2"/>
    </row>
    <row r="393" spans="1:13">
      <c r="A393" s="2"/>
      <c r="L393" s="2"/>
      <c r="M393" s="2"/>
    </row>
    <row r="394" spans="1:13">
      <c r="A394" s="2"/>
      <c r="L394" s="2"/>
      <c r="M394" s="2"/>
    </row>
    <row r="395" spans="1:13">
      <c r="A395" s="2"/>
      <c r="L395" s="2"/>
      <c r="M395" s="2"/>
    </row>
    <row r="396" spans="1:13">
      <c r="A396" s="2"/>
      <c r="L396" s="2"/>
      <c r="M396" s="2"/>
    </row>
    <row r="397" spans="1:13">
      <c r="A397" s="2"/>
      <c r="L397" s="2"/>
      <c r="M397" s="2"/>
    </row>
    <row r="398" spans="1:13">
      <c r="A398" s="2"/>
      <c r="L398" s="2"/>
      <c r="M398" s="2"/>
    </row>
    <row r="399" spans="1:13">
      <c r="A399" s="2"/>
      <c r="L399" s="2"/>
      <c r="M399" s="2"/>
    </row>
    <row r="400" spans="1:13">
      <c r="A400" s="2"/>
      <c r="L400" s="2"/>
      <c r="M400" s="2"/>
    </row>
    <row r="401" spans="1:13">
      <c r="A401" s="2"/>
      <c r="L401" s="2"/>
      <c r="M401" s="2"/>
    </row>
    <row r="402" spans="1:13">
      <c r="A402" s="2"/>
      <c r="L402" s="2"/>
      <c r="M402" s="2"/>
    </row>
    <row r="403" spans="1:13">
      <c r="A403" s="2"/>
      <c r="L403" s="2"/>
      <c r="M403" s="2"/>
    </row>
    <row r="404" spans="1:13">
      <c r="A404" s="2"/>
      <c r="L404" s="2"/>
      <c r="M404" s="2"/>
    </row>
    <row r="405" spans="1:13">
      <c r="A405" s="2"/>
      <c r="L405" s="2"/>
      <c r="M405" s="2"/>
    </row>
    <row r="406" spans="1:13">
      <c r="A406" s="2"/>
      <c r="L406" s="2"/>
      <c r="M406" s="2"/>
    </row>
    <row r="407" spans="1:13">
      <c r="A407" s="2"/>
      <c r="L407" s="2"/>
      <c r="M407" s="2"/>
    </row>
    <row r="408" spans="1:13">
      <c r="A408" s="2"/>
      <c r="L408" s="2"/>
      <c r="M408" s="2"/>
    </row>
    <row r="409" spans="1:13">
      <c r="A409" s="2"/>
      <c r="L409" s="2"/>
      <c r="M409" s="2"/>
    </row>
    <row r="410" spans="1:13">
      <c r="A410" s="2"/>
      <c r="L410" s="2"/>
      <c r="M410" s="2"/>
    </row>
    <row r="411" spans="1:13">
      <c r="A411" s="2"/>
      <c r="L411" s="2"/>
      <c r="M411" s="2"/>
    </row>
    <row r="412" spans="1:13">
      <c r="A412" s="2"/>
      <c r="L412" s="2"/>
      <c r="M412" s="2"/>
    </row>
    <row r="413" spans="1:13">
      <c r="A413" s="2"/>
      <c r="L413" s="2"/>
      <c r="M413" s="2"/>
    </row>
    <row r="414" spans="1:13">
      <c r="A414" s="2"/>
      <c r="L414" s="2"/>
      <c r="M414" s="2"/>
    </row>
    <row r="415" spans="1:13">
      <c r="A415" s="2"/>
      <c r="L415" s="2"/>
      <c r="M415" s="2"/>
    </row>
    <row r="416" spans="1:13">
      <c r="A416" s="2"/>
      <c r="L416" s="2"/>
      <c r="M416" s="2"/>
    </row>
    <row r="417" spans="1:13">
      <c r="A417" s="2"/>
      <c r="L417" s="2"/>
      <c r="M417" s="2"/>
    </row>
    <row r="418" spans="1:13">
      <c r="A418" s="2"/>
      <c r="L418" s="2"/>
      <c r="M418" s="2"/>
    </row>
    <row r="419" spans="1:13">
      <c r="A419" s="2"/>
      <c r="L419" s="2"/>
      <c r="M419" s="2"/>
    </row>
    <row r="420" spans="1:13">
      <c r="A420" s="2"/>
      <c r="L420" s="2"/>
      <c r="M420" s="2"/>
    </row>
    <row r="421" spans="1:13">
      <c r="A421" s="2"/>
      <c r="L421" s="2"/>
      <c r="M421" s="2"/>
    </row>
    <row r="422" spans="1:13">
      <c r="A422" s="2"/>
      <c r="L422" s="2"/>
      <c r="M422" s="2"/>
    </row>
    <row r="423" spans="1:13">
      <c r="A423" s="2"/>
      <c r="L423" s="2"/>
      <c r="M423" s="2"/>
    </row>
    <row r="424" spans="1:13">
      <c r="A424" s="2"/>
      <c r="L424" s="2"/>
      <c r="M424" s="2"/>
    </row>
    <row r="425" spans="1:13">
      <c r="A425" s="2"/>
      <c r="L425" s="2"/>
      <c r="M425" s="2"/>
    </row>
    <row r="426" spans="1:13">
      <c r="A426" s="2"/>
      <c r="L426" s="2"/>
      <c r="M426" s="2"/>
    </row>
    <row r="427" spans="1:13">
      <c r="A427" s="2"/>
      <c r="L427" s="2"/>
      <c r="M427" s="2"/>
    </row>
    <row r="428" spans="1:13">
      <c r="A428" s="2"/>
      <c r="L428" s="2"/>
      <c r="M428" s="2"/>
    </row>
    <row r="429" spans="1:13">
      <c r="A429" s="2"/>
      <c r="L429" s="2"/>
      <c r="M429" s="2"/>
    </row>
    <row r="430" spans="1:13">
      <c r="A430" s="2"/>
      <c r="L430" s="2"/>
      <c r="M430" s="2"/>
    </row>
    <row r="431" spans="1:13">
      <c r="A431" s="2"/>
      <c r="L431" s="2"/>
      <c r="M431" s="2"/>
    </row>
    <row r="432" spans="1:13">
      <c r="A432" s="2"/>
      <c r="L432" s="2"/>
      <c r="M432" s="2"/>
    </row>
    <row r="433" spans="1:13">
      <c r="A433" s="2"/>
      <c r="L433" s="2"/>
      <c r="M433" s="2"/>
    </row>
    <row r="434" spans="1:13">
      <c r="A434" s="2"/>
      <c r="L434" s="2"/>
      <c r="M434" s="2"/>
    </row>
    <row r="435" spans="1:13">
      <c r="A435" s="2"/>
      <c r="L435" s="2"/>
      <c r="M435" s="2"/>
    </row>
    <row r="436" spans="1:13">
      <c r="A436" s="2"/>
      <c r="L436" s="2"/>
      <c r="M436" s="2"/>
    </row>
    <row r="437" spans="1:13">
      <c r="A437" s="2"/>
      <c r="L437" s="2"/>
      <c r="M437" s="2"/>
    </row>
    <row r="438" spans="1:13">
      <c r="A438" s="2"/>
      <c r="L438" s="2"/>
      <c r="M438" s="2"/>
    </row>
    <row r="439" spans="1:13">
      <c r="A439" s="2"/>
      <c r="L439" s="2"/>
      <c r="M439" s="2"/>
    </row>
    <row r="440" spans="1:13">
      <c r="A440" s="2"/>
      <c r="L440" s="2"/>
      <c r="M440" s="2"/>
    </row>
    <row r="441" spans="1:13">
      <c r="A441" s="2"/>
      <c r="L441" s="2"/>
      <c r="M441" s="2"/>
    </row>
    <row r="442" spans="1:13">
      <c r="A442" s="2"/>
      <c r="L442" s="2"/>
      <c r="M442" s="2"/>
    </row>
    <row r="443" spans="1:13">
      <c r="A443" s="2"/>
      <c r="L443" s="2"/>
      <c r="M443" s="2"/>
    </row>
    <row r="444" spans="1:13">
      <c r="A444" s="2"/>
      <c r="L444" s="2"/>
      <c r="M444" s="2"/>
    </row>
    <row r="445" spans="1:13">
      <c r="A445" s="2"/>
      <c r="L445" s="2"/>
      <c r="M445" s="2"/>
    </row>
    <row r="446" spans="1:13">
      <c r="A446" s="2"/>
      <c r="L446" s="2"/>
      <c r="M446" s="2"/>
    </row>
    <row r="447" spans="1:13">
      <c r="A447" s="2"/>
      <c r="L447" s="2"/>
      <c r="M447" s="2"/>
    </row>
    <row r="448" spans="1:13">
      <c r="A448" s="2"/>
      <c r="L448" s="2"/>
      <c r="M448" s="2"/>
    </row>
    <row r="449" spans="1:13">
      <c r="A449" s="2"/>
      <c r="L449" s="2"/>
      <c r="M449" s="2"/>
    </row>
    <row r="450" spans="1:13">
      <c r="A450" s="2"/>
      <c r="L450" s="2"/>
      <c r="M450" s="2"/>
    </row>
    <row r="451" spans="1:13">
      <c r="A451" s="2"/>
      <c r="L451" s="2"/>
      <c r="M451" s="2"/>
    </row>
    <row r="452" spans="1:13">
      <c r="A452" s="2"/>
      <c r="L452" s="2"/>
      <c r="M452" s="2"/>
    </row>
    <row r="453" spans="1:13">
      <c r="A453" s="2"/>
      <c r="L453" s="2"/>
      <c r="M453" s="2"/>
    </row>
    <row r="454" spans="1:13">
      <c r="A454" s="2"/>
      <c r="L454" s="2"/>
      <c r="M454" s="2"/>
    </row>
    <row r="455" spans="1:13">
      <c r="A455" s="2"/>
      <c r="L455" s="2"/>
      <c r="M455" s="2"/>
    </row>
    <row r="456" spans="1:13">
      <c r="A456" s="2"/>
      <c r="L456" s="2"/>
      <c r="M456" s="2"/>
    </row>
    <row r="457" spans="1:13">
      <c r="A457" s="2"/>
      <c r="L457" s="2"/>
      <c r="M457" s="2"/>
    </row>
    <row r="458" spans="1:13">
      <c r="A458" s="2"/>
      <c r="L458" s="2"/>
      <c r="M458" s="2"/>
    </row>
    <row r="459" spans="1:13">
      <c r="A459" s="2"/>
      <c r="L459" s="2"/>
      <c r="M459" s="2"/>
    </row>
    <row r="460" spans="1:13">
      <c r="A460" s="2"/>
      <c r="L460" s="2"/>
      <c r="M460" s="2"/>
    </row>
    <row r="461" spans="1:13">
      <c r="A461" s="2"/>
      <c r="L461" s="2"/>
      <c r="M461" s="2"/>
    </row>
    <row r="462" spans="1:13">
      <c r="A462" s="2"/>
      <c r="L462" s="2"/>
      <c r="M462" s="2"/>
    </row>
    <row r="463" spans="1:13">
      <c r="A463" s="2"/>
      <c r="L463" s="2"/>
      <c r="M463" s="2"/>
    </row>
    <row r="464" spans="1:13">
      <c r="A464" s="2"/>
      <c r="L464" s="2"/>
      <c r="M464" s="2"/>
    </row>
    <row r="465" spans="1:13">
      <c r="A465" s="2"/>
      <c r="L465" s="2"/>
      <c r="M465" s="2"/>
    </row>
    <row r="466" spans="1:13">
      <c r="A466" s="2"/>
      <c r="L466" s="2"/>
      <c r="M466" s="2"/>
    </row>
    <row r="467" spans="1:13">
      <c r="A467" s="2"/>
      <c r="L467" s="2"/>
      <c r="M467" s="2"/>
    </row>
    <row r="468" spans="1:13">
      <c r="A468" s="2"/>
      <c r="L468" s="2"/>
      <c r="M468" s="2"/>
    </row>
    <row r="469" spans="1:13">
      <c r="A469" s="2"/>
      <c r="L469" s="2"/>
      <c r="M469" s="2"/>
    </row>
    <row r="470" spans="1:13">
      <c r="A470" s="2"/>
      <c r="L470" s="2"/>
      <c r="M470" s="2"/>
    </row>
    <row r="471" spans="1:13">
      <c r="A471" s="2"/>
      <c r="L471" s="2"/>
      <c r="M471" s="2"/>
    </row>
    <row r="472" spans="1:13">
      <c r="A472" s="2"/>
      <c r="L472" s="2"/>
      <c r="M472" s="2"/>
    </row>
    <row r="473" spans="1:13">
      <c r="A473" s="2"/>
      <c r="L473" s="2"/>
      <c r="M473" s="2"/>
    </row>
    <row r="474" spans="1:13">
      <c r="A474" s="2"/>
      <c r="L474" s="2"/>
      <c r="M474" s="2"/>
    </row>
    <row r="475" spans="1:13">
      <c r="A475" s="2"/>
      <c r="L475" s="2"/>
      <c r="M475" s="2"/>
    </row>
    <row r="476" spans="1:13">
      <c r="A476" s="2"/>
      <c r="L476" s="2"/>
      <c r="M476" s="2"/>
    </row>
    <row r="477" spans="1:13">
      <c r="A477" s="2"/>
      <c r="L477" s="2"/>
      <c r="M477" s="2"/>
    </row>
    <row r="478" spans="1:13">
      <c r="A478" s="2"/>
      <c r="L478" s="2"/>
      <c r="M478" s="2"/>
    </row>
    <row r="479" spans="1:13">
      <c r="A479" s="2"/>
      <c r="L479" s="2"/>
      <c r="M479" s="2"/>
    </row>
    <row r="480" spans="1:13">
      <c r="A480" s="2"/>
      <c r="L480" s="2"/>
      <c r="M480" s="2"/>
    </row>
    <row r="481" spans="1:13">
      <c r="A481" s="2"/>
      <c r="L481" s="2"/>
      <c r="M481" s="2"/>
    </row>
    <row r="482" spans="1:13">
      <c r="A482" s="2"/>
      <c r="L482" s="2"/>
      <c r="M482" s="2"/>
    </row>
    <row r="483" spans="1:13">
      <c r="A483" s="2"/>
      <c r="L483" s="2"/>
      <c r="M483" s="2"/>
    </row>
    <row r="484" spans="1:13">
      <c r="A484" s="2"/>
      <c r="L484" s="2"/>
      <c r="M484" s="2"/>
    </row>
    <row r="485" spans="1:13">
      <c r="A485" s="2"/>
      <c r="L485" s="2"/>
      <c r="M485" s="2"/>
    </row>
    <row r="486" spans="1:13">
      <c r="A486" s="2"/>
      <c r="L486" s="2"/>
      <c r="M486" s="2"/>
    </row>
    <row r="487" spans="1:13">
      <c r="A487" s="2"/>
      <c r="L487" s="2"/>
      <c r="M487" s="2"/>
    </row>
    <row r="488" spans="1:13">
      <c r="A488" s="2"/>
      <c r="L488" s="2"/>
      <c r="M488" s="2"/>
    </row>
    <row r="489" spans="1:13">
      <c r="A489" s="2"/>
      <c r="L489" s="2"/>
      <c r="M489" s="2"/>
    </row>
    <row r="490" spans="1:13">
      <c r="A490" s="2"/>
      <c r="L490" s="2"/>
      <c r="M490" s="2"/>
    </row>
    <row r="491" spans="1:13">
      <c r="A491" s="2"/>
      <c r="L491" s="2"/>
      <c r="M491" s="2"/>
    </row>
    <row r="492" spans="1:13">
      <c r="A492" s="2"/>
      <c r="L492" s="2"/>
      <c r="M492" s="2"/>
    </row>
    <row r="493" spans="1:13">
      <c r="A493" s="2"/>
      <c r="L493" s="2"/>
      <c r="M493" s="2"/>
    </row>
    <row r="494" spans="1:13">
      <c r="A494" s="2"/>
      <c r="L494" s="2"/>
      <c r="M494" s="2"/>
    </row>
    <row r="495" spans="1:13">
      <c r="A495" s="2"/>
      <c r="L495" s="2"/>
      <c r="M495" s="2"/>
    </row>
    <row r="496" spans="1:13">
      <c r="A496" s="2"/>
      <c r="L496" s="2"/>
      <c r="M496" s="2"/>
    </row>
    <row r="497" spans="1:13">
      <c r="A497" s="2"/>
      <c r="L497" s="2"/>
      <c r="M497" s="2"/>
    </row>
    <row r="498" spans="1:13">
      <c r="A498" s="2"/>
      <c r="L498" s="2"/>
      <c r="M498" s="2"/>
    </row>
    <row r="499" spans="1:13">
      <c r="A499" s="2"/>
      <c r="L499" s="2"/>
      <c r="M499" s="2"/>
    </row>
    <row r="500" spans="1:13">
      <c r="A500" s="2"/>
      <c r="L500" s="2"/>
      <c r="M500" s="2"/>
    </row>
    <row r="501" spans="1:13">
      <c r="A501" s="2"/>
      <c r="L501" s="2"/>
      <c r="M501" s="2"/>
    </row>
    <row r="502" spans="1:13">
      <c r="A502" s="2"/>
      <c r="L502" s="2"/>
      <c r="M502" s="2"/>
    </row>
    <row r="503" spans="1:13">
      <c r="A503" s="2"/>
      <c r="L503" s="2"/>
      <c r="M503" s="2"/>
    </row>
    <row r="504" spans="1:13">
      <c r="A504" s="2"/>
      <c r="L504" s="2"/>
      <c r="M504" s="2"/>
    </row>
    <row r="505" spans="1:13">
      <c r="A505" s="2"/>
      <c r="L505" s="2"/>
      <c r="M505" s="2"/>
    </row>
    <row r="506" spans="1:13">
      <c r="A506" s="2"/>
      <c r="L506" s="2"/>
      <c r="M506" s="2"/>
    </row>
    <row r="507" spans="1:13">
      <c r="A507" s="2"/>
      <c r="L507" s="2"/>
      <c r="M507" s="2"/>
    </row>
    <row r="508" spans="1:13">
      <c r="A508" s="2"/>
      <c r="L508" s="2"/>
      <c r="M508" s="2"/>
    </row>
    <row r="509" spans="1:13">
      <c r="A509" s="2"/>
      <c r="L509" s="2"/>
      <c r="M509" s="2"/>
    </row>
    <row r="510" spans="1:13">
      <c r="A510" s="2"/>
      <c r="L510" s="2"/>
      <c r="M510" s="2"/>
    </row>
    <row r="511" spans="1:13">
      <c r="A511" s="2"/>
      <c r="L511" s="2"/>
      <c r="M511" s="2"/>
    </row>
    <row r="512" spans="1:13">
      <c r="A512" s="2"/>
      <c r="L512" s="2"/>
      <c r="M512" s="2"/>
    </row>
  </sheetData>
  <mergeCells count="9">
    <mergeCell ref="B12:L12"/>
    <mergeCell ref="B7:L7"/>
    <mergeCell ref="B8:L8"/>
    <mergeCell ref="B9:L9"/>
    <mergeCell ref="A87:L87"/>
    <mergeCell ref="B14:L14"/>
    <mergeCell ref="B15:L15"/>
    <mergeCell ref="B16:L16"/>
    <mergeCell ref="B17:L17"/>
  </mergeCells>
  <phoneticPr fontId="0" type="noConversion"/>
  <pageMargins left="0.75" right="0.75" top="1" bottom="1" header="0.5" footer="0.5"/>
  <pageSetup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26628" r:id="rId3" name="Button 4">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26629"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26630"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6631"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26632" r:id="rId7" name="Button 8">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26633" r:id="rId8" name="Button 9">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26634" r:id="rId9" name="Button 10">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6635" r:id="rId10" name="Button 11">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enableFormatConditionsCalculation="0"/>
  <dimension ref="A1:R76"/>
  <sheetViews>
    <sheetView workbookViewId="0"/>
  </sheetViews>
  <sheetFormatPr baseColWidth="10" defaultColWidth="8.83203125" defaultRowHeight="12" x14ac:dyDescent="0"/>
  <cols>
    <col min="1" max="1" width="12.83203125" customWidth="1"/>
    <col min="4" max="4" width="10.5" customWidth="1"/>
    <col min="6" max="8" width="14.83203125" customWidth="1"/>
    <col min="9" max="9" width="17.5" customWidth="1"/>
    <col min="10" max="11" width="14.83203125" customWidth="1"/>
    <col min="12" max="12" width="17.5" customWidth="1"/>
    <col min="13" max="13" width="14" customWidth="1"/>
    <col min="18" max="18" width="14.83203125" customWidth="1"/>
  </cols>
  <sheetData>
    <row r="1" spans="1:18">
      <c r="A1" s="21"/>
      <c r="B1" s="21"/>
      <c r="C1" s="21" t="s">
        <v>846</v>
      </c>
      <c r="D1" s="21"/>
      <c r="E1" s="21"/>
      <c r="F1" s="21"/>
      <c r="G1" s="21"/>
      <c r="H1" s="21"/>
      <c r="I1" s="21"/>
      <c r="J1" s="21"/>
      <c r="K1" s="21"/>
      <c r="L1" s="21"/>
      <c r="M1" s="21"/>
      <c r="N1" s="21"/>
      <c r="O1" s="21"/>
      <c r="P1" s="21"/>
      <c r="Q1" s="21"/>
      <c r="R1" s="21"/>
    </row>
    <row r="2" spans="1:18" ht="21" customHeight="1">
      <c r="A2" s="21"/>
      <c r="B2" s="21"/>
      <c r="C2" s="21"/>
      <c r="D2" s="374"/>
      <c r="E2" s="374"/>
      <c r="F2" s="374"/>
      <c r="G2" s="374"/>
      <c r="H2" s="374"/>
      <c r="I2" s="374"/>
      <c r="J2" s="374"/>
      <c r="K2" s="374"/>
      <c r="L2" s="374"/>
      <c r="M2" s="374"/>
      <c r="N2" s="374"/>
      <c r="O2" s="21"/>
      <c r="P2" s="21"/>
      <c r="Q2" s="21"/>
      <c r="R2" s="21"/>
    </row>
    <row r="3" spans="1:18">
      <c r="A3" s="19" t="s">
        <v>1045</v>
      </c>
      <c r="B3" s="20" t="s">
        <v>732</v>
      </c>
      <c r="C3" s="21"/>
      <c r="D3" s="21"/>
      <c r="E3" s="21"/>
      <c r="F3" s="21"/>
      <c r="G3" s="21"/>
      <c r="H3" s="21"/>
      <c r="I3" s="21"/>
      <c r="J3" s="21"/>
      <c r="K3" s="21"/>
      <c r="L3" s="21"/>
      <c r="M3" s="21"/>
      <c r="N3" s="21"/>
      <c r="O3" s="21"/>
      <c r="P3" s="21"/>
      <c r="Q3" s="21"/>
      <c r="R3" s="21"/>
    </row>
    <row r="4" spans="1:18" ht="54.75" customHeight="1">
      <c r="A4" s="118" t="s">
        <v>779</v>
      </c>
      <c r="B4" s="127"/>
      <c r="C4" s="21"/>
      <c r="D4" s="21"/>
      <c r="E4" s="21"/>
      <c r="F4" s="21"/>
      <c r="G4" s="21"/>
      <c r="H4" s="21"/>
      <c r="I4" s="21"/>
      <c r="J4" s="21"/>
      <c r="K4" s="21"/>
      <c r="L4" s="21"/>
      <c r="M4" s="21"/>
      <c r="N4" s="21"/>
      <c r="O4" s="21"/>
      <c r="P4" s="21"/>
      <c r="Q4" s="21"/>
      <c r="R4" s="21"/>
    </row>
    <row r="5" spans="1:18" ht="15">
      <c r="A5" s="19"/>
      <c r="B5" s="127" t="s">
        <v>1205</v>
      </c>
      <c r="C5" s="21"/>
      <c r="D5" s="21"/>
      <c r="E5" s="21"/>
      <c r="F5" s="21"/>
      <c r="G5" s="21"/>
      <c r="H5" s="21"/>
      <c r="I5" s="21"/>
      <c r="J5" s="21"/>
      <c r="K5" s="21"/>
      <c r="L5" s="21"/>
      <c r="M5" s="21"/>
      <c r="N5" s="21"/>
      <c r="O5" s="21"/>
      <c r="P5" s="21"/>
      <c r="Q5" s="21"/>
      <c r="R5" s="21"/>
    </row>
    <row r="6" spans="1:18" ht="15">
      <c r="A6" s="19"/>
      <c r="B6" s="189" t="s">
        <v>1170</v>
      </c>
      <c r="C6" s="127" t="s">
        <v>1162</v>
      </c>
      <c r="D6" s="21"/>
      <c r="E6" s="21"/>
      <c r="F6" s="21"/>
      <c r="G6" s="21"/>
      <c r="H6" s="21"/>
      <c r="I6" s="21"/>
      <c r="J6" s="21"/>
      <c r="K6" s="21"/>
      <c r="L6" s="21"/>
      <c r="M6" s="21"/>
      <c r="N6" s="21"/>
      <c r="O6" s="21"/>
      <c r="P6" s="21"/>
      <c r="Q6" s="21"/>
      <c r="R6" s="21"/>
    </row>
    <row r="7" spans="1:18" ht="15">
      <c r="A7" s="19"/>
      <c r="B7" s="189" t="s">
        <v>1163</v>
      </c>
      <c r="C7" s="21"/>
      <c r="D7" s="21"/>
      <c r="E7" s="21"/>
      <c r="F7" s="21"/>
      <c r="G7" s="21"/>
      <c r="H7" s="21"/>
      <c r="I7" s="21"/>
      <c r="J7" s="21"/>
      <c r="K7" s="21"/>
      <c r="L7" s="21"/>
      <c r="M7" s="21"/>
      <c r="N7" s="21"/>
      <c r="O7" s="21"/>
      <c r="P7" s="21"/>
      <c r="Q7" s="21"/>
      <c r="R7" s="21"/>
    </row>
    <row r="8" spans="1:18" ht="15">
      <c r="A8" s="19"/>
      <c r="B8" s="189" t="s">
        <v>1164</v>
      </c>
      <c r="C8" s="21"/>
      <c r="D8" s="21"/>
      <c r="E8" s="21"/>
      <c r="F8" s="21"/>
      <c r="G8" s="21"/>
      <c r="H8" s="21"/>
      <c r="I8" s="21"/>
      <c r="J8" s="21"/>
      <c r="K8" s="21"/>
      <c r="L8" s="21"/>
      <c r="M8" s="21"/>
      <c r="N8" s="21"/>
      <c r="O8" s="21"/>
      <c r="P8" s="21"/>
      <c r="Q8" s="21"/>
      <c r="R8" s="21"/>
    </row>
    <row r="9" spans="1:18" ht="15">
      <c r="A9" s="19"/>
      <c r="B9" s="189" t="s">
        <v>645</v>
      </c>
      <c r="C9" s="21"/>
      <c r="D9" s="21"/>
      <c r="E9" s="21"/>
      <c r="F9" s="21"/>
      <c r="G9" s="21"/>
      <c r="H9" s="21"/>
      <c r="I9" s="21"/>
      <c r="J9" s="21"/>
      <c r="K9" s="21"/>
      <c r="L9" s="21"/>
      <c r="M9" s="21"/>
      <c r="N9" s="21"/>
      <c r="O9" s="21"/>
      <c r="P9" s="21"/>
      <c r="Q9" s="21"/>
      <c r="R9" s="21"/>
    </row>
    <row r="10" spans="1:18" ht="15">
      <c r="A10" s="19"/>
      <c r="B10" s="189" t="s">
        <v>1165</v>
      </c>
      <c r="C10" s="21"/>
      <c r="D10" s="21"/>
      <c r="E10" s="21"/>
      <c r="F10" s="21"/>
      <c r="G10" s="21"/>
      <c r="H10" s="21"/>
      <c r="I10" s="21"/>
      <c r="J10" s="21"/>
      <c r="K10" s="21"/>
      <c r="L10" s="21"/>
      <c r="M10" s="21"/>
      <c r="N10" s="21"/>
      <c r="O10" s="21"/>
      <c r="P10" s="21"/>
      <c r="Q10" s="21"/>
      <c r="R10" s="21"/>
    </row>
    <row r="11" spans="1:18" ht="15">
      <c r="A11" s="19"/>
      <c r="B11" s="189" t="s">
        <v>1166</v>
      </c>
      <c r="C11" s="21"/>
      <c r="D11" s="21"/>
      <c r="E11" s="21"/>
      <c r="F11" s="21"/>
      <c r="G11" s="21"/>
      <c r="H11" s="21"/>
      <c r="I11" s="21"/>
      <c r="J11" s="21"/>
      <c r="K11" s="21"/>
      <c r="L11" s="21"/>
      <c r="M11" s="21"/>
      <c r="N11" s="21"/>
      <c r="O11" s="21"/>
      <c r="P11" s="21"/>
      <c r="Q11" s="21"/>
      <c r="R11" s="21"/>
    </row>
    <row r="12" spans="1:18" ht="15">
      <c r="A12" s="19"/>
      <c r="B12" s="189" t="s">
        <v>1167</v>
      </c>
      <c r="C12" s="21"/>
      <c r="D12" s="21"/>
      <c r="E12" s="21"/>
      <c r="F12" s="21"/>
      <c r="G12" s="21"/>
      <c r="H12" s="21"/>
      <c r="I12" s="21"/>
      <c r="J12" s="21"/>
      <c r="K12" s="21"/>
      <c r="L12" s="21"/>
      <c r="M12" s="21"/>
      <c r="N12" s="21"/>
      <c r="O12" s="21"/>
      <c r="P12" s="21"/>
      <c r="Q12" s="21"/>
      <c r="R12" s="21"/>
    </row>
    <row r="13" spans="1:18" ht="15">
      <c r="A13" s="19"/>
      <c r="B13" s="189" t="s">
        <v>1168</v>
      </c>
      <c r="C13" s="21"/>
      <c r="D13" s="21"/>
      <c r="E13" s="21"/>
      <c r="F13" s="21"/>
      <c r="G13" s="21"/>
      <c r="H13" s="21"/>
      <c r="I13" s="21"/>
      <c r="J13" s="21"/>
      <c r="K13" s="21"/>
      <c r="L13" s="21"/>
      <c r="M13" s="21"/>
      <c r="N13" s="21"/>
      <c r="O13" s="21"/>
      <c r="P13" s="21"/>
      <c r="Q13" s="21"/>
      <c r="R13" s="21"/>
    </row>
    <row r="14" spans="1:18" ht="15">
      <c r="A14" s="19"/>
      <c r="B14" s="189" t="s">
        <v>646</v>
      </c>
      <c r="C14" s="21"/>
      <c r="D14" s="21"/>
      <c r="E14" s="21"/>
      <c r="F14" s="21"/>
      <c r="G14" s="21"/>
      <c r="H14" s="21"/>
      <c r="I14" s="21"/>
      <c r="J14" s="21"/>
      <c r="K14" s="21"/>
      <c r="L14" s="21"/>
      <c r="M14" s="21"/>
      <c r="N14" s="21"/>
      <c r="O14" s="21"/>
      <c r="P14" s="21"/>
      <c r="Q14" s="21"/>
      <c r="R14" s="21"/>
    </row>
    <row r="15" spans="1:18" ht="15">
      <c r="A15" s="19"/>
      <c r="B15" s="189" t="s">
        <v>1169</v>
      </c>
      <c r="C15" s="21"/>
      <c r="D15" s="21"/>
      <c r="E15" s="21"/>
      <c r="F15" s="21"/>
      <c r="G15" s="21"/>
      <c r="H15" s="21"/>
      <c r="I15" s="21"/>
      <c r="J15" s="21"/>
      <c r="K15" s="21"/>
      <c r="L15" s="21"/>
      <c r="M15" s="21"/>
      <c r="N15" s="21"/>
      <c r="O15" s="21"/>
      <c r="P15" s="21"/>
      <c r="Q15" s="21"/>
      <c r="R15" s="21"/>
    </row>
    <row r="16" spans="1:18">
      <c r="A16" s="19" t="s">
        <v>774</v>
      </c>
      <c r="B16" s="20" t="s">
        <v>775</v>
      </c>
      <c r="C16" s="21"/>
      <c r="D16" s="21"/>
      <c r="E16" s="21"/>
      <c r="F16" s="21"/>
      <c r="G16" s="21"/>
      <c r="H16" s="21"/>
      <c r="I16" s="21"/>
      <c r="J16" s="21"/>
      <c r="K16" s="21"/>
      <c r="L16" s="21"/>
      <c r="M16" s="21"/>
      <c r="N16" s="21"/>
      <c r="O16" s="21"/>
      <c r="P16" s="21"/>
      <c r="Q16" s="21"/>
      <c r="R16" s="21"/>
    </row>
    <row r="17" spans="1:18" s="1" customFormat="1" ht="39" customHeight="1">
      <c r="A17" s="22" t="s">
        <v>1090</v>
      </c>
      <c r="B17" s="22" t="s">
        <v>1206</v>
      </c>
      <c r="C17" s="22" t="s">
        <v>1096</v>
      </c>
      <c r="D17" s="22" t="s">
        <v>1097</v>
      </c>
      <c r="E17" s="22" t="s">
        <v>1098</v>
      </c>
      <c r="F17" s="31" t="s">
        <v>227</v>
      </c>
      <c r="G17" s="31" t="s">
        <v>232</v>
      </c>
      <c r="H17" s="31" t="s">
        <v>233</v>
      </c>
      <c r="I17" s="31" t="s">
        <v>230</v>
      </c>
      <c r="J17" s="31" t="s">
        <v>229</v>
      </c>
      <c r="K17" s="31" t="s">
        <v>228</v>
      </c>
      <c r="L17" s="31" t="s">
        <v>230</v>
      </c>
      <c r="M17" s="22" t="s">
        <v>728</v>
      </c>
      <c r="N17" s="22" t="s">
        <v>729</v>
      </c>
      <c r="O17" s="22" t="s">
        <v>730</v>
      </c>
      <c r="P17" s="22" t="s">
        <v>731</v>
      </c>
      <c r="Q17" s="22" t="s">
        <v>732</v>
      </c>
      <c r="R17" s="22" t="s">
        <v>733</v>
      </c>
    </row>
    <row r="18" spans="1:18">
      <c r="A18" s="203">
        <v>36465</v>
      </c>
      <c r="B18" s="52">
        <v>93.25</v>
      </c>
      <c r="C18" s="52">
        <v>94.1875</v>
      </c>
      <c r="D18" s="52">
        <v>92.125</v>
      </c>
      <c r="E18" s="52">
        <v>92.375</v>
      </c>
      <c r="F18" s="52"/>
      <c r="G18" s="52"/>
      <c r="H18" s="64"/>
      <c r="I18" s="190"/>
      <c r="J18" s="190"/>
      <c r="K18" s="190"/>
      <c r="L18" s="132"/>
      <c r="M18" s="132"/>
      <c r="N18" s="52"/>
      <c r="O18" s="52"/>
      <c r="P18" s="52"/>
      <c r="Q18" s="52"/>
      <c r="R18" s="52"/>
    </row>
    <row r="19" spans="1:18">
      <c r="A19" s="203">
        <v>36466</v>
      </c>
      <c r="B19" s="52">
        <v>92.75</v>
      </c>
      <c r="C19" s="52">
        <v>94.5</v>
      </c>
      <c r="D19" s="52">
        <v>91.9375</v>
      </c>
      <c r="E19" s="52">
        <v>92.5625</v>
      </c>
      <c r="F19" s="52">
        <f>ABS(C19-E18)</f>
        <v>2.125</v>
      </c>
      <c r="G19" s="52">
        <f>ABS(D19-E18)</f>
        <v>0.4375</v>
      </c>
      <c r="H19" s="64">
        <f>ABS(C19-D19)</f>
        <v>2.5625</v>
      </c>
      <c r="I19" s="190">
        <f>ABS(E18-B18)</f>
        <v>0.875</v>
      </c>
      <c r="J19" s="190">
        <f>E19-E18</f>
        <v>0.1875</v>
      </c>
      <c r="K19" s="190">
        <f>E19-B19</f>
        <v>-0.1875</v>
      </c>
      <c r="L19" s="132">
        <f>E18-B18</f>
        <v>-0.875</v>
      </c>
      <c r="M19" s="132">
        <f>J19+0.5*K19+0.25*L19</f>
        <v>-0.125</v>
      </c>
      <c r="N19" s="52">
        <f>MAX(F19,G19)</f>
        <v>2.125</v>
      </c>
      <c r="O19" s="52">
        <f>IF(AND(F19&gt;G19,F19&gt;H19),F19-0.5*G19+0.25*I19,IF(AND(G19&gt;F19,G19&gt;H19),G19-0.5*F19+0.25*I19,H19+0.25*I19))</f>
        <v>2.78125</v>
      </c>
      <c r="P19" s="52">
        <v>3</v>
      </c>
      <c r="Q19" s="52">
        <f>MIN(100,50*M19/O19*N19/P19)</f>
        <v>-1.5917602996254683</v>
      </c>
      <c r="R19" s="52">
        <f>Q19</f>
        <v>-1.5917602996254683</v>
      </c>
    </row>
    <row r="20" spans="1:18">
      <c r="A20" s="204">
        <v>36467</v>
      </c>
      <c r="B20" s="55">
        <v>92.9375</v>
      </c>
      <c r="C20" s="55">
        <v>93.5</v>
      </c>
      <c r="D20" s="55">
        <v>91.5</v>
      </c>
      <c r="E20" s="55">
        <v>92</v>
      </c>
      <c r="F20" s="55">
        <f t="shared" ref="F20:F67" si="0">ABS(C20-E19)</f>
        <v>0.9375</v>
      </c>
      <c r="G20" s="55">
        <f t="shared" ref="G20:G67" si="1">ABS(D20-E19)</f>
        <v>1.0625</v>
      </c>
      <c r="H20" s="65">
        <f t="shared" ref="H20:H67" si="2">ABS(C20-D20)</f>
        <v>2</v>
      </c>
      <c r="I20" s="191">
        <f t="shared" ref="I20:I67" si="3">ABS(E19-B19)</f>
        <v>0.1875</v>
      </c>
      <c r="J20" s="191">
        <f t="shared" ref="J20:J67" si="4">E20-E19</f>
        <v>-0.5625</v>
      </c>
      <c r="K20" s="191">
        <f t="shared" ref="K20:K67" si="5">E20-B20</f>
        <v>-0.9375</v>
      </c>
      <c r="L20" s="154">
        <f t="shared" ref="L20:L67" si="6">E19-B19</f>
        <v>-0.1875</v>
      </c>
      <c r="M20" s="154">
        <f t="shared" ref="M20:M67" si="7">J20+0.5*K20+0.25*L20</f>
        <v>-1.078125</v>
      </c>
      <c r="N20" s="55">
        <f t="shared" ref="N20:N67" si="8">MAX(F20,G20)</f>
        <v>1.0625</v>
      </c>
      <c r="O20" s="55">
        <f t="shared" ref="O20:O67" si="9">IF(AND(F20&gt;G20,F20&gt;H20),F20-0.5*G20+0.25*I20,IF(AND(G20&gt;F20,G20&gt;H20),G20-0.5*F20+0.25*I20,H20+0.25*I20))</f>
        <v>2.046875</v>
      </c>
      <c r="P20" s="55">
        <v>3</v>
      </c>
      <c r="Q20" s="55">
        <f t="shared" ref="Q20:Q67" si="10">MIN(100,50*M20/O20*N20/P20)</f>
        <v>-9.3272900763358777</v>
      </c>
      <c r="R20" s="55">
        <f>R19+Q20</f>
        <v>-10.919050375961346</v>
      </c>
    </row>
    <row r="21" spans="1:18">
      <c r="A21" s="204">
        <v>36468</v>
      </c>
      <c r="B21" s="55">
        <v>92.3125</v>
      </c>
      <c r="C21" s="55">
        <v>92.75</v>
      </c>
      <c r="D21" s="55">
        <v>90.3125</v>
      </c>
      <c r="E21" s="55">
        <v>91.75</v>
      </c>
      <c r="F21" s="55">
        <f t="shared" si="0"/>
        <v>0.75</v>
      </c>
      <c r="G21" s="55">
        <f t="shared" si="1"/>
        <v>1.6875</v>
      </c>
      <c r="H21" s="65">
        <f t="shared" si="2"/>
        <v>2.4375</v>
      </c>
      <c r="I21" s="191">
        <f t="shared" si="3"/>
        <v>0.9375</v>
      </c>
      <c r="J21" s="191">
        <f t="shared" si="4"/>
        <v>-0.25</v>
      </c>
      <c r="K21" s="191">
        <f t="shared" si="5"/>
        <v>-0.5625</v>
      </c>
      <c r="L21" s="154">
        <f t="shared" si="6"/>
        <v>-0.9375</v>
      </c>
      <c r="M21" s="154">
        <f t="shared" si="7"/>
        <v>-0.765625</v>
      </c>
      <c r="N21" s="55">
        <f t="shared" si="8"/>
        <v>1.6875</v>
      </c>
      <c r="O21" s="55">
        <f t="shared" si="9"/>
        <v>2.671875</v>
      </c>
      <c r="P21" s="55">
        <v>3</v>
      </c>
      <c r="Q21" s="55">
        <f t="shared" si="10"/>
        <v>-8.0592105263157894</v>
      </c>
      <c r="R21" s="55">
        <f t="shared" ref="R21:R67" si="11">R20+Q21</f>
        <v>-18.978260902277135</v>
      </c>
    </row>
    <row r="22" spans="1:18">
      <c r="A22" s="203">
        <v>36469</v>
      </c>
      <c r="B22" s="52">
        <v>91.8125</v>
      </c>
      <c r="C22" s="52">
        <v>92.875</v>
      </c>
      <c r="D22" s="52">
        <v>90.5</v>
      </c>
      <c r="E22" s="52">
        <v>91.5625</v>
      </c>
      <c r="F22" s="52">
        <f t="shared" si="0"/>
        <v>1.125</v>
      </c>
      <c r="G22" s="52">
        <f t="shared" si="1"/>
        <v>1.25</v>
      </c>
      <c r="H22" s="64">
        <f t="shared" si="2"/>
        <v>2.375</v>
      </c>
      <c r="I22" s="190">
        <f t="shared" si="3"/>
        <v>0.5625</v>
      </c>
      <c r="J22" s="190">
        <f t="shared" si="4"/>
        <v>-0.1875</v>
      </c>
      <c r="K22" s="190">
        <f t="shared" si="5"/>
        <v>-0.25</v>
      </c>
      <c r="L22" s="132">
        <f t="shared" si="6"/>
        <v>-0.5625</v>
      </c>
      <c r="M22" s="132">
        <f t="shared" si="7"/>
        <v>-0.453125</v>
      </c>
      <c r="N22" s="52">
        <f t="shared" si="8"/>
        <v>1.25</v>
      </c>
      <c r="O22" s="52">
        <f t="shared" si="9"/>
        <v>2.515625</v>
      </c>
      <c r="P22" s="52">
        <v>3</v>
      </c>
      <c r="Q22" s="52">
        <f t="shared" si="10"/>
        <v>-3.7525879917184266</v>
      </c>
      <c r="R22" s="52">
        <f t="shared" si="11"/>
        <v>-22.730848893995564</v>
      </c>
    </row>
    <row r="23" spans="1:18">
      <c r="A23" s="203">
        <v>36472</v>
      </c>
      <c r="B23" s="52">
        <v>84.8125</v>
      </c>
      <c r="C23" s="52">
        <v>90.75</v>
      </c>
      <c r="D23" s="52">
        <v>84.375</v>
      </c>
      <c r="E23" s="52">
        <v>89.9375</v>
      </c>
      <c r="F23" s="52">
        <f t="shared" si="0"/>
        <v>0.8125</v>
      </c>
      <c r="G23" s="52">
        <f t="shared" si="1"/>
        <v>7.1875</v>
      </c>
      <c r="H23" s="64">
        <f t="shared" si="2"/>
        <v>6.375</v>
      </c>
      <c r="I23" s="190">
        <f t="shared" si="3"/>
        <v>0.25</v>
      </c>
      <c r="J23" s="190">
        <f t="shared" si="4"/>
        <v>-1.625</v>
      </c>
      <c r="K23" s="190">
        <f t="shared" si="5"/>
        <v>5.125</v>
      </c>
      <c r="L23" s="132">
        <f t="shared" si="6"/>
        <v>-0.25</v>
      </c>
      <c r="M23" s="132">
        <f>J23+(0.5*K23)+(0.25*L23)</f>
        <v>0.875</v>
      </c>
      <c r="N23" s="52">
        <f t="shared" si="8"/>
        <v>7.1875</v>
      </c>
      <c r="O23" s="52">
        <f t="shared" si="9"/>
        <v>6.84375</v>
      </c>
      <c r="P23" s="52">
        <v>3</v>
      </c>
      <c r="Q23" s="52">
        <f t="shared" si="10"/>
        <v>15.315829528158297</v>
      </c>
      <c r="R23" s="52">
        <f t="shared" si="11"/>
        <v>-7.4150193658372672</v>
      </c>
    </row>
    <row r="24" spans="1:18">
      <c r="A24" s="204">
        <v>36473</v>
      </c>
      <c r="B24" s="55">
        <v>89.75</v>
      </c>
      <c r="C24" s="55">
        <v>89.875</v>
      </c>
      <c r="D24" s="55">
        <v>86.4375</v>
      </c>
      <c r="E24" s="55">
        <v>88.875</v>
      </c>
      <c r="F24" s="55">
        <f t="shared" si="0"/>
        <v>6.25E-2</v>
      </c>
      <c r="G24" s="55">
        <f t="shared" si="1"/>
        <v>3.5</v>
      </c>
      <c r="H24" s="65">
        <f t="shared" si="2"/>
        <v>3.4375</v>
      </c>
      <c r="I24" s="191">
        <f t="shared" si="3"/>
        <v>5.125</v>
      </c>
      <c r="J24" s="191">
        <f t="shared" si="4"/>
        <v>-1.0625</v>
      </c>
      <c r="K24" s="191">
        <f t="shared" si="5"/>
        <v>-0.875</v>
      </c>
      <c r="L24" s="154">
        <f t="shared" si="6"/>
        <v>5.125</v>
      </c>
      <c r="M24" s="154">
        <f t="shared" si="7"/>
        <v>-0.21875</v>
      </c>
      <c r="N24" s="55">
        <f t="shared" si="8"/>
        <v>3.5</v>
      </c>
      <c r="O24" s="55">
        <f t="shared" si="9"/>
        <v>4.75</v>
      </c>
      <c r="P24" s="55">
        <v>3</v>
      </c>
      <c r="Q24" s="55">
        <f t="shared" si="10"/>
        <v>-2.6864035087719298</v>
      </c>
      <c r="R24" s="55">
        <f t="shared" si="11"/>
        <v>-10.101422874609197</v>
      </c>
    </row>
    <row r="25" spans="1:18">
      <c r="A25" s="204">
        <v>36474</v>
      </c>
      <c r="B25" s="55">
        <v>88.125</v>
      </c>
      <c r="C25" s="55">
        <v>89.125</v>
      </c>
      <c r="D25" s="55">
        <v>86.4375</v>
      </c>
      <c r="E25" s="55">
        <v>87.125</v>
      </c>
      <c r="F25" s="55">
        <f t="shared" si="0"/>
        <v>0.25</v>
      </c>
      <c r="G25" s="55">
        <f t="shared" si="1"/>
        <v>2.4375</v>
      </c>
      <c r="H25" s="65">
        <f t="shared" si="2"/>
        <v>2.6875</v>
      </c>
      <c r="I25" s="191">
        <f t="shared" si="3"/>
        <v>0.875</v>
      </c>
      <c r="J25" s="191">
        <f t="shared" si="4"/>
        <v>-1.75</v>
      </c>
      <c r="K25" s="191">
        <f t="shared" si="5"/>
        <v>-1</v>
      </c>
      <c r="L25" s="154">
        <f t="shared" si="6"/>
        <v>-0.875</v>
      </c>
      <c r="M25" s="154">
        <f t="shared" si="7"/>
        <v>-2.46875</v>
      </c>
      <c r="N25" s="55">
        <f t="shared" si="8"/>
        <v>2.4375</v>
      </c>
      <c r="O25" s="55">
        <f t="shared" si="9"/>
        <v>2.90625</v>
      </c>
      <c r="P25" s="55">
        <v>3</v>
      </c>
      <c r="Q25" s="55">
        <f t="shared" si="10"/>
        <v>-34.509408602150536</v>
      </c>
      <c r="R25" s="55">
        <f t="shared" si="11"/>
        <v>-44.610831476759735</v>
      </c>
    </row>
    <row r="26" spans="1:18">
      <c r="A26" s="203">
        <v>36475</v>
      </c>
      <c r="B26" s="52">
        <v>88.25</v>
      </c>
      <c r="C26" s="52">
        <v>90.4375</v>
      </c>
      <c r="D26" s="52">
        <v>88.25</v>
      </c>
      <c r="E26" s="52">
        <v>89.625</v>
      </c>
      <c r="F26" s="52">
        <f t="shared" si="0"/>
        <v>3.3125</v>
      </c>
      <c r="G26" s="52">
        <f t="shared" si="1"/>
        <v>1.125</v>
      </c>
      <c r="H26" s="64">
        <f t="shared" si="2"/>
        <v>2.1875</v>
      </c>
      <c r="I26" s="190">
        <f t="shared" si="3"/>
        <v>1</v>
      </c>
      <c r="J26" s="190">
        <f t="shared" si="4"/>
        <v>2.5</v>
      </c>
      <c r="K26" s="190">
        <f t="shared" si="5"/>
        <v>1.375</v>
      </c>
      <c r="L26" s="132">
        <f t="shared" si="6"/>
        <v>-1</v>
      </c>
      <c r="M26" s="132">
        <f t="shared" si="7"/>
        <v>2.9375</v>
      </c>
      <c r="N26" s="52">
        <f t="shared" si="8"/>
        <v>3.3125</v>
      </c>
      <c r="O26" s="52">
        <f t="shared" si="9"/>
        <v>3</v>
      </c>
      <c r="P26" s="52">
        <v>3</v>
      </c>
      <c r="Q26" s="52">
        <f t="shared" si="10"/>
        <v>54.058159722222229</v>
      </c>
      <c r="R26" s="52">
        <f t="shared" si="11"/>
        <v>9.4473282454624936</v>
      </c>
    </row>
    <row r="27" spans="1:18">
      <c r="A27" s="203">
        <v>36476</v>
      </c>
      <c r="B27" s="52">
        <v>89.75</v>
      </c>
      <c r="C27" s="52">
        <v>90</v>
      </c>
      <c r="D27" s="52">
        <v>87.0625</v>
      </c>
      <c r="E27" s="52">
        <v>89.1875</v>
      </c>
      <c r="F27" s="52">
        <f t="shared" si="0"/>
        <v>0.375</v>
      </c>
      <c r="G27" s="52">
        <f t="shared" si="1"/>
        <v>2.5625</v>
      </c>
      <c r="H27" s="64">
        <f t="shared" si="2"/>
        <v>2.9375</v>
      </c>
      <c r="I27" s="190">
        <f t="shared" si="3"/>
        <v>1.375</v>
      </c>
      <c r="J27" s="190">
        <f t="shared" si="4"/>
        <v>-0.4375</v>
      </c>
      <c r="K27" s="190">
        <f t="shared" si="5"/>
        <v>-0.5625</v>
      </c>
      <c r="L27" s="132">
        <f t="shared" si="6"/>
        <v>1.375</v>
      </c>
      <c r="M27" s="132">
        <f t="shared" si="7"/>
        <v>-0.375</v>
      </c>
      <c r="N27" s="52">
        <f t="shared" si="8"/>
        <v>2.5625</v>
      </c>
      <c r="O27" s="52">
        <f t="shared" si="9"/>
        <v>3.28125</v>
      </c>
      <c r="P27" s="52">
        <v>3</v>
      </c>
      <c r="Q27" s="52">
        <f t="shared" si="10"/>
        <v>-4.8809523809523805</v>
      </c>
      <c r="R27" s="52">
        <f t="shared" si="11"/>
        <v>4.5663758645101131</v>
      </c>
    </row>
    <row r="28" spans="1:18">
      <c r="A28" s="204">
        <v>36479</v>
      </c>
      <c r="B28" s="55">
        <v>88.25</v>
      </c>
      <c r="C28" s="55">
        <v>88.5</v>
      </c>
      <c r="D28" s="55">
        <v>86.9375</v>
      </c>
      <c r="E28" s="55">
        <v>87</v>
      </c>
      <c r="F28" s="55">
        <f t="shared" si="0"/>
        <v>0.6875</v>
      </c>
      <c r="G28" s="55">
        <f t="shared" si="1"/>
        <v>2.25</v>
      </c>
      <c r="H28" s="65">
        <f t="shared" si="2"/>
        <v>1.5625</v>
      </c>
      <c r="I28" s="191">
        <f t="shared" si="3"/>
        <v>0.5625</v>
      </c>
      <c r="J28" s="191">
        <f t="shared" si="4"/>
        <v>-2.1875</v>
      </c>
      <c r="K28" s="191">
        <f t="shared" si="5"/>
        <v>-1.25</v>
      </c>
      <c r="L28" s="154">
        <f t="shared" si="6"/>
        <v>-0.5625</v>
      </c>
      <c r="M28" s="154">
        <f t="shared" si="7"/>
        <v>-2.953125</v>
      </c>
      <c r="N28" s="55">
        <f t="shared" si="8"/>
        <v>2.25</v>
      </c>
      <c r="O28" s="55">
        <f t="shared" si="9"/>
        <v>2.046875</v>
      </c>
      <c r="P28" s="55">
        <v>3</v>
      </c>
      <c r="Q28" s="55">
        <f t="shared" si="10"/>
        <v>-54.103053435114504</v>
      </c>
      <c r="R28" s="55">
        <f t="shared" si="11"/>
        <v>-49.53667757060439</v>
      </c>
    </row>
    <row r="29" spans="1:18">
      <c r="A29" s="204">
        <v>36480</v>
      </c>
      <c r="B29" s="55">
        <v>86.9375</v>
      </c>
      <c r="C29" s="55">
        <v>87.75</v>
      </c>
      <c r="D29" s="55">
        <v>85.875</v>
      </c>
      <c r="E29" s="55">
        <v>87.3125</v>
      </c>
      <c r="F29" s="55">
        <f t="shared" si="0"/>
        <v>0.75</v>
      </c>
      <c r="G29" s="55">
        <f t="shared" si="1"/>
        <v>1.125</v>
      </c>
      <c r="H29" s="65">
        <f t="shared" si="2"/>
        <v>1.875</v>
      </c>
      <c r="I29" s="191">
        <f t="shared" si="3"/>
        <v>1.25</v>
      </c>
      <c r="J29" s="191">
        <f t="shared" si="4"/>
        <v>0.3125</v>
      </c>
      <c r="K29" s="191">
        <f t="shared" si="5"/>
        <v>0.375</v>
      </c>
      <c r="L29" s="154">
        <f t="shared" si="6"/>
        <v>-1.25</v>
      </c>
      <c r="M29" s="154">
        <f t="shared" si="7"/>
        <v>0.1875</v>
      </c>
      <c r="N29" s="55">
        <f t="shared" si="8"/>
        <v>1.125</v>
      </c>
      <c r="O29" s="55">
        <f t="shared" si="9"/>
        <v>2.1875</v>
      </c>
      <c r="P29" s="55">
        <v>3</v>
      </c>
      <c r="Q29" s="55">
        <f t="shared" si="10"/>
        <v>1.607142857142857</v>
      </c>
      <c r="R29" s="55">
        <f t="shared" si="11"/>
        <v>-47.929534713461535</v>
      </c>
    </row>
    <row r="30" spans="1:18">
      <c r="A30" s="203">
        <v>36481</v>
      </c>
      <c r="B30" s="52">
        <v>86.4375</v>
      </c>
      <c r="C30" s="52">
        <v>87.0625</v>
      </c>
      <c r="D30" s="52">
        <v>85</v>
      </c>
      <c r="E30" s="52">
        <v>85</v>
      </c>
      <c r="F30" s="52">
        <f t="shared" si="0"/>
        <v>0.25</v>
      </c>
      <c r="G30" s="52">
        <f t="shared" si="1"/>
        <v>2.3125</v>
      </c>
      <c r="H30" s="64">
        <f t="shared" si="2"/>
        <v>2.0625</v>
      </c>
      <c r="I30" s="190">
        <f t="shared" si="3"/>
        <v>0.375</v>
      </c>
      <c r="J30" s="190">
        <f t="shared" si="4"/>
        <v>-2.3125</v>
      </c>
      <c r="K30" s="190">
        <f t="shared" si="5"/>
        <v>-1.4375</v>
      </c>
      <c r="L30" s="132">
        <f t="shared" si="6"/>
        <v>0.375</v>
      </c>
      <c r="M30" s="132">
        <f t="shared" si="7"/>
        <v>-2.9375</v>
      </c>
      <c r="N30" s="52">
        <f t="shared" si="8"/>
        <v>2.3125</v>
      </c>
      <c r="O30" s="52">
        <f t="shared" si="9"/>
        <v>2.28125</v>
      </c>
      <c r="P30" s="52">
        <v>3</v>
      </c>
      <c r="Q30" s="52">
        <f t="shared" si="10"/>
        <v>-49.628995433789953</v>
      </c>
      <c r="R30" s="52">
        <f t="shared" si="11"/>
        <v>-97.558530147251489</v>
      </c>
    </row>
    <row r="31" spans="1:18">
      <c r="A31" s="203">
        <v>36482</v>
      </c>
      <c r="B31" s="52">
        <v>84.9375</v>
      </c>
      <c r="C31" s="52">
        <v>85.8125</v>
      </c>
      <c r="D31" s="52">
        <v>84.5</v>
      </c>
      <c r="E31" s="52">
        <v>84.9375</v>
      </c>
      <c r="F31" s="52">
        <f t="shared" si="0"/>
        <v>0.8125</v>
      </c>
      <c r="G31" s="52">
        <f t="shared" si="1"/>
        <v>0.5</v>
      </c>
      <c r="H31" s="64">
        <f t="shared" si="2"/>
        <v>1.3125</v>
      </c>
      <c r="I31" s="190">
        <f t="shared" si="3"/>
        <v>1.4375</v>
      </c>
      <c r="J31" s="190">
        <f t="shared" si="4"/>
        <v>-6.25E-2</v>
      </c>
      <c r="K31" s="190">
        <f t="shared" si="5"/>
        <v>0</v>
      </c>
      <c r="L31" s="132">
        <f t="shared" si="6"/>
        <v>-1.4375</v>
      </c>
      <c r="M31" s="132">
        <f t="shared" si="7"/>
        <v>-0.421875</v>
      </c>
      <c r="N31" s="52">
        <f t="shared" si="8"/>
        <v>0.8125</v>
      </c>
      <c r="O31" s="52">
        <f t="shared" si="9"/>
        <v>1.671875</v>
      </c>
      <c r="P31" s="52">
        <v>3</v>
      </c>
      <c r="Q31" s="52">
        <f t="shared" si="10"/>
        <v>-3.417056074766355</v>
      </c>
      <c r="R31" s="52">
        <f t="shared" si="11"/>
        <v>-100.97558622201784</v>
      </c>
    </row>
    <row r="32" spans="1:18">
      <c r="A32" s="204">
        <v>36483</v>
      </c>
      <c r="B32" s="55">
        <v>84.4375</v>
      </c>
      <c r="C32" s="55">
        <v>86.5625</v>
      </c>
      <c r="D32" s="55">
        <v>84.375</v>
      </c>
      <c r="E32" s="55">
        <v>86</v>
      </c>
      <c r="F32" s="55">
        <f t="shared" si="0"/>
        <v>1.625</v>
      </c>
      <c r="G32" s="55">
        <f t="shared" si="1"/>
        <v>0.5625</v>
      </c>
      <c r="H32" s="65">
        <f t="shared" si="2"/>
        <v>2.1875</v>
      </c>
      <c r="I32" s="191">
        <f t="shared" si="3"/>
        <v>0</v>
      </c>
      <c r="J32" s="191">
        <f t="shared" si="4"/>
        <v>1.0625</v>
      </c>
      <c r="K32" s="191">
        <f t="shared" si="5"/>
        <v>1.5625</v>
      </c>
      <c r="L32" s="154">
        <f t="shared" si="6"/>
        <v>0</v>
      </c>
      <c r="M32" s="154">
        <f t="shared" si="7"/>
        <v>1.84375</v>
      </c>
      <c r="N32" s="55">
        <f t="shared" si="8"/>
        <v>1.625</v>
      </c>
      <c r="O32" s="55">
        <f t="shared" si="9"/>
        <v>2.1875</v>
      </c>
      <c r="P32" s="55">
        <v>3</v>
      </c>
      <c r="Q32" s="55">
        <f t="shared" si="10"/>
        <v>22.827380952380953</v>
      </c>
      <c r="R32" s="55">
        <f t="shared" si="11"/>
        <v>-78.14820526963689</v>
      </c>
    </row>
    <row r="33" spans="1:18">
      <c r="A33" s="204">
        <v>36486</v>
      </c>
      <c r="B33" s="55">
        <v>89.625</v>
      </c>
      <c r="C33" s="55">
        <v>90.375</v>
      </c>
      <c r="D33" s="55">
        <v>88.4375</v>
      </c>
      <c r="E33" s="55">
        <v>89.8125</v>
      </c>
      <c r="F33" s="55">
        <f t="shared" si="0"/>
        <v>4.375</v>
      </c>
      <c r="G33" s="55">
        <f t="shared" si="1"/>
        <v>2.4375</v>
      </c>
      <c r="H33" s="65">
        <f t="shared" si="2"/>
        <v>1.9375</v>
      </c>
      <c r="I33" s="191">
        <f t="shared" si="3"/>
        <v>1.5625</v>
      </c>
      <c r="J33" s="191">
        <f t="shared" si="4"/>
        <v>3.8125</v>
      </c>
      <c r="K33" s="191">
        <f t="shared" si="5"/>
        <v>0.1875</v>
      </c>
      <c r="L33" s="154">
        <f t="shared" si="6"/>
        <v>1.5625</v>
      </c>
      <c r="M33" s="154">
        <f t="shared" si="7"/>
        <v>4.296875</v>
      </c>
      <c r="N33" s="55">
        <f t="shared" si="8"/>
        <v>4.375</v>
      </c>
      <c r="O33" s="55">
        <f t="shared" si="9"/>
        <v>3.546875</v>
      </c>
      <c r="P33" s="55">
        <v>3</v>
      </c>
      <c r="Q33" s="55">
        <f t="shared" si="10"/>
        <v>88.335168869309825</v>
      </c>
      <c r="R33" s="55">
        <f t="shared" si="11"/>
        <v>10.186963599672936</v>
      </c>
    </row>
    <row r="34" spans="1:18">
      <c r="A34" s="203">
        <v>36487</v>
      </c>
      <c r="B34" s="52">
        <v>89.25</v>
      </c>
      <c r="C34" s="52">
        <v>91.375</v>
      </c>
      <c r="D34" s="52">
        <v>88.375</v>
      </c>
      <c r="E34" s="52">
        <v>89.625</v>
      </c>
      <c r="F34" s="52">
        <f t="shared" si="0"/>
        <v>1.5625</v>
      </c>
      <c r="G34" s="52">
        <f t="shared" si="1"/>
        <v>1.4375</v>
      </c>
      <c r="H34" s="64">
        <f t="shared" si="2"/>
        <v>3</v>
      </c>
      <c r="I34" s="190">
        <f t="shared" si="3"/>
        <v>0.1875</v>
      </c>
      <c r="J34" s="190">
        <f t="shared" si="4"/>
        <v>-0.1875</v>
      </c>
      <c r="K34" s="190">
        <f t="shared" si="5"/>
        <v>0.375</v>
      </c>
      <c r="L34" s="132">
        <f t="shared" si="6"/>
        <v>0.1875</v>
      </c>
      <c r="M34" s="132">
        <f t="shared" si="7"/>
        <v>4.6875E-2</v>
      </c>
      <c r="N34" s="52">
        <f t="shared" si="8"/>
        <v>1.5625</v>
      </c>
      <c r="O34" s="52">
        <f t="shared" si="9"/>
        <v>3.046875</v>
      </c>
      <c r="P34" s="52">
        <v>3</v>
      </c>
      <c r="Q34" s="52">
        <f t="shared" si="10"/>
        <v>0.40064102564102572</v>
      </c>
      <c r="R34" s="52">
        <f t="shared" si="11"/>
        <v>10.587604625313961</v>
      </c>
    </row>
    <row r="35" spans="1:18">
      <c r="A35" s="203">
        <v>36488</v>
      </c>
      <c r="B35" s="52">
        <v>89.5625</v>
      </c>
      <c r="C35" s="52">
        <v>92.25</v>
      </c>
      <c r="D35" s="52">
        <v>89.5</v>
      </c>
      <c r="E35" s="52">
        <v>91.6875</v>
      </c>
      <c r="F35" s="52">
        <f t="shared" si="0"/>
        <v>2.625</v>
      </c>
      <c r="G35" s="52">
        <f t="shared" si="1"/>
        <v>0.125</v>
      </c>
      <c r="H35" s="64">
        <f t="shared" si="2"/>
        <v>2.75</v>
      </c>
      <c r="I35" s="190">
        <f t="shared" si="3"/>
        <v>0.375</v>
      </c>
      <c r="J35" s="190">
        <f t="shared" si="4"/>
        <v>2.0625</v>
      </c>
      <c r="K35" s="190">
        <f t="shared" si="5"/>
        <v>2.125</v>
      </c>
      <c r="L35" s="132">
        <f t="shared" si="6"/>
        <v>0.375</v>
      </c>
      <c r="M35" s="132">
        <f t="shared" si="7"/>
        <v>3.21875</v>
      </c>
      <c r="N35" s="52">
        <f t="shared" si="8"/>
        <v>2.625</v>
      </c>
      <c r="O35" s="52">
        <f t="shared" si="9"/>
        <v>2.84375</v>
      </c>
      <c r="P35" s="52">
        <v>3</v>
      </c>
      <c r="Q35" s="52">
        <f t="shared" si="10"/>
        <v>49.519230769230766</v>
      </c>
      <c r="R35" s="52">
        <f t="shared" si="11"/>
        <v>60.106835394544731</v>
      </c>
    </row>
    <row r="36" spans="1:18">
      <c r="A36" s="204">
        <v>36490</v>
      </c>
      <c r="B36" s="55">
        <v>91.625</v>
      </c>
      <c r="C36" s="55">
        <v>93.375</v>
      </c>
      <c r="D36" s="55">
        <v>91</v>
      </c>
      <c r="E36" s="55">
        <v>91.125</v>
      </c>
      <c r="F36" s="55">
        <f t="shared" si="0"/>
        <v>1.6875</v>
      </c>
      <c r="G36" s="55">
        <f t="shared" si="1"/>
        <v>0.6875</v>
      </c>
      <c r="H36" s="65">
        <f t="shared" si="2"/>
        <v>2.375</v>
      </c>
      <c r="I36" s="191">
        <f t="shared" si="3"/>
        <v>2.125</v>
      </c>
      <c r="J36" s="191">
        <f t="shared" si="4"/>
        <v>-0.5625</v>
      </c>
      <c r="K36" s="191">
        <f t="shared" si="5"/>
        <v>-0.5</v>
      </c>
      <c r="L36" s="154">
        <f t="shared" si="6"/>
        <v>2.125</v>
      </c>
      <c r="M36" s="154">
        <f t="shared" si="7"/>
        <v>-0.28125</v>
      </c>
      <c r="N36" s="55">
        <f t="shared" si="8"/>
        <v>1.6875</v>
      </c>
      <c r="O36" s="55">
        <f t="shared" si="9"/>
        <v>2.90625</v>
      </c>
      <c r="P36" s="55">
        <v>3</v>
      </c>
      <c r="Q36" s="55">
        <f t="shared" si="10"/>
        <v>-2.7217741935483875</v>
      </c>
      <c r="R36" s="55">
        <f t="shared" si="11"/>
        <v>57.385061200996347</v>
      </c>
    </row>
    <row r="37" spans="1:18">
      <c r="A37" s="204">
        <v>36493</v>
      </c>
      <c r="B37" s="55">
        <v>90.125</v>
      </c>
      <c r="C37" s="55">
        <v>92.0625</v>
      </c>
      <c r="D37" s="55">
        <v>89.5</v>
      </c>
      <c r="E37" s="55">
        <v>90.1875</v>
      </c>
      <c r="F37" s="55">
        <f t="shared" si="0"/>
        <v>0.9375</v>
      </c>
      <c r="G37" s="55">
        <f t="shared" si="1"/>
        <v>1.625</v>
      </c>
      <c r="H37" s="65">
        <f t="shared" si="2"/>
        <v>2.5625</v>
      </c>
      <c r="I37" s="191">
        <f t="shared" si="3"/>
        <v>0.5</v>
      </c>
      <c r="J37" s="191">
        <f t="shared" si="4"/>
        <v>-0.9375</v>
      </c>
      <c r="K37" s="191">
        <f t="shared" si="5"/>
        <v>6.25E-2</v>
      </c>
      <c r="L37" s="154">
        <f t="shared" si="6"/>
        <v>-0.5</v>
      </c>
      <c r="M37" s="154">
        <f t="shared" si="7"/>
        <v>-1.03125</v>
      </c>
      <c r="N37" s="55">
        <f t="shared" si="8"/>
        <v>1.625</v>
      </c>
      <c r="O37" s="55">
        <f t="shared" si="9"/>
        <v>2.6875</v>
      </c>
      <c r="P37" s="55">
        <v>3</v>
      </c>
      <c r="Q37" s="55">
        <f t="shared" si="10"/>
        <v>-10.392441860465118</v>
      </c>
      <c r="R37" s="55">
        <f t="shared" si="11"/>
        <v>46.992619340531228</v>
      </c>
    </row>
    <row r="38" spans="1:18">
      <c r="A38" s="203">
        <v>36494</v>
      </c>
      <c r="B38" s="52">
        <v>89.75</v>
      </c>
      <c r="C38" s="52">
        <v>92.875</v>
      </c>
      <c r="D38" s="52">
        <v>89.5625</v>
      </c>
      <c r="E38" s="52">
        <v>91.046899999999994</v>
      </c>
      <c r="F38" s="52">
        <f t="shared" si="0"/>
        <v>2.6875</v>
      </c>
      <c r="G38" s="52">
        <f t="shared" si="1"/>
        <v>0.625</v>
      </c>
      <c r="H38" s="64">
        <f t="shared" si="2"/>
        <v>3.3125</v>
      </c>
      <c r="I38" s="190">
        <f t="shared" si="3"/>
        <v>6.25E-2</v>
      </c>
      <c r="J38" s="190">
        <f t="shared" si="4"/>
        <v>0.85939999999999372</v>
      </c>
      <c r="K38" s="190">
        <f t="shared" si="5"/>
        <v>1.2968999999999937</v>
      </c>
      <c r="L38" s="132">
        <f t="shared" si="6"/>
        <v>6.25E-2</v>
      </c>
      <c r="M38" s="132">
        <f t="shared" si="7"/>
        <v>1.5234749999999906</v>
      </c>
      <c r="N38" s="52">
        <f t="shared" si="8"/>
        <v>2.6875</v>
      </c>
      <c r="O38" s="52">
        <f t="shared" si="9"/>
        <v>3.328125</v>
      </c>
      <c r="P38" s="52">
        <v>3</v>
      </c>
      <c r="Q38" s="52">
        <f t="shared" si="10"/>
        <v>20.503732394366072</v>
      </c>
      <c r="R38" s="52">
        <f t="shared" si="11"/>
        <v>67.496351734897303</v>
      </c>
    </row>
    <row r="39" spans="1:18">
      <c r="A39" s="203">
        <v>36495</v>
      </c>
      <c r="B39" s="52">
        <v>91.0625</v>
      </c>
      <c r="C39" s="52">
        <v>93.9375</v>
      </c>
      <c r="D39" s="52">
        <v>90.875</v>
      </c>
      <c r="E39" s="52">
        <v>93.1875</v>
      </c>
      <c r="F39" s="52">
        <f t="shared" si="0"/>
        <v>2.8906000000000063</v>
      </c>
      <c r="G39" s="52">
        <f t="shared" si="1"/>
        <v>0.17189999999999372</v>
      </c>
      <c r="H39" s="64">
        <f t="shared" si="2"/>
        <v>3.0625</v>
      </c>
      <c r="I39" s="190">
        <f t="shared" si="3"/>
        <v>1.2968999999999937</v>
      </c>
      <c r="J39" s="190">
        <f t="shared" si="4"/>
        <v>2.1406000000000063</v>
      </c>
      <c r="K39" s="190">
        <f t="shared" si="5"/>
        <v>2.125</v>
      </c>
      <c r="L39" s="132">
        <f t="shared" si="6"/>
        <v>1.2968999999999937</v>
      </c>
      <c r="M39" s="132">
        <f t="shared" si="7"/>
        <v>3.5273250000000047</v>
      </c>
      <c r="N39" s="52">
        <f t="shared" si="8"/>
        <v>2.8906000000000063</v>
      </c>
      <c r="O39" s="52">
        <f t="shared" si="9"/>
        <v>3.3867249999999984</v>
      </c>
      <c r="P39" s="52">
        <v>3</v>
      </c>
      <c r="Q39" s="52">
        <f t="shared" si="10"/>
        <v>50.176722571215755</v>
      </c>
      <c r="R39" s="52">
        <f t="shared" si="11"/>
        <v>117.67307430611305</v>
      </c>
    </row>
    <row r="40" spans="1:18">
      <c r="A40" s="204">
        <v>36496</v>
      </c>
      <c r="B40" s="55">
        <v>93.0625</v>
      </c>
      <c r="C40" s="55">
        <v>95.25</v>
      </c>
      <c r="D40" s="55">
        <v>92.875</v>
      </c>
      <c r="E40" s="55">
        <v>94.8125</v>
      </c>
      <c r="F40" s="55">
        <f t="shared" si="0"/>
        <v>2.0625</v>
      </c>
      <c r="G40" s="55">
        <f t="shared" si="1"/>
        <v>0.3125</v>
      </c>
      <c r="H40" s="65">
        <f t="shared" si="2"/>
        <v>2.375</v>
      </c>
      <c r="I40" s="191">
        <f t="shared" si="3"/>
        <v>2.125</v>
      </c>
      <c r="J40" s="191">
        <f t="shared" si="4"/>
        <v>1.625</v>
      </c>
      <c r="K40" s="191">
        <f t="shared" si="5"/>
        <v>1.75</v>
      </c>
      <c r="L40" s="154">
        <f t="shared" si="6"/>
        <v>2.125</v>
      </c>
      <c r="M40" s="154">
        <f t="shared" si="7"/>
        <v>3.03125</v>
      </c>
      <c r="N40" s="55">
        <f t="shared" si="8"/>
        <v>2.0625</v>
      </c>
      <c r="O40" s="55">
        <f t="shared" si="9"/>
        <v>2.90625</v>
      </c>
      <c r="P40" s="55">
        <v>3</v>
      </c>
      <c r="Q40" s="55">
        <f t="shared" si="10"/>
        <v>35.853494623655912</v>
      </c>
      <c r="R40" s="55">
        <f t="shared" si="11"/>
        <v>153.52656892976896</v>
      </c>
    </row>
    <row r="41" spans="1:18">
      <c r="A41" s="204">
        <v>36497</v>
      </c>
      <c r="B41" s="55">
        <v>95.8125</v>
      </c>
      <c r="C41" s="55">
        <v>97.125</v>
      </c>
      <c r="D41" s="55">
        <v>95.734399999999994</v>
      </c>
      <c r="E41" s="55">
        <v>96.125</v>
      </c>
      <c r="F41" s="55">
        <f t="shared" si="0"/>
        <v>2.3125</v>
      </c>
      <c r="G41" s="55">
        <f t="shared" si="1"/>
        <v>0.92189999999999372</v>
      </c>
      <c r="H41" s="65">
        <f t="shared" si="2"/>
        <v>1.3906000000000063</v>
      </c>
      <c r="I41" s="191">
        <f t="shared" si="3"/>
        <v>1.75</v>
      </c>
      <c r="J41" s="191">
        <f t="shared" si="4"/>
        <v>1.3125</v>
      </c>
      <c r="K41" s="191">
        <f t="shared" si="5"/>
        <v>0.3125</v>
      </c>
      <c r="L41" s="154">
        <f t="shared" si="6"/>
        <v>1.75</v>
      </c>
      <c r="M41" s="154">
        <f t="shared" si="7"/>
        <v>1.90625</v>
      </c>
      <c r="N41" s="55">
        <f t="shared" si="8"/>
        <v>2.3125</v>
      </c>
      <c r="O41" s="55">
        <f t="shared" si="9"/>
        <v>2.2890500000000031</v>
      </c>
      <c r="P41" s="55">
        <v>3</v>
      </c>
      <c r="Q41" s="55">
        <f t="shared" si="10"/>
        <v>32.096307238082716</v>
      </c>
      <c r="R41" s="55">
        <f t="shared" si="11"/>
        <v>185.62287616785167</v>
      </c>
    </row>
    <row r="42" spans="1:18">
      <c r="A42" s="203">
        <v>36500</v>
      </c>
      <c r="B42" s="52">
        <v>95.25</v>
      </c>
      <c r="C42" s="52">
        <v>97.1875</v>
      </c>
      <c r="D42" s="52">
        <v>94.75</v>
      </c>
      <c r="E42" s="52">
        <v>95.4375</v>
      </c>
      <c r="F42" s="52">
        <f t="shared" si="0"/>
        <v>1.0625</v>
      </c>
      <c r="G42" s="52">
        <f t="shared" si="1"/>
        <v>1.375</v>
      </c>
      <c r="H42" s="64">
        <f t="shared" si="2"/>
        <v>2.4375</v>
      </c>
      <c r="I42" s="190">
        <f t="shared" si="3"/>
        <v>0.3125</v>
      </c>
      <c r="J42" s="190">
        <f t="shared" si="4"/>
        <v>-0.6875</v>
      </c>
      <c r="K42" s="190">
        <f t="shared" si="5"/>
        <v>0.1875</v>
      </c>
      <c r="L42" s="132">
        <f t="shared" si="6"/>
        <v>0.3125</v>
      </c>
      <c r="M42" s="132">
        <f t="shared" si="7"/>
        <v>-0.515625</v>
      </c>
      <c r="N42" s="52">
        <f t="shared" si="8"/>
        <v>1.375</v>
      </c>
      <c r="O42" s="52">
        <f t="shared" si="9"/>
        <v>2.515625</v>
      </c>
      <c r="P42" s="52">
        <v>3</v>
      </c>
      <c r="Q42" s="52">
        <f t="shared" si="10"/>
        <v>-4.6972049689440993</v>
      </c>
      <c r="R42" s="52">
        <f t="shared" si="11"/>
        <v>180.92567119890757</v>
      </c>
    </row>
    <row r="43" spans="1:18">
      <c r="A43" s="203">
        <v>36501</v>
      </c>
      <c r="B43" s="52">
        <v>94.75</v>
      </c>
      <c r="C43" s="52">
        <v>94.875</v>
      </c>
      <c r="D43" s="52">
        <v>92.875</v>
      </c>
      <c r="E43" s="52">
        <v>93</v>
      </c>
      <c r="F43" s="52">
        <f t="shared" si="0"/>
        <v>0.5625</v>
      </c>
      <c r="G43" s="52">
        <f t="shared" si="1"/>
        <v>2.5625</v>
      </c>
      <c r="H43" s="64">
        <f t="shared" si="2"/>
        <v>2</v>
      </c>
      <c r="I43" s="190">
        <f t="shared" si="3"/>
        <v>0.1875</v>
      </c>
      <c r="J43" s="190">
        <f t="shared" si="4"/>
        <v>-2.4375</v>
      </c>
      <c r="K43" s="190">
        <f t="shared" si="5"/>
        <v>-1.75</v>
      </c>
      <c r="L43" s="132">
        <f t="shared" si="6"/>
        <v>0.1875</v>
      </c>
      <c r="M43" s="132">
        <f t="shared" si="7"/>
        <v>-3.265625</v>
      </c>
      <c r="N43" s="52">
        <f t="shared" si="8"/>
        <v>2.5625</v>
      </c>
      <c r="O43" s="52">
        <f t="shared" si="9"/>
        <v>2.328125</v>
      </c>
      <c r="P43" s="52">
        <v>3</v>
      </c>
      <c r="Q43" s="52">
        <f t="shared" si="10"/>
        <v>-59.906319910514547</v>
      </c>
      <c r="R43" s="52">
        <f t="shared" si="11"/>
        <v>121.01935128839301</v>
      </c>
    </row>
    <row r="44" spans="1:18">
      <c r="A44" s="204">
        <v>36502</v>
      </c>
      <c r="B44" s="55">
        <v>93.125</v>
      </c>
      <c r="C44" s="55">
        <v>94.3125</v>
      </c>
      <c r="D44" s="55">
        <v>91.6875</v>
      </c>
      <c r="E44" s="55">
        <v>91.75</v>
      </c>
      <c r="F44" s="55">
        <f t="shared" si="0"/>
        <v>1.3125</v>
      </c>
      <c r="G44" s="55">
        <f t="shared" si="1"/>
        <v>1.3125</v>
      </c>
      <c r="H44" s="65">
        <f t="shared" si="2"/>
        <v>2.625</v>
      </c>
      <c r="I44" s="191">
        <f t="shared" si="3"/>
        <v>1.75</v>
      </c>
      <c r="J44" s="191">
        <f t="shared" si="4"/>
        <v>-1.25</v>
      </c>
      <c r="K44" s="191">
        <f t="shared" si="5"/>
        <v>-1.375</v>
      </c>
      <c r="L44" s="154">
        <f t="shared" si="6"/>
        <v>-1.75</v>
      </c>
      <c r="M44" s="154">
        <f t="shared" si="7"/>
        <v>-2.375</v>
      </c>
      <c r="N44" s="55">
        <f t="shared" si="8"/>
        <v>1.3125</v>
      </c>
      <c r="O44" s="55">
        <f t="shared" si="9"/>
        <v>3.0625</v>
      </c>
      <c r="P44" s="55">
        <v>3</v>
      </c>
      <c r="Q44" s="55">
        <f t="shared" si="10"/>
        <v>-16.964285714285715</v>
      </c>
      <c r="R44" s="55">
        <f t="shared" si="11"/>
        <v>104.05506557410729</v>
      </c>
    </row>
    <row r="45" spans="1:18">
      <c r="A45" s="204">
        <v>36503</v>
      </c>
      <c r="B45" s="55">
        <v>92</v>
      </c>
      <c r="C45" s="55">
        <v>93.3125</v>
      </c>
      <c r="D45" s="55">
        <v>91.4375</v>
      </c>
      <c r="E45" s="55">
        <v>92.75</v>
      </c>
      <c r="F45" s="55">
        <f t="shared" si="0"/>
        <v>1.5625</v>
      </c>
      <c r="G45" s="55">
        <f t="shared" si="1"/>
        <v>0.3125</v>
      </c>
      <c r="H45" s="65">
        <f t="shared" si="2"/>
        <v>1.875</v>
      </c>
      <c r="I45" s="191">
        <f t="shared" si="3"/>
        <v>1.375</v>
      </c>
      <c r="J45" s="191">
        <f t="shared" si="4"/>
        <v>1</v>
      </c>
      <c r="K45" s="191">
        <f t="shared" si="5"/>
        <v>0.75</v>
      </c>
      <c r="L45" s="154">
        <f t="shared" si="6"/>
        <v>-1.375</v>
      </c>
      <c r="M45" s="154">
        <f t="shared" si="7"/>
        <v>1.03125</v>
      </c>
      <c r="N45" s="55">
        <f t="shared" si="8"/>
        <v>1.5625</v>
      </c>
      <c r="O45" s="55">
        <f t="shared" si="9"/>
        <v>2.21875</v>
      </c>
      <c r="P45" s="55">
        <v>3</v>
      </c>
      <c r="Q45" s="55">
        <f t="shared" si="10"/>
        <v>12.103873239436618</v>
      </c>
      <c r="R45" s="55">
        <f t="shared" si="11"/>
        <v>116.15893881354391</v>
      </c>
    </row>
    <row r="46" spans="1:18">
      <c r="A46" s="203">
        <v>36504</v>
      </c>
      <c r="B46" s="52">
        <v>93.375</v>
      </c>
      <c r="C46" s="52">
        <v>94.125</v>
      </c>
      <c r="D46" s="52">
        <v>92.25</v>
      </c>
      <c r="E46" s="52">
        <v>93.875</v>
      </c>
      <c r="F46" s="52">
        <f t="shared" si="0"/>
        <v>1.375</v>
      </c>
      <c r="G46" s="52">
        <f t="shared" si="1"/>
        <v>0.5</v>
      </c>
      <c r="H46" s="64">
        <f t="shared" si="2"/>
        <v>1.875</v>
      </c>
      <c r="I46" s="190">
        <f t="shared" si="3"/>
        <v>0.75</v>
      </c>
      <c r="J46" s="190">
        <f t="shared" si="4"/>
        <v>1.125</v>
      </c>
      <c r="K46" s="190">
        <f t="shared" si="5"/>
        <v>0.5</v>
      </c>
      <c r="L46" s="132">
        <f t="shared" si="6"/>
        <v>0.75</v>
      </c>
      <c r="M46" s="132">
        <f t="shared" si="7"/>
        <v>1.5625</v>
      </c>
      <c r="N46" s="52">
        <f t="shared" si="8"/>
        <v>1.375</v>
      </c>
      <c r="O46" s="52">
        <f t="shared" si="9"/>
        <v>2.0625</v>
      </c>
      <c r="P46" s="52">
        <v>3</v>
      </c>
      <c r="Q46" s="52">
        <f t="shared" si="10"/>
        <v>17.361111111111111</v>
      </c>
      <c r="R46" s="52">
        <f t="shared" si="11"/>
        <v>133.52004992465501</v>
      </c>
    </row>
    <row r="47" spans="1:18">
      <c r="A47" s="203">
        <v>36507</v>
      </c>
      <c r="B47" s="52">
        <v>93.609399999999994</v>
      </c>
      <c r="C47" s="52">
        <v>96.9375</v>
      </c>
      <c r="D47" s="52">
        <v>92.75</v>
      </c>
      <c r="E47" s="52">
        <v>96.625</v>
      </c>
      <c r="F47" s="52">
        <f t="shared" si="0"/>
        <v>3.0625</v>
      </c>
      <c r="G47" s="52">
        <f t="shared" si="1"/>
        <v>1.125</v>
      </c>
      <c r="H47" s="64">
        <f t="shared" si="2"/>
        <v>4.1875</v>
      </c>
      <c r="I47" s="190">
        <f t="shared" si="3"/>
        <v>0.5</v>
      </c>
      <c r="J47" s="190">
        <f t="shared" si="4"/>
        <v>2.75</v>
      </c>
      <c r="K47" s="190">
        <f t="shared" si="5"/>
        <v>3.0156000000000063</v>
      </c>
      <c r="L47" s="132">
        <f t="shared" si="6"/>
        <v>0.5</v>
      </c>
      <c r="M47" s="132">
        <f t="shared" si="7"/>
        <v>4.3828000000000031</v>
      </c>
      <c r="N47" s="52">
        <f t="shared" si="8"/>
        <v>3.0625</v>
      </c>
      <c r="O47" s="52">
        <f t="shared" si="9"/>
        <v>4.3125</v>
      </c>
      <c r="P47" s="52">
        <v>3</v>
      </c>
      <c r="Q47" s="52">
        <f t="shared" si="10"/>
        <v>51.873719806763319</v>
      </c>
      <c r="R47" s="52">
        <f t="shared" si="11"/>
        <v>185.39376973141833</v>
      </c>
    </row>
    <row r="48" spans="1:18">
      <c r="A48" s="204">
        <v>36508</v>
      </c>
      <c r="B48" s="55">
        <v>96.1875</v>
      </c>
      <c r="C48" s="55">
        <v>101.125</v>
      </c>
      <c r="D48" s="55">
        <v>95.3125</v>
      </c>
      <c r="E48" s="55">
        <v>98.6875</v>
      </c>
      <c r="F48" s="55">
        <f t="shared" si="0"/>
        <v>4.5</v>
      </c>
      <c r="G48" s="55">
        <f t="shared" si="1"/>
        <v>1.3125</v>
      </c>
      <c r="H48" s="65">
        <f t="shared" si="2"/>
        <v>5.8125</v>
      </c>
      <c r="I48" s="191">
        <f t="shared" si="3"/>
        <v>3.0156000000000063</v>
      </c>
      <c r="J48" s="191">
        <f t="shared" si="4"/>
        <v>2.0625</v>
      </c>
      <c r="K48" s="191">
        <f t="shared" si="5"/>
        <v>2.5</v>
      </c>
      <c r="L48" s="154">
        <f t="shared" si="6"/>
        <v>3.0156000000000063</v>
      </c>
      <c r="M48" s="154">
        <f t="shared" si="7"/>
        <v>4.0664000000000016</v>
      </c>
      <c r="N48" s="55">
        <f t="shared" si="8"/>
        <v>4.5</v>
      </c>
      <c r="O48" s="55">
        <f t="shared" si="9"/>
        <v>6.5664000000000016</v>
      </c>
      <c r="P48" s="55">
        <v>3</v>
      </c>
      <c r="Q48" s="55">
        <f t="shared" si="10"/>
        <v>46.445540935672518</v>
      </c>
      <c r="R48" s="55">
        <f t="shared" si="11"/>
        <v>231.83931066709084</v>
      </c>
    </row>
    <row r="49" spans="1:18">
      <c r="A49" s="204">
        <v>36509</v>
      </c>
      <c r="B49" s="55">
        <v>98.5625</v>
      </c>
      <c r="C49" s="55">
        <v>108.75</v>
      </c>
      <c r="D49" s="55">
        <v>98.5</v>
      </c>
      <c r="E49" s="55">
        <v>108.438</v>
      </c>
      <c r="F49" s="55">
        <f t="shared" si="0"/>
        <v>10.0625</v>
      </c>
      <c r="G49" s="55">
        <f t="shared" si="1"/>
        <v>0.1875</v>
      </c>
      <c r="H49" s="65">
        <f t="shared" si="2"/>
        <v>10.25</v>
      </c>
      <c r="I49" s="191">
        <f t="shared" si="3"/>
        <v>2.5</v>
      </c>
      <c r="J49" s="191">
        <f t="shared" si="4"/>
        <v>9.7505000000000024</v>
      </c>
      <c r="K49" s="191">
        <f t="shared" si="5"/>
        <v>9.8755000000000024</v>
      </c>
      <c r="L49" s="154">
        <f t="shared" si="6"/>
        <v>2.5</v>
      </c>
      <c r="M49" s="154">
        <f t="shared" si="7"/>
        <v>15.313250000000004</v>
      </c>
      <c r="N49" s="55">
        <f t="shared" si="8"/>
        <v>10.0625</v>
      </c>
      <c r="O49" s="55">
        <f t="shared" si="9"/>
        <v>10.875</v>
      </c>
      <c r="P49" s="55">
        <v>3</v>
      </c>
      <c r="Q49" s="55">
        <f t="shared" si="10"/>
        <v>100</v>
      </c>
      <c r="R49" s="55">
        <f t="shared" si="11"/>
        <v>331.83931066709084</v>
      </c>
    </row>
    <row r="50" spans="1:18">
      <c r="A50" s="203">
        <v>36510</v>
      </c>
      <c r="B50" s="52">
        <v>109.25</v>
      </c>
      <c r="C50" s="52">
        <v>115</v>
      </c>
      <c r="D50" s="52">
        <v>108.938</v>
      </c>
      <c r="E50" s="52">
        <v>113.688</v>
      </c>
      <c r="F50" s="52">
        <f t="shared" si="0"/>
        <v>6.5619999999999976</v>
      </c>
      <c r="G50" s="52">
        <f t="shared" si="1"/>
        <v>0.5</v>
      </c>
      <c r="H50" s="64">
        <f t="shared" si="2"/>
        <v>6.0619999999999976</v>
      </c>
      <c r="I50" s="190">
        <f t="shared" si="3"/>
        <v>9.8755000000000024</v>
      </c>
      <c r="J50" s="190">
        <f t="shared" si="4"/>
        <v>5.25</v>
      </c>
      <c r="K50" s="190">
        <f t="shared" si="5"/>
        <v>4.4380000000000024</v>
      </c>
      <c r="L50" s="132">
        <f t="shared" si="6"/>
        <v>9.8755000000000024</v>
      </c>
      <c r="M50" s="132">
        <f t="shared" si="7"/>
        <v>9.9378750000000018</v>
      </c>
      <c r="N50" s="52">
        <f t="shared" si="8"/>
        <v>6.5619999999999976</v>
      </c>
      <c r="O50" s="52">
        <f t="shared" si="9"/>
        <v>8.7808749999999982</v>
      </c>
      <c r="P50" s="52">
        <v>3</v>
      </c>
      <c r="Q50" s="52">
        <f t="shared" si="10"/>
        <v>100</v>
      </c>
      <c r="R50" s="52">
        <f t="shared" si="11"/>
        <v>431.83931066709084</v>
      </c>
    </row>
    <row r="51" spans="1:18">
      <c r="A51" s="203">
        <v>36511</v>
      </c>
      <c r="B51" s="52">
        <v>116.625</v>
      </c>
      <c r="C51" s="52">
        <v>117.125</v>
      </c>
      <c r="D51" s="52">
        <v>113.625</v>
      </c>
      <c r="E51" s="52">
        <v>115.25</v>
      </c>
      <c r="F51" s="52">
        <f t="shared" si="0"/>
        <v>3.4369999999999976</v>
      </c>
      <c r="G51" s="52">
        <f t="shared" si="1"/>
        <v>6.3000000000002387E-2</v>
      </c>
      <c r="H51" s="64">
        <f t="shared" si="2"/>
        <v>3.5</v>
      </c>
      <c r="I51" s="190">
        <f t="shared" si="3"/>
        <v>4.4380000000000024</v>
      </c>
      <c r="J51" s="190">
        <f t="shared" si="4"/>
        <v>1.5619999999999976</v>
      </c>
      <c r="K51" s="190">
        <f t="shared" si="5"/>
        <v>-1.375</v>
      </c>
      <c r="L51" s="132">
        <f t="shared" si="6"/>
        <v>4.4380000000000024</v>
      </c>
      <c r="M51" s="132">
        <f t="shared" si="7"/>
        <v>1.9839999999999982</v>
      </c>
      <c r="N51" s="52">
        <f t="shared" si="8"/>
        <v>3.4369999999999976</v>
      </c>
      <c r="O51" s="52">
        <f t="shared" si="9"/>
        <v>4.6095000000000006</v>
      </c>
      <c r="P51" s="52">
        <v>3</v>
      </c>
      <c r="Q51" s="52">
        <f t="shared" si="10"/>
        <v>24.655631485699775</v>
      </c>
      <c r="R51" s="52">
        <f t="shared" si="11"/>
        <v>456.4949421527906</v>
      </c>
    </row>
    <row r="52" spans="1:18">
      <c r="A52" s="204">
        <v>36514</v>
      </c>
      <c r="B52" s="55">
        <v>114.812</v>
      </c>
      <c r="C52" s="55">
        <v>115</v>
      </c>
      <c r="D52" s="55">
        <v>111.188</v>
      </c>
      <c r="E52" s="55">
        <v>112.75</v>
      </c>
      <c r="F52" s="55">
        <f t="shared" si="0"/>
        <v>0.25</v>
      </c>
      <c r="G52" s="55">
        <f t="shared" si="1"/>
        <v>4.0619999999999976</v>
      </c>
      <c r="H52" s="65">
        <f t="shared" si="2"/>
        <v>3.8119999999999976</v>
      </c>
      <c r="I52" s="191">
        <f t="shared" si="3"/>
        <v>1.375</v>
      </c>
      <c r="J52" s="191">
        <f t="shared" si="4"/>
        <v>-2.5</v>
      </c>
      <c r="K52" s="191">
        <f t="shared" si="5"/>
        <v>-2.0619999999999976</v>
      </c>
      <c r="L52" s="154">
        <f t="shared" si="6"/>
        <v>-1.375</v>
      </c>
      <c r="M52" s="154">
        <f t="shared" si="7"/>
        <v>-3.8747499999999988</v>
      </c>
      <c r="N52" s="55">
        <f t="shared" si="8"/>
        <v>4.0619999999999976</v>
      </c>
      <c r="O52" s="55">
        <f t="shared" si="9"/>
        <v>4.2807499999999976</v>
      </c>
      <c r="P52" s="55">
        <v>3</v>
      </c>
      <c r="Q52" s="55">
        <f t="shared" si="10"/>
        <v>-61.279115809145573</v>
      </c>
      <c r="R52" s="55">
        <f t="shared" si="11"/>
        <v>395.21582634364501</v>
      </c>
    </row>
    <row r="53" spans="1:18">
      <c r="A53" s="204">
        <v>36515</v>
      </c>
      <c r="B53" s="55">
        <v>112.375</v>
      </c>
      <c r="C53" s="55">
        <v>116.625</v>
      </c>
      <c r="D53" s="55">
        <v>110.625</v>
      </c>
      <c r="E53" s="55">
        <v>115.875</v>
      </c>
      <c r="F53" s="55">
        <f t="shared" si="0"/>
        <v>3.875</v>
      </c>
      <c r="G53" s="55">
        <f t="shared" si="1"/>
        <v>2.125</v>
      </c>
      <c r="H53" s="65">
        <f t="shared" si="2"/>
        <v>6</v>
      </c>
      <c r="I53" s="191">
        <f t="shared" si="3"/>
        <v>2.0619999999999976</v>
      </c>
      <c r="J53" s="191">
        <f t="shared" si="4"/>
        <v>3.125</v>
      </c>
      <c r="K53" s="191">
        <f t="shared" si="5"/>
        <v>3.5</v>
      </c>
      <c r="L53" s="154">
        <f t="shared" si="6"/>
        <v>-2.0619999999999976</v>
      </c>
      <c r="M53" s="154">
        <f t="shared" si="7"/>
        <v>4.3595000000000006</v>
      </c>
      <c r="N53" s="55">
        <f t="shared" si="8"/>
        <v>3.875</v>
      </c>
      <c r="O53" s="55">
        <f t="shared" si="9"/>
        <v>6.5154999999999994</v>
      </c>
      <c r="P53" s="55">
        <v>3</v>
      </c>
      <c r="Q53" s="55">
        <f t="shared" si="10"/>
        <v>43.212499680249671</v>
      </c>
      <c r="R53" s="55">
        <f t="shared" si="11"/>
        <v>438.42832602389467</v>
      </c>
    </row>
    <row r="54" spans="1:18">
      <c r="A54" s="203">
        <v>36516</v>
      </c>
      <c r="B54" s="52">
        <v>116.297</v>
      </c>
      <c r="C54" s="52">
        <v>118</v>
      </c>
      <c r="D54" s="52">
        <v>115.125</v>
      </c>
      <c r="E54" s="52">
        <v>117.562</v>
      </c>
      <c r="F54" s="52">
        <f t="shared" si="0"/>
        <v>2.125</v>
      </c>
      <c r="G54" s="52">
        <f t="shared" si="1"/>
        <v>0.75</v>
      </c>
      <c r="H54" s="64">
        <f t="shared" si="2"/>
        <v>2.875</v>
      </c>
      <c r="I54" s="190">
        <f t="shared" si="3"/>
        <v>3.5</v>
      </c>
      <c r="J54" s="190">
        <f t="shared" si="4"/>
        <v>1.6869999999999976</v>
      </c>
      <c r="K54" s="190">
        <f t="shared" si="5"/>
        <v>1.2650000000000006</v>
      </c>
      <c r="L54" s="132">
        <f t="shared" si="6"/>
        <v>3.5</v>
      </c>
      <c r="M54" s="132">
        <f t="shared" si="7"/>
        <v>3.1944999999999979</v>
      </c>
      <c r="N54" s="52">
        <f t="shared" si="8"/>
        <v>2.125</v>
      </c>
      <c r="O54" s="52">
        <f t="shared" si="9"/>
        <v>3.75</v>
      </c>
      <c r="P54" s="52">
        <v>3</v>
      </c>
      <c r="Q54" s="52">
        <f t="shared" si="10"/>
        <v>30.170277777777766</v>
      </c>
      <c r="R54" s="52">
        <f t="shared" si="11"/>
        <v>468.59860380167243</v>
      </c>
    </row>
    <row r="55" spans="1:18">
      <c r="A55" s="203">
        <v>36517</v>
      </c>
      <c r="B55" s="52">
        <v>117.25</v>
      </c>
      <c r="C55" s="52">
        <v>119.25</v>
      </c>
      <c r="D55" s="52">
        <v>116.75</v>
      </c>
      <c r="E55" s="52">
        <v>117.438</v>
      </c>
      <c r="F55" s="52">
        <f t="shared" si="0"/>
        <v>1.6880000000000024</v>
      </c>
      <c r="G55" s="52">
        <f t="shared" si="1"/>
        <v>0.81199999999999761</v>
      </c>
      <c r="H55" s="64">
        <f t="shared" si="2"/>
        <v>2.5</v>
      </c>
      <c r="I55" s="190">
        <f t="shared" si="3"/>
        <v>1.2650000000000006</v>
      </c>
      <c r="J55" s="190">
        <f t="shared" si="4"/>
        <v>-0.12399999999999523</v>
      </c>
      <c r="K55" s="190">
        <f t="shared" si="5"/>
        <v>0.18800000000000239</v>
      </c>
      <c r="L55" s="132">
        <f t="shared" si="6"/>
        <v>1.2650000000000006</v>
      </c>
      <c r="M55" s="132">
        <f t="shared" si="7"/>
        <v>0.28625000000000611</v>
      </c>
      <c r="N55" s="52">
        <f t="shared" si="8"/>
        <v>1.6880000000000024</v>
      </c>
      <c r="O55" s="52">
        <f t="shared" si="9"/>
        <v>2.8162500000000001</v>
      </c>
      <c r="P55" s="52">
        <v>3</v>
      </c>
      <c r="Q55" s="52">
        <f t="shared" si="10"/>
        <v>2.8595354342358985</v>
      </c>
      <c r="R55" s="52">
        <f t="shared" si="11"/>
        <v>471.45813923590833</v>
      </c>
    </row>
    <row r="56" spans="1:18">
      <c r="A56" s="204">
        <v>36521</v>
      </c>
      <c r="B56" s="55">
        <v>118.438</v>
      </c>
      <c r="C56" s="55">
        <v>119.25</v>
      </c>
      <c r="D56" s="55">
        <v>116.125</v>
      </c>
      <c r="E56" s="55">
        <v>119.125</v>
      </c>
      <c r="F56" s="55">
        <f t="shared" si="0"/>
        <v>1.8119999999999976</v>
      </c>
      <c r="G56" s="55">
        <f t="shared" si="1"/>
        <v>1.3130000000000024</v>
      </c>
      <c r="H56" s="65">
        <f t="shared" si="2"/>
        <v>3.125</v>
      </c>
      <c r="I56" s="191">
        <f t="shared" si="3"/>
        <v>0.18800000000000239</v>
      </c>
      <c r="J56" s="191">
        <f t="shared" si="4"/>
        <v>1.6869999999999976</v>
      </c>
      <c r="K56" s="191">
        <f t="shared" si="5"/>
        <v>0.68699999999999761</v>
      </c>
      <c r="L56" s="154">
        <f t="shared" si="6"/>
        <v>0.18800000000000239</v>
      </c>
      <c r="M56" s="154">
        <f t="shared" si="7"/>
        <v>2.077499999999997</v>
      </c>
      <c r="N56" s="55">
        <f t="shared" si="8"/>
        <v>1.8119999999999976</v>
      </c>
      <c r="O56" s="55">
        <f t="shared" si="9"/>
        <v>3.1720000000000006</v>
      </c>
      <c r="P56" s="55">
        <v>3</v>
      </c>
      <c r="Q56" s="55">
        <f t="shared" si="10"/>
        <v>19.779476670870057</v>
      </c>
      <c r="R56" s="55">
        <f t="shared" si="11"/>
        <v>491.23761590677839</v>
      </c>
    </row>
    <row r="57" spans="1:18">
      <c r="A57" s="204">
        <v>36522</v>
      </c>
      <c r="B57" s="55">
        <v>118.75</v>
      </c>
      <c r="C57" s="55">
        <v>118.812</v>
      </c>
      <c r="D57" s="55">
        <v>117.062</v>
      </c>
      <c r="E57" s="55">
        <v>117.5</v>
      </c>
      <c r="F57" s="55">
        <f t="shared" si="0"/>
        <v>0.31300000000000239</v>
      </c>
      <c r="G57" s="55">
        <f t="shared" si="1"/>
        <v>2.0630000000000024</v>
      </c>
      <c r="H57" s="65">
        <f t="shared" si="2"/>
        <v>1.75</v>
      </c>
      <c r="I57" s="191">
        <f t="shared" si="3"/>
        <v>0.68699999999999761</v>
      </c>
      <c r="J57" s="191">
        <f t="shared" si="4"/>
        <v>-1.625</v>
      </c>
      <c r="K57" s="191">
        <f t="shared" si="5"/>
        <v>-1.25</v>
      </c>
      <c r="L57" s="154">
        <f t="shared" si="6"/>
        <v>0.68699999999999761</v>
      </c>
      <c r="M57" s="154">
        <f t="shared" si="7"/>
        <v>-2.0782500000000006</v>
      </c>
      <c r="N57" s="55">
        <f t="shared" si="8"/>
        <v>2.0630000000000024</v>
      </c>
      <c r="O57" s="55">
        <f t="shared" si="9"/>
        <v>2.0782500000000006</v>
      </c>
      <c r="P57" s="55">
        <v>3</v>
      </c>
      <c r="Q57" s="55">
        <f t="shared" si="10"/>
        <v>-34.383333333333375</v>
      </c>
      <c r="R57" s="55">
        <f t="shared" si="11"/>
        <v>456.854282573445</v>
      </c>
    </row>
    <row r="58" spans="1:18">
      <c r="A58" s="203">
        <v>36523</v>
      </c>
      <c r="B58" s="52">
        <v>116.938</v>
      </c>
      <c r="C58" s="52">
        <v>118.375</v>
      </c>
      <c r="D58" s="52">
        <v>116.812</v>
      </c>
      <c r="E58" s="52">
        <v>117.938</v>
      </c>
      <c r="F58" s="52">
        <f t="shared" si="0"/>
        <v>0.875</v>
      </c>
      <c r="G58" s="52">
        <f t="shared" si="1"/>
        <v>0.68800000000000239</v>
      </c>
      <c r="H58" s="64">
        <f t="shared" si="2"/>
        <v>1.5630000000000024</v>
      </c>
      <c r="I58" s="190">
        <f t="shared" si="3"/>
        <v>1.25</v>
      </c>
      <c r="J58" s="190">
        <f t="shared" si="4"/>
        <v>0.43800000000000239</v>
      </c>
      <c r="K58" s="190">
        <f t="shared" si="5"/>
        <v>1</v>
      </c>
      <c r="L58" s="132">
        <f t="shared" si="6"/>
        <v>-1.25</v>
      </c>
      <c r="M58" s="132">
        <f t="shared" si="7"/>
        <v>0.62550000000000239</v>
      </c>
      <c r="N58" s="52">
        <f t="shared" si="8"/>
        <v>0.875</v>
      </c>
      <c r="O58" s="52">
        <f t="shared" si="9"/>
        <v>1.8755000000000024</v>
      </c>
      <c r="P58" s="52">
        <v>3</v>
      </c>
      <c r="Q58" s="52">
        <f t="shared" si="10"/>
        <v>4.8637030125300038</v>
      </c>
      <c r="R58" s="52">
        <f t="shared" si="11"/>
        <v>461.71798558597499</v>
      </c>
    </row>
    <row r="59" spans="1:18">
      <c r="A59" s="203">
        <v>36524</v>
      </c>
      <c r="B59" s="52">
        <v>117.875</v>
      </c>
      <c r="C59" s="52">
        <v>119.938</v>
      </c>
      <c r="D59" s="52">
        <v>117.125</v>
      </c>
      <c r="E59" s="52">
        <v>117.625</v>
      </c>
      <c r="F59" s="52">
        <f t="shared" si="0"/>
        <v>2</v>
      </c>
      <c r="G59" s="52">
        <f t="shared" si="1"/>
        <v>0.81300000000000239</v>
      </c>
      <c r="H59" s="64">
        <f t="shared" si="2"/>
        <v>2.8130000000000024</v>
      </c>
      <c r="I59" s="190">
        <f t="shared" si="3"/>
        <v>1</v>
      </c>
      <c r="J59" s="190">
        <f t="shared" si="4"/>
        <v>-0.31300000000000239</v>
      </c>
      <c r="K59" s="190">
        <f t="shared" si="5"/>
        <v>-0.25</v>
      </c>
      <c r="L59" s="132">
        <f t="shared" si="6"/>
        <v>1</v>
      </c>
      <c r="M59" s="132">
        <f t="shared" si="7"/>
        <v>-0.18800000000000239</v>
      </c>
      <c r="N59" s="52">
        <f t="shared" si="8"/>
        <v>2</v>
      </c>
      <c r="O59" s="52">
        <f t="shared" si="9"/>
        <v>3.0630000000000024</v>
      </c>
      <c r="P59" s="52">
        <v>3</v>
      </c>
      <c r="Q59" s="52">
        <f t="shared" si="10"/>
        <v>-2.0459244749156844</v>
      </c>
      <c r="R59" s="52">
        <f t="shared" si="11"/>
        <v>459.67206111105929</v>
      </c>
    </row>
    <row r="60" spans="1:18">
      <c r="A60" s="204">
        <v>36525</v>
      </c>
      <c r="B60" s="55">
        <v>117.5</v>
      </c>
      <c r="C60" s="55">
        <v>117.75</v>
      </c>
      <c r="D60" s="55">
        <v>116.25</v>
      </c>
      <c r="E60" s="55">
        <v>116.75</v>
      </c>
      <c r="F60" s="55">
        <f t="shared" si="0"/>
        <v>0.125</v>
      </c>
      <c r="G60" s="55">
        <f t="shared" si="1"/>
        <v>1.375</v>
      </c>
      <c r="H60" s="65">
        <f t="shared" si="2"/>
        <v>1.5</v>
      </c>
      <c r="I60" s="191">
        <f t="shared" si="3"/>
        <v>0.25</v>
      </c>
      <c r="J60" s="191">
        <f t="shared" si="4"/>
        <v>-0.875</v>
      </c>
      <c r="K60" s="191">
        <f t="shared" si="5"/>
        <v>-0.75</v>
      </c>
      <c r="L60" s="154">
        <f t="shared" si="6"/>
        <v>-0.25</v>
      </c>
      <c r="M60" s="154">
        <f t="shared" si="7"/>
        <v>-1.3125</v>
      </c>
      <c r="N60" s="55">
        <f t="shared" si="8"/>
        <v>1.375</v>
      </c>
      <c r="O60" s="55">
        <f t="shared" si="9"/>
        <v>1.5625</v>
      </c>
      <c r="P60" s="55">
        <v>3</v>
      </c>
      <c r="Q60" s="55">
        <f t="shared" si="10"/>
        <v>-19.25</v>
      </c>
      <c r="R60" s="55">
        <f t="shared" si="11"/>
        <v>440.42206111105929</v>
      </c>
    </row>
    <row r="61" spans="1:18">
      <c r="A61" s="204">
        <v>36528</v>
      </c>
      <c r="B61" s="55">
        <v>117.375</v>
      </c>
      <c r="C61" s="55">
        <v>118.625</v>
      </c>
      <c r="D61" s="55">
        <v>112</v>
      </c>
      <c r="E61" s="55">
        <v>116.562</v>
      </c>
      <c r="F61" s="55">
        <f t="shared" si="0"/>
        <v>1.875</v>
      </c>
      <c r="G61" s="55">
        <f t="shared" si="1"/>
        <v>4.75</v>
      </c>
      <c r="H61" s="65">
        <f t="shared" si="2"/>
        <v>6.625</v>
      </c>
      <c r="I61" s="191">
        <f t="shared" si="3"/>
        <v>0.75</v>
      </c>
      <c r="J61" s="191">
        <f t="shared" si="4"/>
        <v>-0.18800000000000239</v>
      </c>
      <c r="K61" s="191">
        <f t="shared" si="5"/>
        <v>-0.81300000000000239</v>
      </c>
      <c r="L61" s="154">
        <f t="shared" si="6"/>
        <v>-0.75</v>
      </c>
      <c r="M61" s="154">
        <f t="shared" si="7"/>
        <v>-0.78200000000000358</v>
      </c>
      <c r="N61" s="55">
        <f t="shared" si="8"/>
        <v>4.75</v>
      </c>
      <c r="O61" s="55">
        <f t="shared" si="9"/>
        <v>6.8125</v>
      </c>
      <c r="P61" s="55">
        <v>3</v>
      </c>
      <c r="Q61" s="55">
        <f t="shared" si="10"/>
        <v>-9.0874617737003476</v>
      </c>
      <c r="R61" s="55">
        <f t="shared" si="11"/>
        <v>431.33459933735895</v>
      </c>
    </row>
    <row r="62" spans="1:18">
      <c r="A62" s="203">
        <v>36529</v>
      </c>
      <c r="B62" s="52">
        <v>113.562</v>
      </c>
      <c r="C62" s="52">
        <v>117.125</v>
      </c>
      <c r="D62" s="52">
        <v>112.25</v>
      </c>
      <c r="E62" s="52">
        <v>112.625</v>
      </c>
      <c r="F62" s="52">
        <f t="shared" si="0"/>
        <v>0.56300000000000239</v>
      </c>
      <c r="G62" s="52">
        <f t="shared" si="1"/>
        <v>4.3119999999999976</v>
      </c>
      <c r="H62" s="64">
        <f t="shared" si="2"/>
        <v>4.875</v>
      </c>
      <c r="I62" s="190">
        <f t="shared" si="3"/>
        <v>0.81300000000000239</v>
      </c>
      <c r="J62" s="190">
        <f t="shared" si="4"/>
        <v>-3.9369999999999976</v>
      </c>
      <c r="K62" s="190">
        <f t="shared" si="5"/>
        <v>-0.93699999999999761</v>
      </c>
      <c r="L62" s="132">
        <f t="shared" si="6"/>
        <v>-0.81300000000000239</v>
      </c>
      <c r="M62" s="132">
        <f t="shared" si="7"/>
        <v>-4.608749999999997</v>
      </c>
      <c r="N62" s="52">
        <f t="shared" si="8"/>
        <v>4.3119999999999976</v>
      </c>
      <c r="O62" s="52">
        <f t="shared" si="9"/>
        <v>5.0782500000000006</v>
      </c>
      <c r="P62" s="52">
        <v>3</v>
      </c>
      <c r="Q62" s="52">
        <f t="shared" si="10"/>
        <v>-65.222369910894415</v>
      </c>
      <c r="R62" s="52">
        <f t="shared" si="11"/>
        <v>366.11222942646452</v>
      </c>
    </row>
    <row r="63" spans="1:18">
      <c r="A63" s="203">
        <v>36530</v>
      </c>
      <c r="B63" s="52">
        <v>111.125</v>
      </c>
      <c r="C63" s="52">
        <v>116.375</v>
      </c>
      <c r="D63" s="52">
        <v>109.375</v>
      </c>
      <c r="E63" s="52">
        <v>113.812</v>
      </c>
      <c r="F63" s="52">
        <f t="shared" si="0"/>
        <v>3.75</v>
      </c>
      <c r="G63" s="52">
        <f t="shared" si="1"/>
        <v>3.25</v>
      </c>
      <c r="H63" s="64">
        <f t="shared" si="2"/>
        <v>7</v>
      </c>
      <c r="I63" s="190">
        <f t="shared" si="3"/>
        <v>0.93699999999999761</v>
      </c>
      <c r="J63" s="190">
        <f t="shared" si="4"/>
        <v>1.1869999999999976</v>
      </c>
      <c r="K63" s="190">
        <f t="shared" si="5"/>
        <v>2.6869999999999976</v>
      </c>
      <c r="L63" s="132">
        <f t="shared" si="6"/>
        <v>-0.93699999999999761</v>
      </c>
      <c r="M63" s="132">
        <f t="shared" si="7"/>
        <v>2.296249999999997</v>
      </c>
      <c r="N63" s="52">
        <f t="shared" si="8"/>
        <v>3.75</v>
      </c>
      <c r="O63" s="52">
        <f t="shared" si="9"/>
        <v>7.2342499999999994</v>
      </c>
      <c r="P63" s="52">
        <v>3</v>
      </c>
      <c r="Q63" s="52">
        <f t="shared" si="10"/>
        <v>19.838355738328069</v>
      </c>
      <c r="R63" s="52">
        <f t="shared" si="11"/>
        <v>385.95058516479259</v>
      </c>
    </row>
    <row r="64" spans="1:18">
      <c r="A64" s="204">
        <v>36531</v>
      </c>
      <c r="B64" s="55">
        <v>112.188</v>
      </c>
      <c r="C64" s="55">
        <v>113.875</v>
      </c>
      <c r="D64" s="55">
        <v>108.375</v>
      </c>
      <c r="E64" s="55">
        <v>110</v>
      </c>
      <c r="F64" s="55">
        <f t="shared" si="0"/>
        <v>6.3000000000002387E-2</v>
      </c>
      <c r="G64" s="55">
        <f t="shared" si="1"/>
        <v>5.4369999999999976</v>
      </c>
      <c r="H64" s="65">
        <f t="shared" si="2"/>
        <v>5.5</v>
      </c>
      <c r="I64" s="191">
        <f t="shared" si="3"/>
        <v>2.6869999999999976</v>
      </c>
      <c r="J64" s="191">
        <f t="shared" si="4"/>
        <v>-3.8119999999999976</v>
      </c>
      <c r="K64" s="191">
        <f t="shared" si="5"/>
        <v>-2.1880000000000024</v>
      </c>
      <c r="L64" s="154">
        <f t="shared" si="6"/>
        <v>2.6869999999999976</v>
      </c>
      <c r="M64" s="154">
        <f t="shared" si="7"/>
        <v>-4.2342499999999994</v>
      </c>
      <c r="N64" s="55">
        <f t="shared" si="8"/>
        <v>5.4369999999999976</v>
      </c>
      <c r="O64" s="55">
        <f t="shared" si="9"/>
        <v>6.1717499999999994</v>
      </c>
      <c r="P64" s="55">
        <v>3</v>
      </c>
      <c r="Q64" s="55">
        <f t="shared" si="10"/>
        <v>-62.169339463415263</v>
      </c>
      <c r="R64" s="55">
        <f t="shared" si="11"/>
        <v>323.78124570137732</v>
      </c>
    </row>
    <row r="65" spans="1:18">
      <c r="A65" s="204">
        <v>36532</v>
      </c>
      <c r="B65" s="55">
        <v>108.625</v>
      </c>
      <c r="C65" s="55">
        <v>112.25</v>
      </c>
      <c r="D65" s="55">
        <v>107.312</v>
      </c>
      <c r="E65" s="55">
        <v>111.438</v>
      </c>
      <c r="F65" s="55">
        <f t="shared" si="0"/>
        <v>2.25</v>
      </c>
      <c r="G65" s="55">
        <f t="shared" si="1"/>
        <v>2.6880000000000024</v>
      </c>
      <c r="H65" s="65">
        <f t="shared" si="2"/>
        <v>4.9380000000000024</v>
      </c>
      <c r="I65" s="191">
        <f t="shared" si="3"/>
        <v>2.1880000000000024</v>
      </c>
      <c r="J65" s="191">
        <f t="shared" si="4"/>
        <v>1.4380000000000024</v>
      </c>
      <c r="K65" s="191">
        <f t="shared" si="5"/>
        <v>2.8130000000000024</v>
      </c>
      <c r="L65" s="154">
        <f t="shared" si="6"/>
        <v>-2.1880000000000024</v>
      </c>
      <c r="M65" s="154">
        <f t="shared" si="7"/>
        <v>2.297500000000003</v>
      </c>
      <c r="N65" s="55">
        <f t="shared" si="8"/>
        <v>2.6880000000000024</v>
      </c>
      <c r="O65" s="55">
        <f t="shared" si="9"/>
        <v>5.485000000000003</v>
      </c>
      <c r="P65" s="55">
        <v>3</v>
      </c>
      <c r="Q65" s="55">
        <f t="shared" si="10"/>
        <v>18.765360072926189</v>
      </c>
      <c r="R65" s="55">
        <f t="shared" si="11"/>
        <v>342.54660577430349</v>
      </c>
    </row>
    <row r="66" spans="1:18">
      <c r="A66" s="203">
        <v>36535</v>
      </c>
      <c r="B66" s="52">
        <v>113.438</v>
      </c>
      <c r="C66" s="52">
        <v>113.688</v>
      </c>
      <c r="D66" s="52">
        <v>111.375</v>
      </c>
      <c r="E66" s="52">
        <v>112.25</v>
      </c>
      <c r="F66" s="52">
        <f t="shared" si="0"/>
        <v>2.25</v>
      </c>
      <c r="G66" s="52">
        <f t="shared" si="1"/>
        <v>6.3000000000002387E-2</v>
      </c>
      <c r="H66" s="64">
        <f t="shared" si="2"/>
        <v>2.3130000000000024</v>
      </c>
      <c r="I66" s="190">
        <f t="shared" si="3"/>
        <v>2.8130000000000024</v>
      </c>
      <c r="J66" s="190">
        <f t="shared" si="4"/>
        <v>0.81199999999999761</v>
      </c>
      <c r="K66" s="190">
        <f t="shared" si="5"/>
        <v>-1.1880000000000024</v>
      </c>
      <c r="L66" s="132">
        <f t="shared" si="6"/>
        <v>2.8130000000000024</v>
      </c>
      <c r="M66" s="132">
        <f t="shared" si="7"/>
        <v>0.92124999999999702</v>
      </c>
      <c r="N66" s="52">
        <f t="shared" si="8"/>
        <v>2.25</v>
      </c>
      <c r="O66" s="52">
        <f t="shared" si="9"/>
        <v>3.016250000000003</v>
      </c>
      <c r="P66" s="52">
        <v>3</v>
      </c>
      <c r="Q66" s="52">
        <f t="shared" si="10"/>
        <v>11.453584749274713</v>
      </c>
      <c r="R66" s="52">
        <f t="shared" si="11"/>
        <v>354.00019052357823</v>
      </c>
    </row>
    <row r="67" spans="1:18">
      <c r="A67" s="203">
        <v>36536</v>
      </c>
      <c r="B67" s="52">
        <v>111.5</v>
      </c>
      <c r="C67" s="52">
        <v>114.25</v>
      </c>
      <c r="D67" s="52">
        <v>108.688</v>
      </c>
      <c r="E67" s="52">
        <v>109.375</v>
      </c>
      <c r="F67" s="52">
        <f t="shared" si="0"/>
        <v>2</v>
      </c>
      <c r="G67" s="52">
        <f t="shared" si="1"/>
        <v>3.5619999999999976</v>
      </c>
      <c r="H67" s="64">
        <f t="shared" si="2"/>
        <v>5.5619999999999976</v>
      </c>
      <c r="I67" s="190">
        <f t="shared" si="3"/>
        <v>1.1880000000000024</v>
      </c>
      <c r="J67" s="190">
        <f t="shared" si="4"/>
        <v>-2.875</v>
      </c>
      <c r="K67" s="190">
        <f t="shared" si="5"/>
        <v>-2.125</v>
      </c>
      <c r="L67" s="132">
        <f t="shared" si="6"/>
        <v>-1.1880000000000024</v>
      </c>
      <c r="M67" s="132">
        <f t="shared" si="7"/>
        <v>-4.2345000000000006</v>
      </c>
      <c r="N67" s="52">
        <f t="shared" si="8"/>
        <v>3.5619999999999976</v>
      </c>
      <c r="O67" s="52">
        <f t="shared" si="9"/>
        <v>5.8589999999999982</v>
      </c>
      <c r="P67" s="52">
        <v>3</v>
      </c>
      <c r="Q67" s="52">
        <f t="shared" si="10"/>
        <v>-42.906323604710686</v>
      </c>
      <c r="R67" s="52">
        <f t="shared" si="11"/>
        <v>311.09386691886755</v>
      </c>
    </row>
    <row r="70" spans="1:18">
      <c r="A70" s="466" t="s">
        <v>231</v>
      </c>
      <c r="B70" s="466"/>
      <c r="C70" s="466"/>
      <c r="D70" s="466"/>
      <c r="E70" s="466"/>
      <c r="F70" s="466"/>
      <c r="G70" s="466"/>
    </row>
    <row r="71" spans="1:18" ht="38.25" customHeight="1">
      <c r="A71" s="466" t="s">
        <v>1081</v>
      </c>
      <c r="B71" s="466"/>
      <c r="C71" s="466"/>
      <c r="D71" s="466"/>
      <c r="E71" s="466"/>
      <c r="F71" s="466"/>
      <c r="G71" s="466"/>
    </row>
    <row r="72" spans="1:18" ht="27" customHeight="1">
      <c r="A72" s="466" t="s">
        <v>1085</v>
      </c>
      <c r="B72" s="466"/>
      <c r="C72" s="466"/>
      <c r="D72" s="466"/>
      <c r="E72" s="466"/>
      <c r="F72" s="466"/>
      <c r="G72" s="466"/>
    </row>
    <row r="73" spans="1:18" ht="27.75" customHeight="1">
      <c r="A73" s="466" t="s">
        <v>1086</v>
      </c>
      <c r="B73" s="466"/>
      <c r="C73" s="466"/>
      <c r="D73" s="466"/>
      <c r="E73" s="466"/>
      <c r="F73" s="466"/>
      <c r="G73" s="466"/>
    </row>
    <row r="74" spans="1:18">
      <c r="A74" s="466" t="s">
        <v>1083</v>
      </c>
      <c r="B74" s="466"/>
      <c r="C74" s="466"/>
      <c r="D74" s="466"/>
      <c r="E74" s="466"/>
      <c r="F74" s="466"/>
      <c r="G74" s="466"/>
    </row>
    <row r="75" spans="1:18">
      <c r="A75" s="466" t="s">
        <v>1084</v>
      </c>
      <c r="B75" s="466"/>
      <c r="C75" s="466"/>
      <c r="D75" s="466"/>
      <c r="E75" s="466"/>
      <c r="F75" s="466"/>
      <c r="G75" s="466"/>
    </row>
    <row r="76" spans="1:18">
      <c r="A76" s="466" t="s">
        <v>1082</v>
      </c>
      <c r="B76" s="466"/>
      <c r="C76" s="466"/>
      <c r="D76" s="466"/>
      <c r="E76" s="466"/>
      <c r="F76" s="466"/>
      <c r="G76" s="466"/>
    </row>
  </sheetData>
  <mergeCells count="7">
    <mergeCell ref="A74:G74"/>
    <mergeCell ref="A75:G75"/>
    <mergeCell ref="A76:G76"/>
    <mergeCell ref="A70:G70"/>
    <mergeCell ref="A71:G71"/>
    <mergeCell ref="A72:G72"/>
    <mergeCell ref="A73:G73"/>
  </mergeCells>
  <phoneticPr fontId="0" type="noConversion"/>
  <pageMargins left="0.75" right="0.75" top="1" bottom="1" header="0.5" footer="0.5"/>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0659" r:id="rId3" name="Button 3">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70660"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70661"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70662"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70663" r:id="rId7" name="Button 7">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70664" r:id="rId8" name="Button 8">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70665" r:id="rId9" name="Button 9">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70666" r:id="rId10" name="Button 10">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2" enableFormatConditionsCalculation="0"/>
  <dimension ref="A1:N3"/>
  <sheetViews>
    <sheetView workbookViewId="0"/>
  </sheetViews>
  <sheetFormatPr baseColWidth="10" defaultColWidth="8.83203125" defaultRowHeight="12" x14ac:dyDescent="0"/>
  <cols>
    <col min="2" max="2" width="10.83203125" customWidth="1"/>
    <col min="4" max="4" width="11.33203125" customWidth="1"/>
    <col min="5" max="5" width="10.83203125" customWidth="1"/>
    <col min="6" max="6" width="11.33203125" customWidth="1"/>
  </cols>
  <sheetData>
    <row r="1" spans="1:14">
      <c r="A1" s="21"/>
      <c r="B1" s="21"/>
      <c r="C1" s="21" t="s">
        <v>846</v>
      </c>
      <c r="D1" s="21"/>
      <c r="E1" s="21"/>
      <c r="F1" s="21"/>
      <c r="G1" s="21"/>
      <c r="H1" s="21"/>
      <c r="I1" s="21"/>
      <c r="J1" s="21"/>
      <c r="K1" s="21"/>
      <c r="L1" s="21"/>
      <c r="M1" s="21"/>
    </row>
    <row r="2" spans="1:14" ht="21" customHeight="1">
      <c r="A2" s="21"/>
      <c r="B2" s="21"/>
      <c r="C2" s="21"/>
      <c r="D2" s="374"/>
      <c r="E2" s="374"/>
      <c r="F2" s="374"/>
      <c r="G2" s="374"/>
      <c r="H2" s="374"/>
      <c r="I2" s="374"/>
      <c r="J2" s="374"/>
      <c r="K2" s="374"/>
      <c r="L2" s="374"/>
      <c r="M2" s="374"/>
      <c r="N2" s="372"/>
    </row>
    <row r="3" spans="1:14">
      <c r="A3" s="312" t="s">
        <v>798</v>
      </c>
    </row>
  </sheetData>
  <phoneticPr fontId="0" type="noConversion"/>
  <hyperlinks>
    <hyperlink ref="A3" r:id="rId1" location="'DEMA and TEMA'!A1"/>
  </hyperlinks>
  <pageMargins left="0.75" right="0.75" top="1" bottom="1" header="0.5" footer="0.5"/>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03426" r:id="rId5"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03427" r:id="rId6"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03428" r:id="rId7"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103429" r:id="rId8" name="Button 5">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03430" r:id="rId9"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03431" r:id="rId10"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03432" r:id="rId11"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enableFormatConditionsCalculation="0"/>
  <dimension ref="A1:N261"/>
  <sheetViews>
    <sheetView workbookViewId="0"/>
  </sheetViews>
  <sheetFormatPr baseColWidth="10" defaultColWidth="8.83203125" defaultRowHeight="12" x14ac:dyDescent="0"/>
  <cols>
    <col min="1" max="1" width="10.83203125" customWidth="1"/>
    <col min="4" max="4" width="10.83203125" customWidth="1"/>
    <col min="5" max="5" width="11.33203125" customWidth="1"/>
    <col min="6" max="6" width="10.83203125" customWidth="1"/>
    <col min="7" max="7" width="12.6640625" customWidth="1"/>
  </cols>
  <sheetData>
    <row r="1" spans="1:14">
      <c r="A1" s="21"/>
      <c r="B1" s="21"/>
      <c r="C1" s="21" t="s">
        <v>846</v>
      </c>
      <c r="D1" s="21"/>
      <c r="E1" s="21"/>
      <c r="F1" s="21"/>
      <c r="G1" s="21"/>
      <c r="H1" s="21"/>
      <c r="I1" s="21"/>
      <c r="J1" s="21"/>
      <c r="K1" s="21"/>
      <c r="L1" s="21"/>
      <c r="M1" s="21"/>
    </row>
    <row r="2" spans="1:14" ht="21" customHeight="1">
      <c r="A2" s="21"/>
      <c r="B2" s="21"/>
      <c r="C2" s="21"/>
      <c r="D2" s="374"/>
      <c r="E2" s="374"/>
      <c r="F2" s="374"/>
      <c r="G2" s="374"/>
      <c r="H2" s="374"/>
      <c r="I2" s="374"/>
      <c r="J2" s="374"/>
      <c r="K2" s="374"/>
      <c r="L2" s="374"/>
      <c r="M2" s="374"/>
      <c r="N2" s="372"/>
    </row>
    <row r="3" spans="1:14">
      <c r="A3" s="19" t="s">
        <v>1045</v>
      </c>
      <c r="B3" s="20" t="s">
        <v>1122</v>
      </c>
      <c r="C3" s="21"/>
      <c r="D3" s="21"/>
      <c r="E3" s="21"/>
      <c r="F3" s="21"/>
      <c r="G3" s="21"/>
      <c r="H3" s="21"/>
      <c r="I3" s="21"/>
      <c r="J3" s="21"/>
      <c r="K3" s="21"/>
      <c r="L3" s="21"/>
      <c r="M3" s="21"/>
    </row>
    <row r="4" spans="1:14">
      <c r="A4" s="19" t="s">
        <v>774</v>
      </c>
      <c r="B4" s="20" t="s">
        <v>775</v>
      </c>
      <c r="C4" s="21"/>
      <c r="D4" s="21"/>
      <c r="E4" s="21"/>
      <c r="F4" s="21"/>
      <c r="G4" s="21"/>
      <c r="H4" s="21"/>
      <c r="I4" s="21"/>
      <c r="J4" s="21"/>
      <c r="K4" s="21"/>
      <c r="L4" s="21"/>
      <c r="M4" s="21"/>
    </row>
    <row r="5" spans="1:14" ht="46.5" customHeight="1">
      <c r="A5" s="118" t="s">
        <v>779</v>
      </c>
      <c r="B5" s="452" t="s">
        <v>647</v>
      </c>
      <c r="C5" s="453"/>
      <c r="D5" s="453"/>
      <c r="E5" s="453"/>
      <c r="F5" s="453"/>
      <c r="G5" s="453"/>
      <c r="H5" s="453"/>
      <c r="I5" s="453"/>
      <c r="J5" s="453"/>
      <c r="K5" s="453"/>
      <c r="L5" s="453"/>
      <c r="M5" s="453"/>
      <c r="N5" s="241"/>
    </row>
    <row r="6" spans="1:14">
      <c r="A6" s="19" t="s">
        <v>635</v>
      </c>
      <c r="B6" s="21" t="s">
        <v>117</v>
      </c>
      <c r="C6" s="21"/>
      <c r="D6" s="21"/>
      <c r="E6" s="21"/>
      <c r="F6" s="21"/>
      <c r="G6" s="21"/>
      <c r="H6" s="21"/>
      <c r="I6" s="21"/>
      <c r="J6" s="21"/>
      <c r="K6" s="21"/>
      <c r="L6" s="21"/>
      <c r="M6" s="21"/>
    </row>
    <row r="7" spans="1:14" ht="42" customHeight="1">
      <c r="A7" s="22"/>
      <c r="B7" s="22" t="s">
        <v>1090</v>
      </c>
      <c r="C7" s="22" t="s">
        <v>1098</v>
      </c>
      <c r="D7" s="31" t="s">
        <v>380</v>
      </c>
      <c r="E7" s="31" t="s">
        <v>802</v>
      </c>
      <c r="F7" s="31" t="s">
        <v>650</v>
      </c>
      <c r="G7" s="31" t="s">
        <v>648</v>
      </c>
      <c r="H7" s="22"/>
      <c r="I7" s="22"/>
      <c r="J7" s="22"/>
      <c r="K7" s="22"/>
      <c r="L7" s="22"/>
      <c r="M7" s="22"/>
    </row>
    <row r="8" spans="1:14">
      <c r="A8" s="103">
        <v>1</v>
      </c>
      <c r="B8" s="109">
        <v>35432</v>
      </c>
      <c r="C8" s="52">
        <v>20.406199999999998</v>
      </c>
      <c r="D8" s="52"/>
      <c r="E8" s="52"/>
      <c r="F8" s="52"/>
      <c r="G8" s="52"/>
      <c r="H8" s="72"/>
      <c r="I8" s="28"/>
      <c r="J8" s="28"/>
      <c r="K8" s="28"/>
      <c r="L8" s="28"/>
      <c r="M8" s="54"/>
      <c r="N8" s="2"/>
    </row>
    <row r="9" spans="1:14">
      <c r="A9" s="103">
        <v>2</v>
      </c>
      <c r="B9" s="109">
        <v>35433</v>
      </c>
      <c r="C9" s="52">
        <v>21.156199999999998</v>
      </c>
      <c r="D9" s="52"/>
      <c r="E9" s="52"/>
      <c r="F9" s="52"/>
      <c r="G9" s="52"/>
      <c r="H9" s="72"/>
      <c r="I9" s="28"/>
      <c r="J9" s="28"/>
      <c r="K9" s="28"/>
      <c r="L9" s="28"/>
      <c r="M9" s="54"/>
      <c r="N9" s="2"/>
    </row>
    <row r="10" spans="1:14">
      <c r="A10" s="104">
        <v>3</v>
      </c>
      <c r="B10" s="110">
        <v>35436</v>
      </c>
      <c r="C10" s="55">
        <v>21.093800000000002</v>
      </c>
      <c r="D10" s="55"/>
      <c r="E10" s="55"/>
      <c r="F10" s="55"/>
      <c r="G10" s="55"/>
      <c r="H10" s="73"/>
      <c r="I10" s="29"/>
      <c r="J10" s="29"/>
      <c r="K10" s="29"/>
      <c r="L10" s="29"/>
      <c r="M10" s="57"/>
      <c r="N10" s="2"/>
    </row>
    <row r="11" spans="1:14">
      <c r="A11" s="104">
        <v>4</v>
      </c>
      <c r="B11" s="110">
        <v>35437</v>
      </c>
      <c r="C11" s="55">
        <v>21.25</v>
      </c>
      <c r="D11" s="55"/>
      <c r="E11" s="55"/>
      <c r="F11" s="55"/>
      <c r="G11" s="55"/>
      <c r="H11" s="73"/>
      <c r="I11" s="29"/>
      <c r="J11" s="29"/>
      <c r="K11" s="29"/>
      <c r="L11" s="29"/>
      <c r="M11" s="57"/>
      <c r="N11" s="2"/>
    </row>
    <row r="12" spans="1:14">
      <c r="A12" s="103">
        <v>5</v>
      </c>
      <c r="B12" s="109">
        <v>35438</v>
      </c>
      <c r="C12" s="52">
        <v>20.843800000000002</v>
      </c>
      <c r="D12" s="52"/>
      <c r="E12" s="52"/>
      <c r="F12" s="52"/>
      <c r="G12" s="52"/>
      <c r="H12" s="72"/>
      <c r="I12" s="28"/>
      <c r="J12" s="28"/>
      <c r="K12" s="28"/>
      <c r="L12" s="28"/>
      <c r="M12" s="54"/>
      <c r="N12" s="2"/>
    </row>
    <row r="13" spans="1:14">
      <c r="A13" s="103">
        <v>6</v>
      </c>
      <c r="B13" s="109">
        <v>35439</v>
      </c>
      <c r="C13" s="52">
        <v>20.593800000000002</v>
      </c>
      <c r="D13" s="52"/>
      <c r="E13" s="52"/>
      <c r="F13" s="52"/>
      <c r="G13" s="52"/>
      <c r="H13" s="72"/>
      <c r="I13" s="28"/>
      <c r="J13" s="28"/>
      <c r="K13" s="28"/>
      <c r="L13" s="28"/>
      <c r="M13" s="54"/>
      <c r="N13" s="2"/>
    </row>
    <row r="14" spans="1:14">
      <c r="A14" s="104">
        <v>7</v>
      </c>
      <c r="B14" s="110">
        <v>35440</v>
      </c>
      <c r="C14" s="55">
        <v>21.0625</v>
      </c>
      <c r="D14" s="55"/>
      <c r="E14" s="55"/>
      <c r="F14" s="55"/>
      <c r="G14" s="55"/>
      <c r="H14" s="73"/>
      <c r="I14" s="29"/>
      <c r="J14" s="29"/>
      <c r="K14" s="29"/>
      <c r="L14" s="29"/>
      <c r="M14" s="57"/>
      <c r="N14" s="2"/>
    </row>
    <row r="15" spans="1:14" ht="12.75" customHeight="1">
      <c r="A15" s="104">
        <v>8</v>
      </c>
      <c r="B15" s="110">
        <v>35443</v>
      </c>
      <c r="C15" s="55">
        <v>20.9375</v>
      </c>
      <c r="D15" s="55"/>
      <c r="E15" s="55"/>
      <c r="F15" s="55"/>
      <c r="G15" s="55"/>
      <c r="H15" s="73"/>
      <c r="I15" s="367"/>
      <c r="J15" s="29"/>
      <c r="K15" s="29"/>
      <c r="L15" s="29"/>
      <c r="M15" s="57"/>
      <c r="N15" s="2"/>
    </row>
    <row r="16" spans="1:14">
      <c r="A16" s="103">
        <v>9</v>
      </c>
      <c r="B16" s="109">
        <v>35444</v>
      </c>
      <c r="C16" s="52">
        <v>21.343800000000002</v>
      </c>
      <c r="D16" s="52"/>
      <c r="E16" s="52"/>
      <c r="F16" s="52"/>
      <c r="G16" s="52"/>
      <c r="H16" s="72"/>
      <c r="I16" s="28"/>
      <c r="J16" s="28"/>
      <c r="K16" s="28"/>
      <c r="L16" s="28"/>
      <c r="M16" s="54"/>
      <c r="N16" s="2"/>
    </row>
    <row r="17" spans="1:14">
      <c r="A17" s="103">
        <v>10</v>
      </c>
      <c r="B17" s="109">
        <v>35445</v>
      </c>
      <c r="C17" s="52">
        <v>21.156199999999998</v>
      </c>
      <c r="D17" s="52"/>
      <c r="E17" s="52"/>
      <c r="F17" s="52"/>
      <c r="G17" s="52"/>
      <c r="H17" s="72"/>
      <c r="I17" s="28"/>
      <c r="J17" s="28"/>
      <c r="K17" s="28"/>
      <c r="L17" s="28"/>
      <c r="M17" s="54"/>
      <c r="N17" s="2"/>
    </row>
    <row r="18" spans="1:14">
      <c r="A18" s="104">
        <v>11</v>
      </c>
      <c r="B18" s="110">
        <v>35446</v>
      </c>
      <c r="C18" s="55">
        <v>21.5</v>
      </c>
      <c r="D18" s="55"/>
      <c r="E18" s="55"/>
      <c r="F18" s="55"/>
      <c r="G18" s="55"/>
      <c r="H18" s="73"/>
      <c r="I18" s="29"/>
      <c r="J18" s="29"/>
      <c r="K18" s="29"/>
      <c r="L18" s="29"/>
      <c r="M18" s="57"/>
      <c r="N18" s="2"/>
    </row>
    <row r="19" spans="1:14">
      <c r="A19" s="104">
        <v>12</v>
      </c>
      <c r="B19" s="110">
        <v>35447</v>
      </c>
      <c r="C19" s="55">
        <v>21.781199999999998</v>
      </c>
      <c r="D19" s="55"/>
      <c r="E19" s="55"/>
      <c r="F19" s="55"/>
      <c r="G19" s="55"/>
      <c r="H19" s="73"/>
      <c r="I19" s="29"/>
      <c r="J19" s="29"/>
      <c r="K19" s="29"/>
      <c r="L19" s="29"/>
      <c r="M19" s="57"/>
      <c r="N19" s="2"/>
    </row>
    <row r="20" spans="1:14">
      <c r="A20" s="103">
        <v>13</v>
      </c>
      <c r="B20" s="109">
        <v>35450</v>
      </c>
      <c r="C20" s="52">
        <v>22.6875</v>
      </c>
      <c r="D20" s="52"/>
      <c r="E20" s="52"/>
      <c r="F20" s="52"/>
      <c r="G20" s="52"/>
      <c r="H20" s="72"/>
      <c r="I20" s="28"/>
      <c r="J20" s="28"/>
      <c r="K20" s="28"/>
      <c r="L20" s="28"/>
      <c r="M20" s="54"/>
      <c r="N20" s="2"/>
    </row>
    <row r="21" spans="1:14">
      <c r="A21" s="103">
        <v>14</v>
      </c>
      <c r="B21" s="109">
        <v>35451</v>
      </c>
      <c r="C21" s="52">
        <v>23.75</v>
      </c>
      <c r="D21" s="52"/>
      <c r="E21" s="52"/>
      <c r="F21" s="52"/>
      <c r="G21" s="52"/>
      <c r="H21" s="72"/>
      <c r="I21" s="28"/>
      <c r="J21" s="28"/>
      <c r="K21" s="28"/>
      <c r="L21" s="28"/>
      <c r="M21" s="54"/>
      <c r="N21" s="2"/>
    </row>
    <row r="22" spans="1:14">
      <c r="A22" s="104">
        <v>15</v>
      </c>
      <c r="B22" s="110">
        <v>35452</v>
      </c>
      <c r="C22" s="55">
        <v>24.343800000000002</v>
      </c>
      <c r="D22" s="55"/>
      <c r="E22" s="55"/>
      <c r="F22" s="55"/>
      <c r="G22" s="55"/>
      <c r="H22" s="73"/>
      <c r="I22" s="29"/>
      <c r="J22" s="29"/>
      <c r="K22" s="29"/>
      <c r="L22" s="29"/>
      <c r="M22" s="57"/>
      <c r="N22" s="2"/>
    </row>
    <row r="23" spans="1:14">
      <c r="A23" s="104">
        <v>16</v>
      </c>
      <c r="B23" s="110">
        <v>35453</v>
      </c>
      <c r="C23" s="55">
        <v>23.6875</v>
      </c>
      <c r="D23" s="55"/>
      <c r="E23" s="55"/>
      <c r="F23" s="55"/>
      <c r="G23" s="55"/>
      <c r="H23" s="73"/>
      <c r="I23" s="29"/>
      <c r="J23" s="29"/>
      <c r="K23" s="29"/>
      <c r="L23" s="29"/>
      <c r="M23" s="57"/>
      <c r="N23" s="2"/>
    </row>
    <row r="24" spans="1:14">
      <c r="A24" s="103">
        <v>17</v>
      </c>
      <c r="B24" s="109">
        <v>35454</v>
      </c>
      <c r="C24" s="52">
        <v>23.984400000000001</v>
      </c>
      <c r="D24" s="52"/>
      <c r="E24" s="52"/>
      <c r="F24" s="52"/>
      <c r="G24" s="52"/>
      <c r="H24" s="72"/>
      <c r="I24" s="28"/>
      <c r="J24" s="28"/>
      <c r="K24" s="28"/>
      <c r="L24" s="28"/>
      <c r="M24" s="54"/>
      <c r="N24" s="2"/>
    </row>
    <row r="25" spans="1:14">
      <c r="A25" s="103">
        <v>18</v>
      </c>
      <c r="B25" s="109">
        <v>35457</v>
      </c>
      <c r="C25" s="52">
        <v>24.031199999999998</v>
      </c>
      <c r="D25" s="52"/>
      <c r="E25" s="52"/>
      <c r="F25" s="52"/>
      <c r="G25" s="52"/>
      <c r="H25" s="72"/>
      <c r="I25" s="28"/>
      <c r="J25" s="28"/>
      <c r="K25" s="28"/>
      <c r="L25" s="28"/>
      <c r="M25" s="54"/>
      <c r="N25" s="2"/>
    </row>
    <row r="26" spans="1:14">
      <c r="A26" s="104">
        <v>19</v>
      </c>
      <c r="B26" s="110">
        <v>35458</v>
      </c>
      <c r="C26" s="55">
        <v>23.906199999999998</v>
      </c>
      <c r="D26" s="55"/>
      <c r="E26" s="55"/>
      <c r="F26" s="55"/>
      <c r="G26" s="55"/>
      <c r="H26" s="73"/>
      <c r="I26" s="29"/>
      <c r="J26" s="29"/>
      <c r="K26" s="29"/>
      <c r="L26" s="29"/>
      <c r="M26" s="57"/>
      <c r="N26" s="2"/>
    </row>
    <row r="27" spans="1:14">
      <c r="A27" s="104">
        <v>20</v>
      </c>
      <c r="B27" s="110">
        <v>35459</v>
      </c>
      <c r="C27" s="55">
        <v>24.3125</v>
      </c>
      <c r="D27" s="55"/>
      <c r="E27" s="55"/>
      <c r="F27" s="55"/>
      <c r="G27" s="55"/>
      <c r="H27" s="73"/>
      <c r="I27" s="29"/>
      <c r="J27" s="29"/>
      <c r="K27" s="29"/>
      <c r="L27" s="29"/>
      <c r="M27" s="57"/>
      <c r="N27" s="2"/>
    </row>
    <row r="28" spans="1:14">
      <c r="A28" s="103">
        <v>21</v>
      </c>
      <c r="B28" s="109">
        <v>35460</v>
      </c>
      <c r="C28" s="52">
        <v>25.281199999999998</v>
      </c>
      <c r="D28" s="52"/>
      <c r="E28" s="52"/>
      <c r="F28" s="52"/>
      <c r="G28" s="52"/>
      <c r="H28" s="72"/>
      <c r="I28" s="28"/>
      <c r="J28" s="28"/>
      <c r="K28" s="28"/>
      <c r="L28" s="28"/>
      <c r="M28" s="54"/>
      <c r="N28" s="2"/>
    </row>
    <row r="29" spans="1:14">
      <c r="A29" s="103">
        <v>22</v>
      </c>
      <c r="B29" s="109">
        <v>35461</v>
      </c>
      <c r="C29" s="52">
        <v>25.5</v>
      </c>
      <c r="D29" s="52"/>
      <c r="E29" s="52"/>
      <c r="F29" s="52"/>
      <c r="G29" s="52"/>
      <c r="H29" s="72"/>
      <c r="I29" s="28"/>
      <c r="J29" s="28"/>
      <c r="K29" s="28"/>
      <c r="L29" s="28"/>
      <c r="M29" s="54"/>
      <c r="N29" s="2"/>
    </row>
    <row r="30" spans="1:14">
      <c r="A30" s="104">
        <v>23</v>
      </c>
      <c r="B30" s="110">
        <v>35464</v>
      </c>
      <c r="C30" s="55">
        <v>25.593800000000002</v>
      </c>
      <c r="D30" s="55"/>
      <c r="E30" s="55"/>
      <c r="F30" s="55"/>
      <c r="G30" s="55"/>
      <c r="H30" s="73"/>
      <c r="I30" s="29"/>
      <c r="J30" s="29"/>
      <c r="K30" s="29"/>
      <c r="L30" s="29"/>
      <c r="M30" s="57"/>
      <c r="N30" s="2"/>
    </row>
    <row r="31" spans="1:14">
      <c r="A31" s="104">
        <v>24</v>
      </c>
      <c r="B31" s="110">
        <v>35465</v>
      </c>
      <c r="C31" s="55">
        <v>25.781199999999998</v>
      </c>
      <c r="D31" s="55"/>
      <c r="E31" s="55"/>
      <c r="F31" s="55"/>
      <c r="G31" s="55"/>
      <c r="H31" s="73"/>
      <c r="I31" s="29"/>
      <c r="J31" s="29"/>
      <c r="K31" s="29"/>
      <c r="L31" s="29"/>
      <c r="M31" s="57"/>
      <c r="N31" s="2"/>
    </row>
    <row r="32" spans="1:14">
      <c r="A32" s="103">
        <v>25</v>
      </c>
      <c r="B32" s="109">
        <v>35466</v>
      </c>
      <c r="C32" s="52">
        <v>24.593800000000002</v>
      </c>
      <c r="D32" s="52"/>
      <c r="E32" s="52"/>
      <c r="F32" s="52"/>
      <c r="G32" s="52"/>
      <c r="H32" s="72"/>
      <c r="I32" s="28"/>
      <c r="J32" s="28"/>
      <c r="K32" s="28"/>
      <c r="L32" s="28"/>
      <c r="M32" s="54"/>
      <c r="N32" s="2"/>
    </row>
    <row r="33" spans="1:14">
      <c r="A33" s="103">
        <v>26</v>
      </c>
      <c r="B33" s="109">
        <v>35467</v>
      </c>
      <c r="C33" s="52">
        <v>24.281199999999998</v>
      </c>
      <c r="D33" s="52"/>
      <c r="E33" s="52"/>
      <c r="F33" s="52"/>
      <c r="G33" s="52"/>
      <c r="H33" s="72"/>
      <c r="I33" s="28"/>
      <c r="J33" s="28"/>
      <c r="K33" s="28"/>
      <c r="L33" s="28"/>
      <c r="M33" s="54"/>
      <c r="N33" s="2"/>
    </row>
    <row r="34" spans="1:14">
      <c r="A34" s="104">
        <v>27</v>
      </c>
      <c r="B34" s="110">
        <v>35468</v>
      </c>
      <c r="C34" s="55">
        <v>25.093800000000002</v>
      </c>
      <c r="D34" s="55"/>
      <c r="E34" s="55"/>
      <c r="F34" s="55"/>
      <c r="G34" s="55"/>
      <c r="H34" s="73"/>
      <c r="I34" s="29"/>
      <c r="J34" s="29"/>
      <c r="K34" s="29"/>
      <c r="L34" s="29"/>
      <c r="M34" s="57"/>
      <c r="N34" s="2"/>
    </row>
    <row r="35" spans="1:14">
      <c r="A35" s="104">
        <v>28</v>
      </c>
      <c r="B35" s="110">
        <v>35471</v>
      </c>
      <c r="C35" s="55">
        <v>24.4375</v>
      </c>
      <c r="D35" s="55"/>
      <c r="E35" s="55"/>
      <c r="F35" s="55"/>
      <c r="G35" s="55"/>
      <c r="H35" s="73"/>
      <c r="I35" s="29"/>
      <c r="J35" s="29"/>
      <c r="K35" s="29"/>
      <c r="L35" s="29"/>
      <c r="M35" s="57"/>
      <c r="N35" s="2"/>
    </row>
    <row r="36" spans="1:14">
      <c r="A36" s="103">
        <v>29</v>
      </c>
      <c r="B36" s="109">
        <v>35472</v>
      </c>
      <c r="C36" s="52">
        <v>24.625</v>
      </c>
      <c r="D36" s="52"/>
      <c r="E36" s="52"/>
      <c r="F36" s="52"/>
      <c r="G36" s="52"/>
      <c r="H36" s="72"/>
      <c r="I36" s="28"/>
      <c r="J36" s="28"/>
      <c r="K36" s="28"/>
      <c r="L36" s="28"/>
      <c r="M36" s="54"/>
      <c r="N36" s="2"/>
    </row>
    <row r="37" spans="1:14">
      <c r="A37" s="103">
        <v>30</v>
      </c>
      <c r="B37" s="109">
        <v>35473</v>
      </c>
      <c r="C37" s="52">
        <v>24.968800000000002</v>
      </c>
      <c r="D37" s="52"/>
      <c r="E37" s="52"/>
      <c r="F37" s="52"/>
      <c r="G37" s="52"/>
      <c r="H37" s="72"/>
      <c r="I37" s="28"/>
      <c r="J37" s="28"/>
      <c r="K37" s="28"/>
      <c r="L37" s="28"/>
      <c r="M37" s="54"/>
      <c r="N37" s="2"/>
    </row>
    <row r="38" spans="1:14">
      <c r="A38" s="104">
        <v>31</v>
      </c>
      <c r="B38" s="110">
        <v>35474</v>
      </c>
      <c r="C38" s="55">
        <v>25</v>
      </c>
      <c r="D38" s="55"/>
      <c r="E38" s="55"/>
      <c r="F38" s="55"/>
      <c r="G38" s="55"/>
      <c r="H38" s="73"/>
      <c r="I38" s="29"/>
      <c r="J38" s="29"/>
      <c r="K38" s="29"/>
      <c r="L38" s="29"/>
      <c r="M38" s="57"/>
      <c r="N38" s="2"/>
    </row>
    <row r="39" spans="1:14">
      <c r="A39" s="104">
        <v>32</v>
      </c>
      <c r="B39" s="110">
        <v>35475</v>
      </c>
      <c r="C39" s="55">
        <v>24.468800000000002</v>
      </c>
      <c r="D39" s="55"/>
      <c r="E39" s="55"/>
      <c r="F39" s="55"/>
      <c r="G39" s="55"/>
      <c r="H39" s="73"/>
      <c r="I39" s="29"/>
      <c r="J39" s="29"/>
      <c r="K39" s="29"/>
      <c r="L39" s="29"/>
      <c r="M39" s="57"/>
      <c r="N39" s="2"/>
    </row>
    <row r="40" spans="1:14">
      <c r="A40" s="103">
        <v>33</v>
      </c>
      <c r="B40" s="109">
        <v>35479</v>
      </c>
      <c r="C40" s="52">
        <v>24.343800000000002</v>
      </c>
      <c r="D40" s="52"/>
      <c r="E40" s="52"/>
      <c r="F40" s="52"/>
      <c r="G40" s="52"/>
      <c r="H40" s="72"/>
      <c r="I40" s="28"/>
      <c r="J40" s="28"/>
      <c r="K40" s="28"/>
      <c r="L40" s="28"/>
      <c r="M40" s="54"/>
      <c r="N40" s="2"/>
    </row>
    <row r="41" spans="1:14">
      <c r="A41" s="103">
        <v>34</v>
      </c>
      <c r="B41" s="109">
        <v>35480</v>
      </c>
      <c r="C41" s="52">
        <v>24.375</v>
      </c>
      <c r="D41" s="52"/>
      <c r="E41" s="52"/>
      <c r="F41" s="52"/>
      <c r="G41" s="52"/>
      <c r="H41" s="72"/>
      <c r="I41" s="28"/>
      <c r="J41" s="28"/>
      <c r="K41" s="28"/>
      <c r="L41" s="28"/>
      <c r="M41" s="54"/>
      <c r="N41" s="2"/>
    </row>
    <row r="42" spans="1:14">
      <c r="A42" s="104">
        <v>35</v>
      </c>
      <c r="B42" s="110">
        <v>35481</v>
      </c>
      <c r="C42" s="55">
        <v>23.8125</v>
      </c>
      <c r="D42" s="55"/>
      <c r="E42" s="55"/>
      <c r="F42" s="55"/>
      <c r="G42" s="55"/>
      <c r="H42" s="73"/>
      <c r="I42" s="29"/>
      <c r="J42" s="29"/>
      <c r="K42" s="29"/>
      <c r="L42" s="29"/>
      <c r="M42" s="57"/>
      <c r="N42" s="2"/>
    </row>
    <row r="43" spans="1:14">
      <c r="A43" s="104">
        <v>36</v>
      </c>
      <c r="B43" s="110">
        <v>35482</v>
      </c>
      <c r="C43" s="55">
        <v>23.75</v>
      </c>
      <c r="D43" s="55"/>
      <c r="E43" s="55"/>
      <c r="F43" s="55"/>
      <c r="G43" s="55"/>
      <c r="H43" s="73"/>
      <c r="I43" s="29"/>
      <c r="J43" s="29"/>
      <c r="K43" s="29"/>
      <c r="L43" s="29"/>
      <c r="M43" s="57"/>
      <c r="N43" s="2"/>
    </row>
    <row r="44" spans="1:14">
      <c r="A44" s="103">
        <v>37</v>
      </c>
      <c r="B44" s="109">
        <v>35485</v>
      </c>
      <c r="C44" s="52">
        <v>25.031199999999998</v>
      </c>
      <c r="D44" s="52"/>
      <c r="E44" s="52"/>
      <c r="F44" s="52"/>
      <c r="G44" s="52"/>
      <c r="H44" s="72"/>
      <c r="I44" s="28"/>
      <c r="J44" s="28"/>
      <c r="K44" s="28"/>
      <c r="L44" s="28"/>
      <c r="M44" s="54"/>
      <c r="N44" s="2"/>
    </row>
    <row r="45" spans="1:14">
      <c r="A45" s="103">
        <v>38</v>
      </c>
      <c r="B45" s="109">
        <v>35486</v>
      </c>
      <c r="C45" s="52">
        <v>24.875</v>
      </c>
      <c r="D45" s="52"/>
      <c r="E45" s="52"/>
      <c r="F45" s="52"/>
      <c r="G45" s="52"/>
      <c r="H45" s="72"/>
      <c r="I45" s="28"/>
      <c r="J45" s="28"/>
      <c r="K45" s="28"/>
      <c r="L45" s="28"/>
      <c r="M45" s="54"/>
      <c r="N45" s="2"/>
    </row>
    <row r="46" spans="1:14">
      <c r="A46" s="104">
        <v>39</v>
      </c>
      <c r="B46" s="110">
        <v>35487</v>
      </c>
      <c r="C46" s="55">
        <v>25.0625</v>
      </c>
      <c r="D46" s="55"/>
      <c r="E46" s="55"/>
      <c r="F46" s="55"/>
      <c r="G46" s="55"/>
      <c r="H46" s="73"/>
      <c r="I46" s="29"/>
      <c r="J46" s="29"/>
      <c r="K46" s="29"/>
      <c r="L46" s="29"/>
      <c r="M46" s="57"/>
      <c r="N46" s="2"/>
    </row>
    <row r="47" spans="1:14">
      <c r="A47" s="104">
        <v>40</v>
      </c>
      <c r="B47" s="110">
        <v>35488</v>
      </c>
      <c r="C47" s="55">
        <v>24.031199999999998</v>
      </c>
      <c r="D47" s="55"/>
      <c r="E47" s="55"/>
      <c r="F47" s="55"/>
      <c r="G47" s="55"/>
      <c r="H47" s="73"/>
      <c r="I47" s="29"/>
      <c r="J47" s="29"/>
      <c r="K47" s="29"/>
      <c r="L47" s="29"/>
      <c r="M47" s="57"/>
      <c r="N47" s="2"/>
    </row>
    <row r="48" spans="1:14">
      <c r="A48" s="103">
        <v>41</v>
      </c>
      <c r="B48" s="109">
        <v>35489</v>
      </c>
      <c r="C48" s="52">
        <v>24.375</v>
      </c>
      <c r="D48" s="52"/>
      <c r="E48" s="52"/>
      <c r="F48" s="52"/>
      <c r="G48" s="52"/>
      <c r="H48" s="72"/>
      <c r="I48" s="28"/>
      <c r="J48" s="28"/>
      <c r="K48" s="28"/>
      <c r="L48" s="28"/>
      <c r="M48" s="54"/>
      <c r="N48" s="2"/>
    </row>
    <row r="49" spans="1:14">
      <c r="A49" s="103">
        <v>42</v>
      </c>
      <c r="B49" s="109">
        <v>35492</v>
      </c>
      <c r="C49" s="52">
        <v>24.875</v>
      </c>
      <c r="D49" s="52"/>
      <c r="E49" s="52"/>
      <c r="F49" s="52"/>
      <c r="G49" s="52"/>
      <c r="H49" s="72"/>
      <c r="I49" s="28"/>
      <c r="J49" s="28"/>
      <c r="K49" s="28"/>
      <c r="L49" s="28"/>
      <c r="M49" s="54"/>
      <c r="N49" s="2"/>
    </row>
    <row r="50" spans="1:14">
      <c r="A50" s="104">
        <v>43</v>
      </c>
      <c r="B50" s="110">
        <v>35493</v>
      </c>
      <c r="C50" s="55">
        <v>24.781199999999998</v>
      </c>
      <c r="D50" s="55"/>
      <c r="E50" s="55"/>
      <c r="F50" s="55"/>
      <c r="G50" s="55"/>
      <c r="H50" s="73"/>
      <c r="I50" s="29"/>
      <c r="J50" s="29"/>
      <c r="K50" s="29"/>
      <c r="L50" s="29"/>
      <c r="M50" s="57"/>
      <c r="N50" s="2"/>
    </row>
    <row r="51" spans="1:14">
      <c r="A51" s="104">
        <v>44</v>
      </c>
      <c r="B51" s="110">
        <v>35494</v>
      </c>
      <c r="C51" s="55">
        <v>25.218800000000002</v>
      </c>
      <c r="D51" s="55"/>
      <c r="E51" s="55"/>
      <c r="F51" s="55"/>
      <c r="G51" s="55"/>
      <c r="H51" s="73"/>
      <c r="I51" s="29"/>
      <c r="J51" s="29"/>
      <c r="K51" s="29"/>
      <c r="L51" s="29"/>
      <c r="M51" s="57"/>
      <c r="N51" s="2"/>
    </row>
    <row r="52" spans="1:14">
      <c r="A52" s="103">
        <v>45</v>
      </c>
      <c r="B52" s="109">
        <v>35495</v>
      </c>
      <c r="C52" s="52">
        <v>24.4375</v>
      </c>
      <c r="D52" s="52"/>
      <c r="E52" s="52"/>
      <c r="F52" s="52"/>
      <c r="G52" s="52"/>
      <c r="H52" s="72"/>
      <c r="I52" s="28"/>
      <c r="J52" s="28"/>
      <c r="K52" s="28"/>
      <c r="L52" s="28"/>
      <c r="M52" s="54"/>
      <c r="N52" s="2"/>
    </row>
    <row r="53" spans="1:14">
      <c r="A53" s="103">
        <v>46</v>
      </c>
      <c r="B53" s="109">
        <v>35496</v>
      </c>
      <c r="C53" s="52">
        <v>24.1875</v>
      </c>
      <c r="D53" s="52"/>
      <c r="E53" s="52"/>
      <c r="F53" s="52"/>
      <c r="G53" s="52"/>
      <c r="H53" s="72"/>
      <c r="I53" s="28"/>
      <c r="J53" s="28"/>
      <c r="K53" s="28"/>
      <c r="L53" s="28"/>
      <c r="M53" s="54"/>
      <c r="N53" s="2"/>
    </row>
    <row r="54" spans="1:14">
      <c r="A54" s="104">
        <v>47</v>
      </c>
      <c r="B54" s="110">
        <v>35499</v>
      </c>
      <c r="C54" s="55">
        <v>25</v>
      </c>
      <c r="D54" s="55"/>
      <c r="E54" s="55"/>
      <c r="F54" s="55"/>
      <c r="G54" s="55"/>
      <c r="H54" s="73"/>
      <c r="I54" s="29"/>
      <c r="J54" s="29"/>
      <c r="K54" s="29"/>
      <c r="L54" s="29"/>
      <c r="M54" s="57"/>
      <c r="N54" s="2"/>
    </row>
    <row r="55" spans="1:14">
      <c r="A55" s="104">
        <v>48</v>
      </c>
      <c r="B55" s="110">
        <v>35500</v>
      </c>
      <c r="C55" s="55">
        <v>24.593800000000002</v>
      </c>
      <c r="D55" s="55"/>
      <c r="E55" s="55"/>
      <c r="F55" s="55"/>
      <c r="G55" s="55"/>
      <c r="H55" s="73"/>
      <c r="I55" s="29"/>
      <c r="J55" s="29"/>
      <c r="K55" s="29"/>
      <c r="L55" s="29"/>
      <c r="M55" s="57"/>
      <c r="N55" s="2"/>
    </row>
    <row r="56" spans="1:14">
      <c r="A56" s="103">
        <v>49</v>
      </c>
      <c r="B56" s="109">
        <v>35501</v>
      </c>
      <c r="C56" s="52">
        <v>24.6875</v>
      </c>
      <c r="D56" s="52"/>
      <c r="E56" s="52"/>
      <c r="F56" s="52"/>
      <c r="G56" s="52"/>
      <c r="H56" s="72"/>
      <c r="I56" s="28"/>
      <c r="J56" s="28"/>
      <c r="K56" s="28"/>
      <c r="L56" s="28"/>
      <c r="M56" s="54"/>
      <c r="N56" s="2"/>
    </row>
    <row r="57" spans="1:14">
      <c r="A57" s="103">
        <v>50</v>
      </c>
      <c r="B57" s="109">
        <v>35502</v>
      </c>
      <c r="C57" s="52">
        <v>24.906199999999998</v>
      </c>
      <c r="D57" s="52">
        <f>FORECAST(A57,C8:C57,A8:A57)</f>
        <v>25.765367294117649</v>
      </c>
      <c r="E57" s="52">
        <f>LINEST(C8:C57)</f>
        <v>8.365017527010804E-2</v>
      </c>
      <c r="F57" s="52">
        <f>D57+E57</f>
        <v>25.849017469387757</v>
      </c>
      <c r="G57" s="52">
        <f t="shared" ref="G57:G63" si="0">FORECAST(A58,C8:C57,A8:A57)</f>
        <v>25.849017469387757</v>
      </c>
      <c r="H57" s="72"/>
      <c r="I57" s="28"/>
      <c r="J57" s="28"/>
      <c r="K57" s="28"/>
      <c r="L57" s="28"/>
      <c r="M57" s="54"/>
      <c r="N57" s="2"/>
    </row>
    <row r="58" spans="1:14">
      <c r="A58" s="104">
        <v>51</v>
      </c>
      <c r="B58" s="110">
        <v>35503</v>
      </c>
      <c r="C58" s="55">
        <v>24.75</v>
      </c>
      <c r="D58" s="55">
        <f t="shared" ref="D58:D63" si="1">FORECAST(A58,C9:C58,A9:A58)</f>
        <v>25.713269647058819</v>
      </c>
      <c r="E58" s="55">
        <f t="shared" ref="E58:E63" si="2">LINEST(C9:C58)</f>
        <v>7.7977781512605038E-2</v>
      </c>
      <c r="F58" s="55">
        <f t="shared" ref="F58:F63" si="3">D58+E58</f>
        <v>25.791247428571424</v>
      </c>
      <c r="G58" s="55">
        <f t="shared" si="0"/>
        <v>25.791247428571424</v>
      </c>
      <c r="H58" s="73"/>
      <c r="I58" s="29"/>
      <c r="J58" s="29"/>
      <c r="K58" s="29"/>
      <c r="L58" s="29"/>
      <c r="M58" s="57"/>
      <c r="N58" s="2"/>
    </row>
    <row r="59" spans="1:14">
      <c r="A59" s="104">
        <v>52</v>
      </c>
      <c r="B59" s="110">
        <v>35506</v>
      </c>
      <c r="C59" s="55">
        <v>25.125</v>
      </c>
      <c r="D59" s="55">
        <f t="shared" si="1"/>
        <v>25.71006894117647</v>
      </c>
      <c r="E59" s="55">
        <f t="shared" si="2"/>
        <v>7.4607303721488605E-2</v>
      </c>
      <c r="F59" s="55">
        <f t="shared" si="3"/>
        <v>25.784676244897959</v>
      </c>
      <c r="G59" s="55">
        <f t="shared" si="0"/>
        <v>25.784676244897959</v>
      </c>
      <c r="H59" s="73"/>
      <c r="I59" s="29"/>
      <c r="J59" s="29"/>
      <c r="K59" s="29"/>
      <c r="L59" s="29"/>
      <c r="M59" s="57"/>
      <c r="N59" s="2"/>
    </row>
    <row r="60" spans="1:14">
      <c r="A60" s="103">
        <v>53</v>
      </c>
      <c r="B60" s="109">
        <v>35507</v>
      </c>
      <c r="C60" s="52">
        <v>24.906199999999998</v>
      </c>
      <c r="D60" s="52">
        <f t="shared" si="1"/>
        <v>25.67804470588235</v>
      </c>
      <c r="E60" s="52">
        <f t="shared" si="2"/>
        <v>7.0188028811524639E-2</v>
      </c>
      <c r="F60" s="52">
        <f t="shared" si="3"/>
        <v>25.748232734693875</v>
      </c>
      <c r="G60" s="52">
        <f t="shared" si="0"/>
        <v>25.748232734693875</v>
      </c>
      <c r="H60" s="72"/>
      <c r="I60" s="28"/>
      <c r="J60" s="28"/>
      <c r="K60" s="28"/>
      <c r="L60" s="28"/>
      <c r="M60" s="54"/>
      <c r="N60" s="2"/>
    </row>
    <row r="61" spans="1:14">
      <c r="A61" s="103">
        <v>54</v>
      </c>
      <c r="B61" s="109">
        <v>35508</v>
      </c>
      <c r="C61" s="52">
        <v>24.1875</v>
      </c>
      <c r="D61" s="52">
        <f t="shared" si="1"/>
        <v>25.587493176470584</v>
      </c>
      <c r="E61" s="52">
        <f t="shared" si="2"/>
        <v>6.4094088835534191E-2</v>
      </c>
      <c r="F61" s="52">
        <f t="shared" si="3"/>
        <v>25.651587265306119</v>
      </c>
      <c r="G61" s="52">
        <f t="shared" si="0"/>
        <v>25.651587265306119</v>
      </c>
      <c r="H61" s="72"/>
      <c r="I61" s="28"/>
      <c r="J61" s="28"/>
      <c r="K61" s="28"/>
      <c r="L61" s="28"/>
      <c r="M61" s="54"/>
      <c r="N61" s="2"/>
    </row>
    <row r="62" spans="1:14">
      <c r="A62" s="104">
        <v>55</v>
      </c>
      <c r="B62" s="110">
        <v>35509</v>
      </c>
      <c r="C62" s="55">
        <v>24</v>
      </c>
      <c r="D62" s="55">
        <f t="shared" si="1"/>
        <v>25.459223058823529</v>
      </c>
      <c r="E62" s="55">
        <f t="shared" si="2"/>
        <v>5.6282084033613455E-2</v>
      </c>
      <c r="F62" s="55">
        <f t="shared" si="3"/>
        <v>25.515505142857144</v>
      </c>
      <c r="G62" s="55">
        <f t="shared" si="0"/>
        <v>25.515505142857144</v>
      </c>
      <c r="H62" s="73"/>
      <c r="I62" s="29"/>
      <c r="J62" s="29"/>
      <c r="K62" s="29"/>
      <c r="L62" s="29"/>
      <c r="M62" s="57"/>
      <c r="N62" s="2"/>
    </row>
    <row r="63" spans="1:14">
      <c r="A63" s="104">
        <v>56</v>
      </c>
      <c r="B63" s="110">
        <v>35510</v>
      </c>
      <c r="C63" s="55">
        <v>23.5</v>
      </c>
      <c r="D63" s="55">
        <f t="shared" si="1"/>
        <v>25.27470305882353</v>
      </c>
      <c r="E63" s="55">
        <f t="shared" si="2"/>
        <v>4.6378247298919581E-2</v>
      </c>
      <c r="F63" s="55">
        <f t="shared" si="3"/>
        <v>25.321081306122448</v>
      </c>
      <c r="G63" s="55">
        <f t="shared" si="0"/>
        <v>25.321081306122448</v>
      </c>
      <c r="H63" s="73"/>
      <c r="I63" s="29"/>
      <c r="J63" s="29"/>
      <c r="K63" s="29"/>
      <c r="L63" s="29"/>
      <c r="M63" s="57"/>
      <c r="N63" s="2"/>
    </row>
    <row r="64" spans="1:14">
      <c r="A64" s="104">
        <v>57</v>
      </c>
      <c r="B64" s="2"/>
      <c r="N64" s="2"/>
    </row>
    <row r="65" spans="1:14">
      <c r="N65" s="2"/>
    </row>
    <row r="66" spans="1:14">
      <c r="A66" t="s">
        <v>649</v>
      </c>
      <c r="N66" s="2"/>
    </row>
    <row r="67" spans="1:14">
      <c r="A67" t="s">
        <v>651</v>
      </c>
      <c r="N67" s="2"/>
    </row>
    <row r="68" spans="1:14">
      <c r="A68" t="s">
        <v>652</v>
      </c>
      <c r="N68" s="2"/>
    </row>
    <row r="69" spans="1:14">
      <c r="A69" t="s">
        <v>653</v>
      </c>
      <c r="N69" s="2"/>
    </row>
    <row r="70" spans="1:14">
      <c r="A70" t="s">
        <v>602</v>
      </c>
      <c r="N70" s="2"/>
    </row>
    <row r="71" spans="1:14">
      <c r="N71" s="2"/>
    </row>
    <row r="72" spans="1:14">
      <c r="N72" s="2"/>
    </row>
    <row r="73" spans="1:14">
      <c r="N73" s="2"/>
    </row>
    <row r="74" spans="1:14">
      <c r="N74" s="2"/>
    </row>
    <row r="75" spans="1:14">
      <c r="N75" s="2"/>
    </row>
    <row r="76" spans="1:14">
      <c r="N76" s="2"/>
    </row>
    <row r="77" spans="1:14">
      <c r="N77" s="2"/>
    </row>
    <row r="78" spans="1:14">
      <c r="N78" s="2"/>
    </row>
    <row r="79" spans="1:14">
      <c r="N79" s="2"/>
    </row>
    <row r="80" spans="1:14">
      <c r="N80" s="2"/>
    </row>
    <row r="81" spans="14:14">
      <c r="N81" s="2"/>
    </row>
    <row r="82" spans="14:14">
      <c r="N82" s="2"/>
    </row>
    <row r="83" spans="14:14">
      <c r="N83" s="2"/>
    </row>
    <row r="84" spans="14:14">
      <c r="N84" s="2"/>
    </row>
    <row r="85" spans="14:14">
      <c r="N85" s="2"/>
    </row>
    <row r="86" spans="14:14">
      <c r="N86" s="2"/>
    </row>
    <row r="87" spans="14:14">
      <c r="N87" s="2"/>
    </row>
    <row r="88" spans="14:14">
      <c r="N88" s="2"/>
    </row>
    <row r="89" spans="14:14">
      <c r="N89" s="2"/>
    </row>
    <row r="90" spans="14:14">
      <c r="N90" s="2"/>
    </row>
    <row r="91" spans="14:14">
      <c r="N91" s="2"/>
    </row>
    <row r="92" spans="14:14">
      <c r="N92" s="2"/>
    </row>
    <row r="93" spans="14:14">
      <c r="N93" s="2"/>
    </row>
    <row r="94" spans="14:14">
      <c r="N94" s="2"/>
    </row>
    <row r="95" spans="14:14">
      <c r="N95" s="2"/>
    </row>
    <row r="96" spans="14:14">
      <c r="N96" s="2"/>
    </row>
    <row r="97" spans="14:14">
      <c r="N97" s="2"/>
    </row>
    <row r="98" spans="14:14">
      <c r="N98" s="2"/>
    </row>
    <row r="99" spans="14:14">
      <c r="N99" s="2"/>
    </row>
    <row r="100" spans="14:14">
      <c r="N100" s="2"/>
    </row>
    <row r="101" spans="14:14">
      <c r="N101" s="2"/>
    </row>
    <row r="102" spans="14:14">
      <c r="N102" s="2"/>
    </row>
    <row r="103" spans="14:14">
      <c r="N103" s="2"/>
    </row>
    <row r="104" spans="14:14">
      <c r="N104" s="2"/>
    </row>
    <row r="105" spans="14:14">
      <c r="N105" s="2"/>
    </row>
    <row r="106" spans="14:14">
      <c r="N106" s="2"/>
    </row>
    <row r="107" spans="14:14">
      <c r="N107" s="2"/>
    </row>
    <row r="108" spans="14:14">
      <c r="N108" s="2"/>
    </row>
    <row r="109" spans="14:14">
      <c r="N109" s="2"/>
    </row>
    <row r="110" spans="14:14">
      <c r="N110" s="2"/>
    </row>
    <row r="111" spans="14:14">
      <c r="N111" s="2"/>
    </row>
    <row r="112" spans="14:14">
      <c r="N112" s="2"/>
    </row>
    <row r="113" spans="14:14">
      <c r="N113" s="2"/>
    </row>
    <row r="114" spans="14:14">
      <c r="N114" s="2"/>
    </row>
    <row r="115" spans="14:14">
      <c r="N115" s="2"/>
    </row>
    <row r="116" spans="14:14">
      <c r="N116" s="2"/>
    </row>
    <row r="117" spans="14:14">
      <c r="N117" s="2"/>
    </row>
    <row r="118" spans="14:14">
      <c r="N118" s="2"/>
    </row>
    <row r="119" spans="14:14">
      <c r="N119" s="2"/>
    </row>
    <row r="120" spans="14:14">
      <c r="N120" s="2"/>
    </row>
    <row r="121" spans="14:14">
      <c r="N121" s="2"/>
    </row>
    <row r="122" spans="14:14">
      <c r="N122" s="2"/>
    </row>
    <row r="123" spans="14:14">
      <c r="N123" s="2"/>
    </row>
    <row r="124" spans="14:14">
      <c r="N124" s="2"/>
    </row>
    <row r="125" spans="14:14">
      <c r="N125" s="2"/>
    </row>
    <row r="126" spans="14:14">
      <c r="N126" s="2"/>
    </row>
    <row r="127" spans="14:14">
      <c r="N127" s="2"/>
    </row>
    <row r="128" spans="14:14">
      <c r="N128" s="2"/>
    </row>
    <row r="129" spans="14:14">
      <c r="N129" s="2"/>
    </row>
    <row r="130" spans="14:14">
      <c r="N130" s="2"/>
    </row>
    <row r="131" spans="14:14">
      <c r="N131" s="2"/>
    </row>
    <row r="132" spans="14:14">
      <c r="N132" s="2"/>
    </row>
    <row r="133" spans="14:14">
      <c r="N133" s="2"/>
    </row>
    <row r="134" spans="14:14">
      <c r="N134" s="2"/>
    </row>
    <row r="135" spans="14:14">
      <c r="N135" s="2"/>
    </row>
    <row r="136" spans="14:14">
      <c r="N136" s="2"/>
    </row>
    <row r="137" spans="14:14">
      <c r="N137" s="2"/>
    </row>
    <row r="138" spans="14:14">
      <c r="N138" s="2"/>
    </row>
    <row r="139" spans="14:14">
      <c r="N139" s="2"/>
    </row>
    <row r="140" spans="14:14">
      <c r="N140" s="2"/>
    </row>
    <row r="141" spans="14:14">
      <c r="N141" s="2"/>
    </row>
    <row r="142" spans="14:14">
      <c r="N142" s="2"/>
    </row>
    <row r="143" spans="14:14">
      <c r="N143" s="2"/>
    </row>
    <row r="144" spans="14:14">
      <c r="N144" s="2"/>
    </row>
    <row r="145" spans="14:14">
      <c r="N145" s="2"/>
    </row>
    <row r="146" spans="14:14">
      <c r="N146" s="2"/>
    </row>
    <row r="147" spans="14:14">
      <c r="N147" s="2"/>
    </row>
    <row r="148" spans="14:14">
      <c r="N148" s="2"/>
    </row>
    <row r="149" spans="14:14">
      <c r="N149" s="2"/>
    </row>
    <row r="150" spans="14:14">
      <c r="N150" s="2"/>
    </row>
    <row r="151" spans="14:14">
      <c r="N151" s="2"/>
    </row>
    <row r="152" spans="14:14">
      <c r="N152" s="2"/>
    </row>
    <row r="153" spans="14:14">
      <c r="N153" s="2"/>
    </row>
    <row r="154" spans="14:14">
      <c r="N154" s="2"/>
    </row>
    <row r="155" spans="14:14">
      <c r="N155" s="2"/>
    </row>
    <row r="156" spans="14:14">
      <c r="N156" s="2"/>
    </row>
    <row r="157" spans="14:14">
      <c r="N157" s="2"/>
    </row>
    <row r="158" spans="14:14">
      <c r="N158" s="2"/>
    </row>
    <row r="159" spans="14:14">
      <c r="N159" s="2"/>
    </row>
    <row r="160" spans="14:14">
      <c r="N160" s="2"/>
    </row>
    <row r="161" spans="14:14">
      <c r="N161" s="2"/>
    </row>
    <row r="162" spans="14:14">
      <c r="N162" s="2"/>
    </row>
    <row r="163" spans="14:14">
      <c r="N163" s="2"/>
    </row>
    <row r="164" spans="14:14">
      <c r="N164" s="2"/>
    </row>
    <row r="165" spans="14:14">
      <c r="N165" s="2"/>
    </row>
    <row r="166" spans="14:14">
      <c r="N166" s="2"/>
    </row>
    <row r="167" spans="14:14">
      <c r="N167" s="2"/>
    </row>
    <row r="168" spans="14:14">
      <c r="N168" s="2"/>
    </row>
    <row r="169" spans="14:14">
      <c r="N169" s="2"/>
    </row>
    <row r="170" spans="14:14">
      <c r="N170" s="2"/>
    </row>
    <row r="171" spans="14:14">
      <c r="N171" s="2"/>
    </row>
    <row r="172" spans="14:14">
      <c r="N172" s="2"/>
    </row>
    <row r="173" spans="14:14">
      <c r="N173" s="2"/>
    </row>
    <row r="174" spans="14:14">
      <c r="N174" s="2"/>
    </row>
    <row r="175" spans="14:14">
      <c r="N175" s="2"/>
    </row>
    <row r="176" spans="14:14">
      <c r="N176" s="2"/>
    </row>
    <row r="177" spans="14:14">
      <c r="N177" s="2"/>
    </row>
    <row r="178" spans="14:14">
      <c r="N178" s="2"/>
    </row>
    <row r="179" spans="14:14">
      <c r="N179" s="2"/>
    </row>
    <row r="180" spans="14:14">
      <c r="N180" s="2"/>
    </row>
    <row r="181" spans="14:14">
      <c r="N181" s="2"/>
    </row>
    <row r="182" spans="14:14">
      <c r="N182" s="2"/>
    </row>
    <row r="183" spans="14:14">
      <c r="N183" s="2"/>
    </row>
    <row r="184" spans="14:14">
      <c r="N184" s="2"/>
    </row>
    <row r="185" spans="14:14">
      <c r="N185" s="2"/>
    </row>
    <row r="186" spans="14:14">
      <c r="N186" s="2"/>
    </row>
    <row r="187" spans="14:14">
      <c r="N187" s="2"/>
    </row>
    <row r="188" spans="14:14">
      <c r="N188" s="2"/>
    </row>
    <row r="189" spans="14:14">
      <c r="N189" s="2"/>
    </row>
    <row r="190" spans="14:14">
      <c r="N190" s="2"/>
    </row>
    <row r="191" spans="14:14">
      <c r="N191" s="2"/>
    </row>
    <row r="192" spans="14:14">
      <c r="N192" s="2"/>
    </row>
    <row r="193" spans="14:14">
      <c r="N193" s="2"/>
    </row>
    <row r="194" spans="14:14">
      <c r="N194" s="2"/>
    </row>
    <row r="195" spans="14:14">
      <c r="N195" s="2"/>
    </row>
    <row r="196" spans="14:14">
      <c r="N196" s="2"/>
    </row>
    <row r="197" spans="14:14">
      <c r="N197" s="2"/>
    </row>
    <row r="198" spans="14:14">
      <c r="N198" s="2"/>
    </row>
    <row r="199" spans="14:14">
      <c r="N199" s="2"/>
    </row>
    <row r="200" spans="14:14">
      <c r="N200" s="2"/>
    </row>
    <row r="201" spans="14:14">
      <c r="N201" s="2"/>
    </row>
    <row r="202" spans="14:14">
      <c r="N202" s="2"/>
    </row>
    <row r="203" spans="14:14">
      <c r="N203" s="2"/>
    </row>
    <row r="204" spans="14:14">
      <c r="N204" s="2"/>
    </row>
    <row r="205" spans="14:14">
      <c r="N205" s="2"/>
    </row>
    <row r="206" spans="14:14">
      <c r="N206" s="2"/>
    </row>
    <row r="207" spans="14:14">
      <c r="N207" s="2"/>
    </row>
    <row r="208" spans="14:14">
      <c r="N208" s="2"/>
    </row>
    <row r="209" spans="14:14">
      <c r="N209" s="2"/>
    </row>
    <row r="210" spans="14:14">
      <c r="N210" s="2"/>
    </row>
    <row r="211" spans="14:14">
      <c r="N211" s="2"/>
    </row>
    <row r="212" spans="14:14">
      <c r="N212" s="2"/>
    </row>
    <row r="213" spans="14:14">
      <c r="N213" s="2"/>
    </row>
    <row r="214" spans="14:14">
      <c r="N214" s="2"/>
    </row>
    <row r="215" spans="14:14">
      <c r="N215" s="2"/>
    </row>
    <row r="216" spans="14:14">
      <c r="N216" s="2"/>
    </row>
    <row r="217" spans="14:14">
      <c r="N217" s="2"/>
    </row>
    <row r="218" spans="14:14">
      <c r="N218" s="2"/>
    </row>
    <row r="219" spans="14:14">
      <c r="N219" s="2"/>
    </row>
    <row r="220" spans="14:14">
      <c r="N220" s="2"/>
    </row>
    <row r="221" spans="14:14">
      <c r="N221" s="2"/>
    </row>
    <row r="222" spans="14:14">
      <c r="N222" s="2"/>
    </row>
    <row r="223" spans="14:14">
      <c r="N223" s="2"/>
    </row>
    <row r="224" spans="14:14">
      <c r="N224" s="2"/>
    </row>
    <row r="225" spans="14:14">
      <c r="N225" s="2"/>
    </row>
    <row r="226" spans="14:14">
      <c r="N226" s="2"/>
    </row>
    <row r="227" spans="14:14">
      <c r="N227" s="2"/>
    </row>
    <row r="228" spans="14:14">
      <c r="N228" s="2"/>
    </row>
    <row r="229" spans="14:14">
      <c r="N229" s="2"/>
    </row>
    <row r="230" spans="14:14">
      <c r="N230" s="2"/>
    </row>
    <row r="231" spans="14:14">
      <c r="N231" s="2"/>
    </row>
    <row r="232" spans="14:14">
      <c r="N232" s="2"/>
    </row>
    <row r="233" spans="14:14">
      <c r="N233" s="2"/>
    </row>
    <row r="234" spans="14:14">
      <c r="N234" s="2"/>
    </row>
    <row r="235" spans="14:14">
      <c r="N235" s="2"/>
    </row>
    <row r="236" spans="14:14">
      <c r="N236" s="2"/>
    </row>
    <row r="237" spans="14:14">
      <c r="N237" s="2"/>
    </row>
    <row r="238" spans="14:14">
      <c r="N238" s="2"/>
    </row>
    <row r="239" spans="14:14">
      <c r="N239" s="2"/>
    </row>
    <row r="240" spans="14:14">
      <c r="N240" s="2"/>
    </row>
    <row r="241" spans="14:14">
      <c r="N241" s="2"/>
    </row>
    <row r="242" spans="14:14">
      <c r="N242" s="2"/>
    </row>
    <row r="243" spans="14:14">
      <c r="N243" s="2"/>
    </row>
    <row r="244" spans="14:14">
      <c r="N244" s="2"/>
    </row>
    <row r="245" spans="14:14">
      <c r="N245" s="2"/>
    </row>
    <row r="246" spans="14:14">
      <c r="N246" s="2"/>
    </row>
    <row r="247" spans="14:14">
      <c r="N247" s="2"/>
    </row>
    <row r="248" spans="14:14">
      <c r="N248" s="2"/>
    </row>
    <row r="249" spans="14:14">
      <c r="N249" s="2"/>
    </row>
    <row r="250" spans="14:14">
      <c r="N250" s="2"/>
    </row>
    <row r="251" spans="14:14">
      <c r="N251" s="2"/>
    </row>
    <row r="252" spans="14:14">
      <c r="N252" s="2"/>
    </row>
    <row r="253" spans="14:14">
      <c r="N253" s="2"/>
    </row>
    <row r="254" spans="14:14">
      <c r="N254" s="2"/>
    </row>
    <row r="255" spans="14:14">
      <c r="N255" s="2"/>
    </row>
    <row r="256" spans="14:14">
      <c r="N256" s="2"/>
    </row>
    <row r="257" spans="14:14">
      <c r="N257" s="2"/>
    </row>
    <row r="258" spans="14:14">
      <c r="N258" s="2"/>
    </row>
    <row r="259" spans="14:14">
      <c r="N259" s="2"/>
    </row>
    <row r="260" spans="14:14">
      <c r="N260" s="2"/>
    </row>
    <row r="261" spans="14:14">
      <c r="N261" s="2"/>
    </row>
  </sheetData>
  <mergeCells count="1">
    <mergeCell ref="B5:M5"/>
  </mergeCells>
  <phoneticPr fontId="0"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99329"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9330"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9331"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9332"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99333" r:id="rId7" name="Button 5">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99334" r:id="rId8"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99335" r:id="rId9"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99336" r:id="rId10"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enableFormatConditionsCalculation="0"/>
  <dimension ref="A1:N67"/>
  <sheetViews>
    <sheetView workbookViewId="0"/>
  </sheetViews>
  <sheetFormatPr baseColWidth="10" defaultColWidth="8.83203125" defaultRowHeight="12" x14ac:dyDescent="0"/>
  <cols>
    <col min="1" max="1" width="10.6640625" customWidth="1"/>
    <col min="3" max="3" width="11.1640625" customWidth="1"/>
    <col min="4" max="4" width="11.832031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ht="15">
      <c r="A3" s="19" t="s">
        <v>1045</v>
      </c>
      <c r="B3" s="20" t="s">
        <v>436</v>
      </c>
      <c r="C3" s="21"/>
      <c r="D3" s="21"/>
      <c r="E3" s="21"/>
      <c r="F3" s="21"/>
      <c r="G3" s="21"/>
      <c r="H3" s="21"/>
      <c r="I3" s="21"/>
      <c r="J3" s="21"/>
      <c r="K3" s="241"/>
    </row>
    <row r="4" spans="1:14" ht="32.25" customHeight="1">
      <c r="A4" s="118" t="s">
        <v>779</v>
      </c>
      <c r="B4" s="446" t="s">
        <v>654</v>
      </c>
      <c r="C4" s="446"/>
      <c r="D4" s="446"/>
      <c r="E4" s="446"/>
      <c r="F4" s="446"/>
      <c r="G4" s="446"/>
      <c r="H4" s="446"/>
      <c r="I4" s="446"/>
      <c r="J4" s="446"/>
      <c r="K4" s="241"/>
    </row>
    <row r="5" spans="1:14" ht="42" customHeight="1">
      <c r="A5" s="19"/>
      <c r="B5" s="20"/>
      <c r="C5" s="21"/>
      <c r="D5" s="21"/>
      <c r="E5" s="21"/>
      <c r="F5" s="21"/>
      <c r="G5" s="21"/>
      <c r="H5" s="21"/>
      <c r="I5" s="21"/>
      <c r="J5" s="21"/>
      <c r="K5" s="241"/>
    </row>
    <row r="6" spans="1:14" ht="36">
      <c r="A6" s="22" t="s">
        <v>1090</v>
      </c>
      <c r="B6" s="22" t="s">
        <v>244</v>
      </c>
      <c r="C6" s="22" t="s">
        <v>435</v>
      </c>
      <c r="D6" s="31" t="s">
        <v>183</v>
      </c>
      <c r="E6" s="22"/>
      <c r="F6" s="22"/>
      <c r="G6" s="22"/>
      <c r="H6" s="22"/>
      <c r="I6" s="22"/>
      <c r="J6" s="22"/>
    </row>
    <row r="7" spans="1:14">
      <c r="A7" s="26">
        <v>35797</v>
      </c>
      <c r="B7" s="77">
        <v>195</v>
      </c>
      <c r="C7" s="77">
        <v>1789</v>
      </c>
      <c r="D7" s="43">
        <f>(B7/C7)*100</f>
        <v>10.899944102850755</v>
      </c>
      <c r="E7" s="28"/>
      <c r="F7" s="28"/>
      <c r="G7" s="28"/>
      <c r="H7" s="28"/>
      <c r="I7" s="28"/>
      <c r="J7" s="54"/>
    </row>
    <row r="8" spans="1:14">
      <c r="A8" s="26">
        <v>35804</v>
      </c>
      <c r="B8" s="77">
        <v>310</v>
      </c>
      <c r="C8" s="77">
        <v>3328</v>
      </c>
      <c r="D8" s="43">
        <f t="shared" ref="D8:D23" si="0">(B8/C8)*100</f>
        <v>9.3149038461538467</v>
      </c>
      <c r="E8" s="28"/>
      <c r="F8" s="28"/>
      <c r="G8" s="28"/>
      <c r="H8" s="28"/>
      <c r="I8" s="28"/>
      <c r="J8" s="54"/>
    </row>
    <row r="9" spans="1:14">
      <c r="A9" s="27">
        <v>35811</v>
      </c>
      <c r="B9" s="79">
        <v>324</v>
      </c>
      <c r="C9" s="79">
        <v>3201</v>
      </c>
      <c r="D9" s="47">
        <f t="shared" si="0"/>
        <v>10.121836925960636</v>
      </c>
      <c r="E9" s="29"/>
      <c r="F9" s="29"/>
      <c r="G9" s="29"/>
      <c r="H9" s="29"/>
      <c r="I9" s="29"/>
      <c r="J9" s="57"/>
    </row>
    <row r="10" spans="1:14">
      <c r="A10" s="27">
        <v>35818</v>
      </c>
      <c r="B10" s="79">
        <v>263</v>
      </c>
      <c r="C10" s="79">
        <v>2550</v>
      </c>
      <c r="D10" s="47">
        <f t="shared" si="0"/>
        <v>10.313725490196077</v>
      </c>
      <c r="E10" s="29"/>
      <c r="F10" s="29"/>
      <c r="G10" s="29"/>
      <c r="H10" s="29"/>
      <c r="I10" s="29"/>
      <c r="J10" s="57"/>
    </row>
    <row r="11" spans="1:14">
      <c r="A11" s="26">
        <v>35825</v>
      </c>
      <c r="B11" s="77">
        <v>337</v>
      </c>
      <c r="C11" s="77">
        <v>3321</v>
      </c>
      <c r="D11" s="43">
        <f t="shared" si="0"/>
        <v>10.147545919903642</v>
      </c>
      <c r="E11" s="28"/>
      <c r="F11" s="28"/>
      <c r="G11" s="28"/>
      <c r="H11" s="28"/>
      <c r="I11" s="28"/>
      <c r="J11" s="54"/>
    </row>
    <row r="12" spans="1:14">
      <c r="A12" s="26">
        <v>35832</v>
      </c>
      <c r="B12" s="77">
        <v>398</v>
      </c>
      <c r="C12" s="77">
        <v>3412</v>
      </c>
      <c r="D12" s="43">
        <f t="shared" si="0"/>
        <v>11.664712778429074</v>
      </c>
      <c r="E12" s="28"/>
      <c r="F12" s="28"/>
      <c r="G12" s="28"/>
      <c r="H12" s="28"/>
      <c r="I12" s="28"/>
      <c r="J12" s="54"/>
    </row>
    <row r="13" spans="1:14">
      <c r="A13" s="27">
        <v>35839</v>
      </c>
      <c r="B13" s="79">
        <v>350</v>
      </c>
      <c r="C13" s="79">
        <v>2937</v>
      </c>
      <c r="D13" s="47">
        <f t="shared" si="0"/>
        <v>11.916922029281579</v>
      </c>
      <c r="E13" s="29"/>
      <c r="F13" s="29"/>
      <c r="G13" s="29"/>
      <c r="H13" s="29"/>
      <c r="I13" s="29"/>
      <c r="J13" s="57"/>
    </row>
    <row r="14" spans="1:14">
      <c r="A14" s="27">
        <v>35846</v>
      </c>
      <c r="B14" s="79">
        <v>256</v>
      </c>
      <c r="C14" s="79">
        <v>2397</v>
      </c>
      <c r="D14" s="47">
        <f t="shared" si="0"/>
        <v>10.680016687526074</v>
      </c>
      <c r="E14" s="29"/>
      <c r="F14" s="29"/>
      <c r="G14" s="29"/>
      <c r="H14" s="29"/>
      <c r="I14" s="29"/>
      <c r="J14" s="57"/>
    </row>
    <row r="15" spans="1:14">
      <c r="A15" s="26">
        <v>35853</v>
      </c>
      <c r="B15" s="77">
        <v>312</v>
      </c>
      <c r="C15" s="77">
        <v>2984</v>
      </c>
      <c r="D15" s="43">
        <f t="shared" si="0"/>
        <v>10.455764075067025</v>
      </c>
      <c r="E15" s="28"/>
      <c r="F15" s="28"/>
      <c r="G15" s="28"/>
      <c r="H15" s="28"/>
      <c r="I15" s="28"/>
      <c r="J15" s="54"/>
    </row>
    <row r="16" spans="1:14">
      <c r="A16" s="26">
        <v>35860</v>
      </c>
      <c r="B16" s="77">
        <v>340</v>
      </c>
      <c r="C16" s="77">
        <v>3161</v>
      </c>
      <c r="D16" s="43">
        <f t="shared" si="0"/>
        <v>10.756089844985764</v>
      </c>
      <c r="E16" s="28"/>
      <c r="F16" s="28"/>
      <c r="G16" s="28"/>
      <c r="H16" s="28"/>
      <c r="I16" s="28"/>
      <c r="J16" s="54"/>
    </row>
    <row r="17" spans="1:10">
      <c r="A17" s="27">
        <v>35867</v>
      </c>
      <c r="B17" s="79">
        <v>338</v>
      </c>
      <c r="C17" s="79">
        <v>3106</v>
      </c>
      <c r="D17" s="47">
        <f t="shared" si="0"/>
        <v>10.882163554410818</v>
      </c>
      <c r="E17" s="29"/>
      <c r="F17" s="29"/>
      <c r="G17" s="29"/>
      <c r="H17" s="29"/>
      <c r="I17" s="29"/>
      <c r="J17" s="57"/>
    </row>
    <row r="18" spans="1:10">
      <c r="A18" s="27">
        <v>35874</v>
      </c>
      <c r="B18" s="79">
        <v>343</v>
      </c>
      <c r="C18" s="79">
        <v>3177</v>
      </c>
      <c r="D18" s="47">
        <f t="shared" si="0"/>
        <v>10.796348756688701</v>
      </c>
      <c r="E18" s="29"/>
      <c r="F18" s="29"/>
      <c r="G18" s="29"/>
      <c r="H18" s="29"/>
      <c r="I18" s="29"/>
      <c r="J18" s="57"/>
    </row>
    <row r="19" spans="1:10">
      <c r="A19" s="26">
        <v>35881</v>
      </c>
      <c r="B19" s="77">
        <v>325</v>
      </c>
      <c r="C19" s="77">
        <v>3111</v>
      </c>
      <c r="D19" s="43">
        <f t="shared" si="0"/>
        <v>10.446801671488268</v>
      </c>
      <c r="E19" s="28"/>
      <c r="F19" s="28"/>
      <c r="G19" s="28"/>
      <c r="H19" s="28"/>
      <c r="I19" s="28"/>
      <c r="J19" s="54"/>
    </row>
    <row r="20" spans="1:10">
      <c r="A20" s="26">
        <v>35888</v>
      </c>
      <c r="B20" s="77">
        <v>349</v>
      </c>
      <c r="C20" s="77">
        <v>3178</v>
      </c>
      <c r="D20" s="43">
        <f t="shared" si="0"/>
        <v>10.981749528005034</v>
      </c>
      <c r="E20" s="28"/>
      <c r="F20" s="28"/>
      <c r="G20" s="28"/>
      <c r="H20" s="28"/>
      <c r="I20" s="28"/>
      <c r="J20" s="54"/>
    </row>
    <row r="21" spans="1:10">
      <c r="A21" s="27">
        <v>35894</v>
      </c>
      <c r="B21" s="79">
        <v>261</v>
      </c>
      <c r="C21" s="79">
        <v>2465</v>
      </c>
      <c r="D21" s="47">
        <f t="shared" si="0"/>
        <v>10.588235294117647</v>
      </c>
      <c r="E21" s="29"/>
      <c r="F21" s="29"/>
      <c r="G21" s="29"/>
      <c r="H21" s="29"/>
      <c r="I21" s="29"/>
      <c r="J21" s="57"/>
    </row>
    <row r="22" spans="1:10">
      <c r="A22" s="27">
        <v>35902</v>
      </c>
      <c r="B22" s="79">
        <v>317</v>
      </c>
      <c r="C22" s="79">
        <v>3234</v>
      </c>
      <c r="D22" s="47">
        <f t="shared" si="0"/>
        <v>9.8021026592455165</v>
      </c>
      <c r="E22" s="29"/>
      <c r="F22" s="29"/>
      <c r="G22" s="29"/>
      <c r="H22" s="29"/>
      <c r="I22" s="29"/>
      <c r="J22" s="57"/>
    </row>
    <row r="23" spans="1:10">
      <c r="A23" s="26">
        <v>35909</v>
      </c>
      <c r="B23" s="77">
        <v>325</v>
      </c>
      <c r="C23" s="77">
        <v>3247</v>
      </c>
      <c r="D23" s="43">
        <f t="shared" si="0"/>
        <v>10.009239297813366</v>
      </c>
      <c r="E23" s="28"/>
      <c r="F23" s="28"/>
      <c r="G23" s="28"/>
      <c r="H23" s="28"/>
      <c r="I23" s="28"/>
      <c r="J23" s="54"/>
    </row>
    <row r="24" spans="1:10">
      <c r="A24" s="26">
        <v>35916</v>
      </c>
      <c r="B24" s="77">
        <v>340</v>
      </c>
      <c r="C24" s="77">
        <v>3323</v>
      </c>
      <c r="D24" s="43">
        <f t="shared" ref="D24:D39" si="1">(B24/C24)*100</f>
        <v>10.23171832681312</v>
      </c>
      <c r="E24" s="28"/>
      <c r="F24" s="28"/>
      <c r="G24" s="28"/>
      <c r="H24" s="28"/>
      <c r="I24" s="28"/>
      <c r="J24" s="54"/>
    </row>
    <row r="25" spans="1:10">
      <c r="A25" s="27">
        <v>35923</v>
      </c>
      <c r="B25" s="79">
        <v>297</v>
      </c>
      <c r="C25" s="79">
        <v>2903</v>
      </c>
      <c r="D25" s="47">
        <f t="shared" si="1"/>
        <v>10.230795728556666</v>
      </c>
      <c r="E25" s="29"/>
      <c r="F25" s="29"/>
      <c r="G25" s="29"/>
      <c r="H25" s="29"/>
      <c r="I25" s="29"/>
      <c r="J25" s="57"/>
    </row>
    <row r="26" spans="1:10">
      <c r="A26" s="27">
        <v>35930</v>
      </c>
      <c r="B26" s="79">
        <v>292</v>
      </c>
      <c r="C26" s="79">
        <v>2967</v>
      </c>
      <c r="D26" s="47">
        <f t="shared" si="1"/>
        <v>9.8415908324907324</v>
      </c>
      <c r="E26" s="29"/>
      <c r="F26" s="29"/>
      <c r="G26" s="29"/>
      <c r="H26" s="29"/>
      <c r="I26" s="29"/>
      <c r="J26" s="57"/>
    </row>
    <row r="27" spans="1:10">
      <c r="A27" s="26">
        <v>35937</v>
      </c>
      <c r="B27" s="77">
        <v>263</v>
      </c>
      <c r="C27" s="77">
        <v>2684</v>
      </c>
      <c r="D27" s="43">
        <f t="shared" si="1"/>
        <v>9.7988077496274215</v>
      </c>
      <c r="E27" s="28"/>
      <c r="F27" s="28"/>
      <c r="G27" s="28"/>
      <c r="H27" s="28"/>
      <c r="I27" s="28"/>
      <c r="J27" s="54"/>
    </row>
    <row r="28" spans="1:10">
      <c r="A28" s="26">
        <v>35944</v>
      </c>
      <c r="B28" s="77">
        <v>228</v>
      </c>
      <c r="C28" s="77">
        <v>2390</v>
      </c>
      <c r="D28" s="43">
        <f t="shared" si="1"/>
        <v>9.539748953974895</v>
      </c>
      <c r="E28" s="28"/>
      <c r="F28" s="28"/>
      <c r="G28" s="28"/>
      <c r="H28" s="28"/>
      <c r="I28" s="28"/>
      <c r="J28" s="54"/>
    </row>
    <row r="29" spans="1:10">
      <c r="A29" s="27">
        <v>35951</v>
      </c>
      <c r="B29" s="79">
        <v>305</v>
      </c>
      <c r="C29" s="79">
        <v>2857</v>
      </c>
      <c r="D29" s="47">
        <f t="shared" si="1"/>
        <v>10.675533776688836</v>
      </c>
      <c r="E29" s="29"/>
      <c r="F29" s="29"/>
      <c r="G29" s="29"/>
      <c r="H29" s="29"/>
      <c r="I29" s="29"/>
      <c r="J29" s="57"/>
    </row>
    <row r="30" spans="1:10">
      <c r="A30" s="27">
        <v>35958</v>
      </c>
      <c r="B30" s="79">
        <v>331</v>
      </c>
      <c r="C30" s="79">
        <v>2974</v>
      </c>
      <c r="D30" s="47">
        <f t="shared" si="1"/>
        <v>11.129791526563551</v>
      </c>
      <c r="E30" s="29"/>
      <c r="F30" s="29"/>
      <c r="G30" s="29"/>
      <c r="H30" s="29"/>
      <c r="I30" s="29"/>
      <c r="J30" s="57"/>
    </row>
    <row r="31" spans="1:10">
      <c r="A31" s="26">
        <v>35965</v>
      </c>
      <c r="B31" s="77">
        <v>335</v>
      </c>
      <c r="C31" s="77">
        <v>3314</v>
      </c>
      <c r="D31" s="43">
        <f t="shared" si="1"/>
        <v>10.108630054315027</v>
      </c>
      <c r="E31" s="28"/>
      <c r="F31" s="28"/>
      <c r="G31" s="28"/>
      <c r="H31" s="28"/>
      <c r="I31" s="28"/>
      <c r="J31" s="54"/>
    </row>
    <row r="32" spans="1:10">
      <c r="A32" s="26">
        <v>35972</v>
      </c>
      <c r="B32" s="77">
        <v>349</v>
      </c>
      <c r="C32" s="77">
        <v>3089</v>
      </c>
      <c r="D32" s="43">
        <f t="shared" si="1"/>
        <v>11.298154742635157</v>
      </c>
      <c r="E32" s="28"/>
      <c r="F32" s="28"/>
      <c r="G32" s="28"/>
      <c r="H32" s="28"/>
      <c r="I32" s="28"/>
      <c r="J32" s="54"/>
    </row>
    <row r="33" spans="1:10">
      <c r="A33" s="27">
        <v>35978</v>
      </c>
      <c r="B33" s="79">
        <v>291</v>
      </c>
      <c r="C33" s="79">
        <v>2566</v>
      </c>
      <c r="D33" s="47">
        <f t="shared" si="1"/>
        <v>11.340607950116913</v>
      </c>
      <c r="E33" s="29"/>
      <c r="F33" s="29"/>
      <c r="G33" s="29"/>
      <c r="H33" s="29"/>
      <c r="I33" s="29"/>
      <c r="J33" s="57"/>
    </row>
    <row r="34" spans="1:10">
      <c r="A34" s="27">
        <v>35986</v>
      </c>
      <c r="B34" s="79">
        <v>361</v>
      </c>
      <c r="C34" s="79">
        <v>2992</v>
      </c>
      <c r="D34" s="47">
        <f t="shared" si="1"/>
        <v>12.065508021390373</v>
      </c>
      <c r="E34" s="29"/>
      <c r="F34" s="29"/>
      <c r="G34" s="29"/>
      <c r="H34" s="29"/>
      <c r="I34" s="29"/>
      <c r="J34" s="57"/>
    </row>
    <row r="35" spans="1:10">
      <c r="A35" s="26">
        <v>35993</v>
      </c>
      <c r="B35" s="77">
        <v>338</v>
      </c>
      <c r="C35" s="77">
        <v>3297</v>
      </c>
      <c r="D35" s="43">
        <f t="shared" si="1"/>
        <v>10.251744009705794</v>
      </c>
      <c r="E35" s="28"/>
      <c r="F35" s="28"/>
      <c r="G35" s="28"/>
      <c r="H35" s="28"/>
      <c r="I35" s="28"/>
      <c r="J35" s="54"/>
    </row>
    <row r="36" spans="1:10">
      <c r="A36" s="26">
        <v>36000</v>
      </c>
      <c r="B36" s="77">
        <v>308</v>
      </c>
      <c r="C36" s="77">
        <v>3390</v>
      </c>
      <c r="D36" s="43">
        <f t="shared" si="1"/>
        <v>9.0855457227138636</v>
      </c>
      <c r="E36" s="28"/>
      <c r="F36" s="28"/>
      <c r="G36" s="28"/>
      <c r="H36" s="28"/>
      <c r="I36" s="28"/>
      <c r="J36" s="54"/>
    </row>
    <row r="37" spans="1:10">
      <c r="A37" s="27">
        <v>36007</v>
      </c>
      <c r="B37" s="79">
        <v>317</v>
      </c>
      <c r="C37" s="79">
        <v>3300</v>
      </c>
      <c r="D37" s="47">
        <f t="shared" si="1"/>
        <v>9.6060606060606055</v>
      </c>
      <c r="E37" s="29"/>
      <c r="F37" s="29"/>
      <c r="G37" s="29"/>
      <c r="H37" s="29"/>
      <c r="I37" s="29"/>
      <c r="J37" s="57"/>
    </row>
    <row r="38" spans="1:10">
      <c r="A38" s="27">
        <v>36014</v>
      </c>
      <c r="B38" s="79">
        <v>376</v>
      </c>
      <c r="C38" s="79">
        <v>3860</v>
      </c>
      <c r="D38" s="47">
        <f t="shared" si="1"/>
        <v>9.7409326424870457</v>
      </c>
      <c r="E38" s="29"/>
      <c r="F38" s="29"/>
      <c r="G38" s="29"/>
      <c r="H38" s="29"/>
      <c r="I38" s="29"/>
      <c r="J38" s="57"/>
    </row>
    <row r="39" spans="1:10">
      <c r="A39" s="26">
        <v>36021</v>
      </c>
      <c r="B39" s="77">
        <v>346</v>
      </c>
      <c r="C39" s="77">
        <v>3369</v>
      </c>
      <c r="D39" s="43">
        <f t="shared" si="1"/>
        <v>10.270109824873849</v>
      </c>
      <c r="E39" s="28"/>
      <c r="F39" s="28"/>
      <c r="G39" s="28"/>
      <c r="H39" s="28"/>
      <c r="I39" s="28"/>
      <c r="J39" s="54"/>
    </row>
    <row r="40" spans="1:10">
      <c r="A40" s="26">
        <v>36028</v>
      </c>
      <c r="B40" s="77">
        <v>346</v>
      </c>
      <c r="C40" s="77">
        <v>3256</v>
      </c>
      <c r="D40" s="43">
        <f t="shared" ref="D40:D55" si="2">(B40/C40)*100</f>
        <v>10.626535626535627</v>
      </c>
      <c r="E40" s="28"/>
      <c r="F40" s="28"/>
      <c r="G40" s="28"/>
      <c r="H40" s="28"/>
      <c r="I40" s="28"/>
      <c r="J40" s="54"/>
    </row>
    <row r="41" spans="1:10">
      <c r="A41" s="27">
        <v>36035</v>
      </c>
      <c r="B41" s="79">
        <v>378</v>
      </c>
      <c r="C41" s="79">
        <v>3700</v>
      </c>
      <c r="D41" s="47">
        <f t="shared" si="2"/>
        <v>10.216216216216216</v>
      </c>
      <c r="E41" s="29"/>
      <c r="F41" s="29"/>
      <c r="G41" s="29"/>
      <c r="H41" s="29"/>
      <c r="I41" s="29"/>
      <c r="J41" s="57"/>
    </row>
    <row r="42" spans="1:10">
      <c r="A42" s="27">
        <v>36042</v>
      </c>
      <c r="B42" s="79">
        <v>464</v>
      </c>
      <c r="C42" s="79">
        <v>4689</v>
      </c>
      <c r="D42" s="47">
        <f t="shared" si="2"/>
        <v>9.8955001066325448</v>
      </c>
      <c r="E42" s="29"/>
      <c r="F42" s="29"/>
      <c r="G42" s="29"/>
      <c r="H42" s="29"/>
      <c r="I42" s="29"/>
      <c r="J42" s="57"/>
    </row>
    <row r="43" spans="1:10">
      <c r="A43" s="26">
        <v>36049</v>
      </c>
      <c r="B43" s="77">
        <v>360</v>
      </c>
      <c r="C43" s="77">
        <v>3218</v>
      </c>
      <c r="D43" s="43">
        <f t="shared" si="2"/>
        <v>11.187072715972654</v>
      </c>
      <c r="E43" s="28"/>
      <c r="F43" s="28"/>
      <c r="G43" s="28"/>
      <c r="H43" s="28"/>
      <c r="I43" s="28"/>
      <c r="J43" s="54"/>
    </row>
    <row r="44" spans="1:10">
      <c r="A44" s="26">
        <v>36056</v>
      </c>
      <c r="B44" s="77">
        <v>419</v>
      </c>
      <c r="C44" s="77">
        <v>3726</v>
      </c>
      <c r="D44" s="43">
        <f t="shared" si="2"/>
        <v>11.245303274288782</v>
      </c>
      <c r="E44" s="28"/>
      <c r="F44" s="28"/>
      <c r="G44" s="28"/>
      <c r="H44" s="28"/>
      <c r="I44" s="28"/>
      <c r="J44" s="54"/>
    </row>
    <row r="45" spans="1:10">
      <c r="A45" s="27">
        <v>36063</v>
      </c>
      <c r="B45" s="79">
        <v>406</v>
      </c>
      <c r="C45" s="79">
        <v>3748</v>
      </c>
      <c r="D45" s="47">
        <f t="shared" si="2"/>
        <v>10.832443970117396</v>
      </c>
      <c r="E45" s="29"/>
      <c r="F45" s="29"/>
      <c r="G45" s="29"/>
      <c r="H45" s="29"/>
      <c r="I45" s="29"/>
      <c r="J45" s="57"/>
    </row>
    <row r="46" spans="1:10">
      <c r="A46" s="27">
        <v>36070</v>
      </c>
      <c r="B46" s="79">
        <v>395</v>
      </c>
      <c r="C46" s="79">
        <v>4070</v>
      </c>
      <c r="D46" s="47">
        <f t="shared" si="2"/>
        <v>9.7051597051597049</v>
      </c>
      <c r="E46" s="29"/>
      <c r="F46" s="29"/>
      <c r="G46" s="29"/>
      <c r="H46" s="29"/>
      <c r="I46" s="29"/>
      <c r="J46" s="57"/>
    </row>
    <row r="47" spans="1:10">
      <c r="A47" s="26">
        <v>36077</v>
      </c>
      <c r="B47" s="77">
        <v>453</v>
      </c>
      <c r="C47" s="77">
        <v>4632</v>
      </c>
      <c r="D47" s="43">
        <f t="shared" si="2"/>
        <v>9.7797927461139889</v>
      </c>
      <c r="E47" s="28"/>
      <c r="F47" s="28"/>
      <c r="G47" s="28"/>
      <c r="H47" s="28"/>
      <c r="I47" s="28"/>
      <c r="J47" s="54"/>
    </row>
    <row r="48" spans="1:10">
      <c r="A48" s="26">
        <v>36084</v>
      </c>
      <c r="B48" s="77">
        <v>446</v>
      </c>
      <c r="C48" s="77">
        <v>4175</v>
      </c>
      <c r="D48" s="43">
        <f t="shared" si="2"/>
        <v>10.682634730538922</v>
      </c>
      <c r="E48" s="28"/>
      <c r="F48" s="28"/>
      <c r="G48" s="28"/>
      <c r="H48" s="28"/>
      <c r="I48" s="28"/>
      <c r="J48" s="54"/>
    </row>
    <row r="49" spans="1:10">
      <c r="A49" s="27">
        <v>36091</v>
      </c>
      <c r="B49" s="79">
        <v>414</v>
      </c>
      <c r="C49" s="79">
        <v>3835</v>
      </c>
      <c r="D49" s="47">
        <f t="shared" si="2"/>
        <v>10.795306388526727</v>
      </c>
      <c r="E49" s="29"/>
      <c r="F49" s="29"/>
      <c r="G49" s="29"/>
      <c r="H49" s="29"/>
      <c r="I49" s="29"/>
      <c r="J49" s="57"/>
    </row>
    <row r="50" spans="1:10">
      <c r="A50" s="27">
        <v>36098</v>
      </c>
      <c r="B50" s="79">
        <v>393</v>
      </c>
      <c r="C50" s="79">
        <v>3535</v>
      </c>
      <c r="D50" s="47">
        <f t="shared" si="2"/>
        <v>11.117397454031117</v>
      </c>
      <c r="E50" s="29"/>
      <c r="F50" s="29"/>
      <c r="G50" s="29"/>
      <c r="H50" s="29"/>
      <c r="I50" s="29"/>
      <c r="J50" s="57"/>
    </row>
    <row r="51" spans="1:10">
      <c r="A51" s="26">
        <v>36105</v>
      </c>
      <c r="B51" s="77">
        <v>471</v>
      </c>
      <c r="C51" s="77">
        <v>3779</v>
      </c>
      <c r="D51" s="43">
        <f t="shared" si="2"/>
        <v>12.463614712887008</v>
      </c>
      <c r="E51" s="28"/>
      <c r="F51" s="28"/>
      <c r="G51" s="28"/>
      <c r="H51" s="28"/>
      <c r="I51" s="28"/>
      <c r="J51" s="54"/>
    </row>
    <row r="52" spans="1:10">
      <c r="A52" s="26">
        <v>36112</v>
      </c>
      <c r="B52" s="77">
        <v>348</v>
      </c>
      <c r="C52" s="77">
        <v>3281</v>
      </c>
      <c r="D52" s="43">
        <f t="shared" si="2"/>
        <v>10.606522401706798</v>
      </c>
      <c r="E52" s="28"/>
      <c r="F52" s="28"/>
      <c r="G52" s="28"/>
      <c r="H52" s="28"/>
      <c r="I52" s="28"/>
      <c r="J52" s="54"/>
    </row>
    <row r="53" spans="1:10">
      <c r="A53" s="27">
        <v>36119</v>
      </c>
      <c r="B53" s="79">
        <v>397</v>
      </c>
      <c r="C53" s="79">
        <v>3374</v>
      </c>
      <c r="D53" s="47">
        <f t="shared" si="2"/>
        <v>11.766449318316537</v>
      </c>
      <c r="E53" s="29"/>
      <c r="F53" s="29"/>
      <c r="G53" s="29"/>
      <c r="H53" s="29"/>
      <c r="I53" s="29"/>
      <c r="J53" s="57"/>
    </row>
    <row r="54" spans="1:10">
      <c r="A54" s="27">
        <v>36126</v>
      </c>
      <c r="B54" s="79">
        <v>272</v>
      </c>
      <c r="C54" s="79">
        <v>2380</v>
      </c>
      <c r="D54" s="47">
        <f t="shared" si="2"/>
        <v>11.428571428571429</v>
      </c>
      <c r="E54" s="29"/>
      <c r="F54" s="29"/>
      <c r="G54" s="29"/>
      <c r="H54" s="29"/>
      <c r="I54" s="29"/>
      <c r="J54" s="57"/>
    </row>
    <row r="55" spans="1:10">
      <c r="A55" s="26">
        <v>36133</v>
      </c>
      <c r="B55" s="77">
        <v>370</v>
      </c>
      <c r="C55" s="77">
        <v>3716</v>
      </c>
      <c r="D55" s="43">
        <f t="shared" si="2"/>
        <v>9.9569429494079653</v>
      </c>
      <c r="E55" s="28"/>
      <c r="F55" s="28"/>
      <c r="G55" s="28"/>
      <c r="H55" s="28"/>
      <c r="I55" s="28"/>
      <c r="J55" s="54"/>
    </row>
    <row r="56" spans="1:10">
      <c r="A56" s="26">
        <v>36140</v>
      </c>
      <c r="B56" s="77">
        <v>324</v>
      </c>
      <c r="C56" s="77">
        <v>3549</v>
      </c>
      <c r="D56" s="43">
        <f>(B56/C56)*100</f>
        <v>9.1293322062552829</v>
      </c>
      <c r="E56" s="28"/>
      <c r="F56" s="28"/>
      <c r="G56" s="28"/>
      <c r="H56" s="28"/>
      <c r="I56" s="28"/>
      <c r="J56" s="54"/>
    </row>
    <row r="57" spans="1:10">
      <c r="A57" s="27">
        <v>36147</v>
      </c>
      <c r="B57" s="79">
        <v>362</v>
      </c>
      <c r="C57" s="79">
        <v>3824</v>
      </c>
      <c r="D57" s="47">
        <f>(B57/C57)*100</f>
        <v>9.46652719665272</v>
      </c>
      <c r="E57" s="29"/>
      <c r="F57" s="29"/>
      <c r="G57" s="29"/>
      <c r="H57" s="29"/>
      <c r="I57" s="29"/>
      <c r="J57" s="57"/>
    </row>
    <row r="58" spans="1:10">
      <c r="A58" s="27">
        <v>36153</v>
      </c>
      <c r="B58" s="79">
        <v>251</v>
      </c>
      <c r="C58" s="79">
        <v>2370</v>
      </c>
      <c r="D58" s="47">
        <f>(B58/C58)*100</f>
        <v>10.59071729957806</v>
      </c>
      <c r="E58" s="29"/>
      <c r="F58" s="29"/>
      <c r="G58" s="29"/>
      <c r="H58" s="29"/>
      <c r="I58" s="29"/>
      <c r="J58" s="57"/>
    </row>
    <row r="59" spans="1:10">
      <c r="A59" s="26">
        <v>36160</v>
      </c>
      <c r="B59" s="77">
        <v>243</v>
      </c>
      <c r="C59" s="77">
        <v>2477</v>
      </c>
      <c r="D59" s="43">
        <f>(B59/C59)*100</f>
        <v>9.8102543399273312</v>
      </c>
      <c r="E59" s="28"/>
      <c r="F59" s="28"/>
      <c r="G59" s="28"/>
      <c r="H59" s="28"/>
      <c r="I59" s="28"/>
      <c r="J59" s="54"/>
    </row>
    <row r="60" spans="1:10">
      <c r="C60" s="8"/>
    </row>
    <row r="61" spans="1:10">
      <c r="C61" s="8"/>
    </row>
    <row r="62" spans="1:10">
      <c r="A62" t="s">
        <v>966</v>
      </c>
      <c r="C62" s="8"/>
    </row>
    <row r="63" spans="1:10">
      <c r="C63" s="8"/>
    </row>
    <row r="64" spans="1:10">
      <c r="C64" s="8"/>
    </row>
    <row r="65" spans="3:3">
      <c r="C65" s="8"/>
    </row>
    <row r="66" spans="3:3">
      <c r="C66" s="8"/>
    </row>
    <row r="67" spans="3:3">
      <c r="C67" s="8"/>
    </row>
  </sheetData>
  <mergeCells count="1">
    <mergeCell ref="B4:J4"/>
  </mergeCells>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483"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20484"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20485"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0486"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20487" r:id="rId7" name="Button 7">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20488" r:id="rId8" name="Button 8">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20489" r:id="rId9" name="Button 9">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0490" r:id="rId10" name="Button 10">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enableFormatConditionsCalculation="0"/>
  <dimension ref="A1:N1156"/>
  <sheetViews>
    <sheetView workbookViewId="0"/>
  </sheetViews>
  <sheetFormatPr baseColWidth="10" defaultColWidth="8.83203125" defaultRowHeight="12" x14ac:dyDescent="0"/>
  <cols>
    <col min="1" max="1" width="11.5" customWidth="1"/>
    <col min="2" max="2" width="10.5" bestFit="1" customWidth="1"/>
    <col min="4" max="4" width="11.33203125" customWidth="1"/>
    <col min="6" max="6" width="10.6640625" customWidth="1"/>
    <col min="7" max="7" width="10.164062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768</v>
      </c>
      <c r="C3" s="21"/>
      <c r="D3" s="21"/>
      <c r="E3" s="21"/>
      <c r="F3" s="21"/>
      <c r="G3" s="21"/>
      <c r="H3" s="21"/>
      <c r="I3" s="21"/>
      <c r="J3" s="21"/>
      <c r="K3" s="21"/>
    </row>
    <row r="4" spans="1:14">
      <c r="A4" s="19" t="s">
        <v>774</v>
      </c>
      <c r="B4" s="20" t="s">
        <v>116</v>
      </c>
      <c r="C4" s="21"/>
      <c r="D4" s="21"/>
      <c r="E4" s="21"/>
      <c r="F4" s="21"/>
      <c r="G4" s="21"/>
      <c r="H4" s="21"/>
      <c r="I4" s="21"/>
      <c r="J4" s="21"/>
      <c r="K4" s="21"/>
    </row>
    <row r="5" spans="1:14" ht="15">
      <c r="A5" s="19" t="s">
        <v>779</v>
      </c>
      <c r="B5" s="446" t="s">
        <v>655</v>
      </c>
      <c r="C5" s="446"/>
      <c r="D5" s="446"/>
      <c r="E5" s="446"/>
      <c r="F5" s="446"/>
      <c r="G5" s="446"/>
      <c r="H5" s="446"/>
      <c r="I5" s="446"/>
      <c r="J5" s="446"/>
      <c r="K5" s="446"/>
    </row>
    <row r="6" spans="1:14" ht="14.25" customHeight="1">
      <c r="A6" s="21"/>
      <c r="B6" s="449" t="s">
        <v>793</v>
      </c>
      <c r="C6" s="450"/>
      <c r="D6" s="450"/>
      <c r="E6" s="450"/>
      <c r="F6" s="450"/>
      <c r="G6" s="450"/>
      <c r="H6" s="450"/>
      <c r="I6" s="450"/>
      <c r="J6" s="450"/>
      <c r="K6" s="450"/>
    </row>
    <row r="7" spans="1:14" ht="13.5" customHeight="1">
      <c r="A7" s="19"/>
      <c r="B7" s="128" t="s">
        <v>112</v>
      </c>
      <c r="C7" s="21"/>
      <c r="D7" s="21"/>
      <c r="E7" s="21"/>
      <c r="F7" s="21"/>
      <c r="G7" s="21"/>
      <c r="H7" s="21"/>
      <c r="I7" s="21"/>
      <c r="J7" s="21"/>
      <c r="K7" s="21"/>
    </row>
    <row r="8" spans="1:14" ht="13.5" customHeight="1">
      <c r="A8" s="19"/>
      <c r="B8" s="128" t="s">
        <v>113</v>
      </c>
      <c r="C8" s="21"/>
      <c r="D8" s="21"/>
      <c r="E8" s="21"/>
      <c r="F8" s="21"/>
      <c r="G8" s="21"/>
      <c r="H8" s="21"/>
      <c r="I8" s="21"/>
      <c r="J8" s="21"/>
      <c r="K8" s="21"/>
    </row>
    <row r="9" spans="1:14" ht="13.5" customHeight="1">
      <c r="A9" s="19"/>
      <c r="B9" s="128" t="s">
        <v>114</v>
      </c>
      <c r="C9" s="21"/>
      <c r="D9" s="21"/>
      <c r="E9" s="21"/>
      <c r="F9" s="21"/>
      <c r="G9" s="21"/>
      <c r="H9" s="21"/>
      <c r="I9" s="21"/>
      <c r="J9" s="21"/>
      <c r="K9" s="21"/>
    </row>
    <row r="10" spans="1:14" ht="13.5" customHeight="1">
      <c r="A10" s="19"/>
      <c r="B10" s="128" t="s">
        <v>293</v>
      </c>
      <c r="C10" s="21"/>
      <c r="D10" s="21"/>
      <c r="E10" s="21"/>
      <c r="F10" s="21"/>
      <c r="G10" s="21"/>
      <c r="H10" s="21"/>
      <c r="I10" s="21"/>
      <c r="J10" s="21"/>
      <c r="K10" s="21"/>
    </row>
    <row r="11" spans="1:14">
      <c r="A11" s="19" t="s">
        <v>635</v>
      </c>
      <c r="B11" s="21" t="s">
        <v>470</v>
      </c>
      <c r="C11" s="21"/>
      <c r="D11" s="21"/>
      <c r="E11" s="21"/>
      <c r="F11" s="21"/>
      <c r="G11" s="21"/>
      <c r="H11" s="21"/>
      <c r="I11" s="21"/>
      <c r="J11" s="21"/>
      <c r="K11" s="21"/>
    </row>
    <row r="12" spans="1:14" ht="42" customHeight="1">
      <c r="A12" s="22" t="s">
        <v>1090</v>
      </c>
      <c r="B12" s="31" t="s">
        <v>115</v>
      </c>
      <c r="C12" s="22" t="s">
        <v>1098</v>
      </c>
      <c r="D12" s="31" t="s">
        <v>660</v>
      </c>
      <c r="E12" s="31" t="s">
        <v>661</v>
      </c>
      <c r="F12" s="31" t="s">
        <v>662</v>
      </c>
      <c r="G12" s="31" t="s">
        <v>663</v>
      </c>
      <c r="H12" s="22"/>
      <c r="I12" s="22"/>
      <c r="J12" s="22"/>
      <c r="K12" s="22"/>
    </row>
    <row r="13" spans="1:14">
      <c r="A13" s="26">
        <v>35976</v>
      </c>
      <c r="B13" s="130">
        <v>0.31597222222222221</v>
      </c>
      <c r="C13" s="249">
        <v>8996.9599999999991</v>
      </c>
      <c r="D13" s="281">
        <f>C13</f>
        <v>8996.9599999999991</v>
      </c>
      <c r="E13" s="249"/>
      <c r="F13" s="249"/>
      <c r="G13" s="43"/>
      <c r="H13" s="72"/>
      <c r="I13" s="28"/>
      <c r="J13" s="28"/>
      <c r="K13" s="54"/>
      <c r="L13" s="2"/>
      <c r="M13" s="129"/>
    </row>
    <row r="14" spans="1:14">
      <c r="A14" s="26">
        <v>35976</v>
      </c>
      <c r="B14" s="130">
        <v>0.31666666666666665</v>
      </c>
      <c r="C14" s="249">
        <v>9003.19</v>
      </c>
      <c r="D14" s="281">
        <f>C14*(2/(3+1)) + D13*(1-(2/(3+1)))</f>
        <v>9000.0750000000007</v>
      </c>
      <c r="E14" s="249"/>
      <c r="F14" s="249"/>
      <c r="G14" s="43"/>
      <c r="H14" s="72"/>
      <c r="I14" s="28"/>
      <c r="J14" s="28"/>
      <c r="K14" s="54"/>
      <c r="L14" s="2"/>
      <c r="M14" s="129"/>
    </row>
    <row r="15" spans="1:14">
      <c r="A15" s="27">
        <v>35976</v>
      </c>
      <c r="B15" s="131">
        <v>0.31736111111111115</v>
      </c>
      <c r="C15" s="250">
        <v>9010.41</v>
      </c>
      <c r="D15" s="250">
        <f t="shared" ref="D15:F66" si="0">C15*(2/(3+1)) + D14*(1-(2/(3+1)))</f>
        <v>9005.2425000000003</v>
      </c>
      <c r="E15" s="282">
        <f>D15</f>
        <v>9005.2425000000003</v>
      </c>
      <c r="F15" s="250"/>
      <c r="G15" s="47"/>
      <c r="H15" s="73"/>
      <c r="I15" s="29"/>
      <c r="J15" s="29"/>
      <c r="K15" s="57"/>
      <c r="L15" s="2"/>
      <c r="M15" s="129"/>
    </row>
    <row r="16" spans="1:14">
      <c r="A16" s="27">
        <v>35976</v>
      </c>
      <c r="B16" s="131">
        <v>0.31805555555555554</v>
      </c>
      <c r="C16" s="250">
        <v>9008.07</v>
      </c>
      <c r="D16" s="250">
        <f t="shared" si="0"/>
        <v>9006.65625</v>
      </c>
      <c r="E16" s="282">
        <f t="shared" si="0"/>
        <v>9005.9493750000001</v>
      </c>
      <c r="F16" s="250"/>
      <c r="G16" s="47"/>
      <c r="H16" s="73"/>
      <c r="I16" s="29"/>
      <c r="J16" s="29"/>
      <c r="K16" s="57"/>
      <c r="L16" s="2"/>
      <c r="M16" s="129"/>
    </row>
    <row r="17" spans="1:13">
      <c r="A17" s="26">
        <v>35976</v>
      </c>
      <c r="B17" s="130">
        <v>0.31874999999999998</v>
      </c>
      <c r="C17" s="249">
        <v>9018.0300000000007</v>
      </c>
      <c r="D17" s="249">
        <f t="shared" si="0"/>
        <v>9012.3431249999994</v>
      </c>
      <c r="E17" s="249">
        <f t="shared" si="0"/>
        <v>9009.1462499999998</v>
      </c>
      <c r="F17" s="281">
        <f>E17</f>
        <v>9009.1462499999998</v>
      </c>
      <c r="G17" s="43"/>
      <c r="H17" s="72"/>
      <c r="I17" s="28"/>
      <c r="J17" s="28"/>
      <c r="K17" s="54"/>
      <c r="L17" s="2"/>
      <c r="M17" s="129"/>
    </row>
    <row r="18" spans="1:13">
      <c r="A18" s="26">
        <v>35976</v>
      </c>
      <c r="B18" s="130">
        <v>0.31944444444444448</v>
      </c>
      <c r="C18" s="249">
        <v>9009.7999999999993</v>
      </c>
      <c r="D18" s="249">
        <f t="shared" si="0"/>
        <v>9011.0715624999993</v>
      </c>
      <c r="E18" s="249">
        <f t="shared" si="0"/>
        <v>9010.1089062499996</v>
      </c>
      <c r="F18" s="281">
        <f t="shared" si="0"/>
        <v>9009.6275781250006</v>
      </c>
      <c r="G18" s="43"/>
      <c r="H18" s="72"/>
      <c r="I18" s="28"/>
      <c r="J18" s="28"/>
      <c r="K18" s="54"/>
      <c r="L18" s="2"/>
      <c r="M18" s="129"/>
    </row>
    <row r="19" spans="1:13">
      <c r="A19" s="27">
        <v>35976</v>
      </c>
      <c r="B19" s="131">
        <v>0.32013888888888892</v>
      </c>
      <c r="C19" s="250">
        <v>9011.5499999999993</v>
      </c>
      <c r="D19" s="250">
        <f t="shared" si="0"/>
        <v>9011.3107812499984</v>
      </c>
      <c r="E19" s="250">
        <f t="shared" si="0"/>
        <v>9010.709843749999</v>
      </c>
      <c r="F19" s="250">
        <f t="shared" si="0"/>
        <v>9010.1687109374998</v>
      </c>
      <c r="G19" s="55"/>
      <c r="H19" s="73"/>
      <c r="I19" s="29"/>
      <c r="J19" s="29"/>
      <c r="K19" s="57"/>
      <c r="L19" s="2"/>
      <c r="M19" s="129"/>
    </row>
    <row r="20" spans="1:13">
      <c r="A20" s="27">
        <v>35976</v>
      </c>
      <c r="B20" s="131">
        <v>0.32083333333333336</v>
      </c>
      <c r="C20" s="250">
        <v>9020.26</v>
      </c>
      <c r="D20" s="250">
        <f t="shared" si="0"/>
        <v>9015.7853906249984</v>
      </c>
      <c r="E20" s="250">
        <f t="shared" si="0"/>
        <v>9013.2476171874987</v>
      </c>
      <c r="F20" s="250">
        <f t="shared" si="0"/>
        <v>9011.7081640625001</v>
      </c>
      <c r="G20" s="55">
        <f t="shared" ref="G20:G35" si="1">(F20-F19)/F19*100</f>
        <v>1.7085730294168766E-2</v>
      </c>
      <c r="H20" s="73"/>
      <c r="I20" s="29"/>
      <c r="J20" s="29"/>
      <c r="K20" s="57"/>
      <c r="L20" s="2"/>
      <c r="M20" s="129"/>
    </row>
    <row r="21" spans="1:13">
      <c r="A21" s="26">
        <v>35976</v>
      </c>
      <c r="B21" s="130">
        <v>0.3215277777777778</v>
      </c>
      <c r="C21" s="249">
        <v>9013.2900000000009</v>
      </c>
      <c r="D21" s="249">
        <f t="shared" si="0"/>
        <v>9014.5376953124996</v>
      </c>
      <c r="E21" s="249">
        <f t="shared" si="0"/>
        <v>9013.8926562499983</v>
      </c>
      <c r="F21" s="249">
        <f t="shared" si="0"/>
        <v>9012.8004101562492</v>
      </c>
      <c r="G21" s="52">
        <f t="shared" si="1"/>
        <v>1.2120300323359194E-2</v>
      </c>
      <c r="H21" s="72"/>
      <c r="I21" s="28"/>
      <c r="J21" s="28"/>
      <c r="K21" s="54"/>
      <c r="L21" s="2"/>
      <c r="M21" s="129"/>
    </row>
    <row r="22" spans="1:13">
      <c r="A22" s="26">
        <v>35976</v>
      </c>
      <c r="B22" s="130">
        <v>0.32222222222222224</v>
      </c>
      <c r="C22" s="249">
        <v>9018.7800000000007</v>
      </c>
      <c r="D22" s="249">
        <f t="shared" si="0"/>
        <v>9016.6588476562501</v>
      </c>
      <c r="E22" s="249">
        <f t="shared" si="0"/>
        <v>9015.2757519531242</v>
      </c>
      <c r="F22" s="249">
        <f t="shared" si="0"/>
        <v>9014.0380810546867</v>
      </c>
      <c r="G22" s="52">
        <f t="shared" si="1"/>
        <v>1.3732367767101628E-2</v>
      </c>
      <c r="H22" s="72"/>
      <c r="I22" s="28"/>
      <c r="J22" s="28"/>
      <c r="K22" s="54"/>
      <c r="L22" s="2"/>
      <c r="M22" s="129"/>
    </row>
    <row r="23" spans="1:13">
      <c r="A23" s="27">
        <v>35976</v>
      </c>
      <c r="B23" s="131">
        <v>0.32291666666666669</v>
      </c>
      <c r="C23" s="250">
        <v>9016.5400000000009</v>
      </c>
      <c r="D23" s="250">
        <f t="shared" si="0"/>
        <v>9016.5994238281255</v>
      </c>
      <c r="E23" s="250">
        <f t="shared" si="0"/>
        <v>9015.9375878906249</v>
      </c>
      <c r="F23" s="250">
        <f t="shared" si="0"/>
        <v>9014.9878344726567</v>
      </c>
      <c r="G23" s="55">
        <f t="shared" si="1"/>
        <v>1.0536381247003353E-2</v>
      </c>
      <c r="H23" s="73"/>
      <c r="I23" s="29"/>
      <c r="J23" s="29"/>
      <c r="K23" s="57"/>
      <c r="L23" s="2"/>
      <c r="M23" s="129"/>
    </row>
    <row r="24" spans="1:13">
      <c r="A24" s="27">
        <v>35976</v>
      </c>
      <c r="B24" s="131">
        <v>0.32361111111111113</v>
      </c>
      <c r="C24" s="250">
        <v>9012.7900000000009</v>
      </c>
      <c r="D24" s="250">
        <f t="shared" si="0"/>
        <v>9014.6947119140641</v>
      </c>
      <c r="E24" s="250">
        <f t="shared" si="0"/>
        <v>9015.3161499023445</v>
      </c>
      <c r="F24" s="250">
        <f t="shared" si="0"/>
        <v>9015.1519921875006</v>
      </c>
      <c r="G24" s="55">
        <f t="shared" si="1"/>
        <v>1.8209421671781783E-3</v>
      </c>
      <c r="H24" s="73"/>
      <c r="I24" s="29"/>
      <c r="J24" s="29"/>
      <c r="K24" s="57"/>
      <c r="L24" s="2"/>
      <c r="M24" s="129"/>
    </row>
    <row r="25" spans="1:13">
      <c r="A25" s="26">
        <v>35976</v>
      </c>
      <c r="B25" s="130">
        <v>0.32430555555555557</v>
      </c>
      <c r="C25" s="249">
        <v>9017.5300000000007</v>
      </c>
      <c r="D25" s="249">
        <f t="shared" si="0"/>
        <v>9016.1123559570333</v>
      </c>
      <c r="E25" s="249">
        <f t="shared" si="0"/>
        <v>9015.7142529296889</v>
      </c>
      <c r="F25" s="249">
        <f t="shared" si="0"/>
        <v>9015.4331225585956</v>
      </c>
      <c r="G25" s="52">
        <f t="shared" si="1"/>
        <v>3.1184207580602775E-3</v>
      </c>
      <c r="H25" s="72"/>
      <c r="I25" s="28"/>
      <c r="J25" s="28"/>
      <c r="K25" s="54"/>
      <c r="L25" s="2"/>
      <c r="M25" s="129"/>
    </row>
    <row r="26" spans="1:13">
      <c r="A26" s="26">
        <v>35976</v>
      </c>
      <c r="B26" s="130">
        <v>0.32500000000000001</v>
      </c>
      <c r="C26" s="249">
        <v>9019.5300000000007</v>
      </c>
      <c r="D26" s="249">
        <f t="shared" si="0"/>
        <v>9017.8211779785161</v>
      </c>
      <c r="E26" s="249">
        <f t="shared" si="0"/>
        <v>9016.7677154541016</v>
      </c>
      <c r="F26" s="249">
        <f t="shared" si="0"/>
        <v>9016.1004190063486</v>
      </c>
      <c r="G26" s="52">
        <f t="shared" si="1"/>
        <v>7.401712581986083E-3</v>
      </c>
      <c r="H26" s="72"/>
      <c r="I26" s="28"/>
      <c r="J26" s="28"/>
      <c r="K26" s="54"/>
      <c r="L26" s="2"/>
      <c r="M26" s="129"/>
    </row>
    <row r="27" spans="1:13">
      <c r="A27" s="27">
        <v>35976</v>
      </c>
      <c r="B27" s="131">
        <v>0.32569444444444445</v>
      </c>
      <c r="C27" s="250">
        <v>9018.5300000000007</v>
      </c>
      <c r="D27" s="250">
        <f t="shared" si="0"/>
        <v>9018.1755889892593</v>
      </c>
      <c r="E27" s="250">
        <f t="shared" si="0"/>
        <v>9017.4716522216804</v>
      </c>
      <c r="F27" s="250">
        <f t="shared" si="0"/>
        <v>9016.7860356140154</v>
      </c>
      <c r="G27" s="55">
        <f t="shared" si="1"/>
        <v>7.604358600770517E-3</v>
      </c>
      <c r="H27" s="73"/>
      <c r="I27" s="29"/>
      <c r="J27" s="29"/>
      <c r="K27" s="57"/>
      <c r="L27" s="2"/>
      <c r="M27" s="129"/>
    </row>
    <row r="28" spans="1:13">
      <c r="A28" s="27">
        <v>35976</v>
      </c>
      <c r="B28" s="131">
        <v>0.3263888888888889</v>
      </c>
      <c r="C28" s="250">
        <v>9019.0300000000007</v>
      </c>
      <c r="D28" s="250">
        <f t="shared" si="0"/>
        <v>9018.6027944946291</v>
      </c>
      <c r="E28" s="250">
        <f t="shared" si="0"/>
        <v>9018.0372233581547</v>
      </c>
      <c r="F28" s="250">
        <f t="shared" si="0"/>
        <v>9017.4116294860851</v>
      </c>
      <c r="G28" s="55">
        <f t="shared" si="1"/>
        <v>6.9381026631742254E-3</v>
      </c>
      <c r="H28" s="73"/>
      <c r="I28" s="29"/>
      <c r="J28" s="29"/>
      <c r="K28" s="57"/>
      <c r="L28" s="2"/>
      <c r="M28" s="129"/>
    </row>
    <row r="29" spans="1:13">
      <c r="A29" s="26">
        <v>35976</v>
      </c>
      <c r="B29" s="130">
        <v>0.32708333333333334</v>
      </c>
      <c r="C29" s="249">
        <v>9018.5300000000007</v>
      </c>
      <c r="D29" s="249">
        <f t="shared" si="0"/>
        <v>9018.5663972473158</v>
      </c>
      <c r="E29" s="249">
        <f t="shared" si="0"/>
        <v>9018.3018103027352</v>
      </c>
      <c r="F29" s="249">
        <f t="shared" si="0"/>
        <v>9017.8567198944111</v>
      </c>
      <c r="G29" s="52">
        <f t="shared" si="1"/>
        <v>4.9358998636658885E-3</v>
      </c>
      <c r="H29" s="72"/>
      <c r="I29" s="28"/>
      <c r="J29" s="28"/>
      <c r="K29" s="54"/>
      <c r="L29" s="2"/>
      <c r="M29" s="129"/>
    </row>
    <row r="30" spans="1:13">
      <c r="A30" s="26">
        <v>35976</v>
      </c>
      <c r="B30" s="130">
        <v>0.32777777777777778</v>
      </c>
      <c r="C30" s="249">
        <v>9017.0400000000009</v>
      </c>
      <c r="D30" s="249">
        <f t="shared" si="0"/>
        <v>9017.8031986236583</v>
      </c>
      <c r="E30" s="249">
        <f t="shared" si="0"/>
        <v>9018.0525044631977</v>
      </c>
      <c r="F30" s="249">
        <f t="shared" si="0"/>
        <v>9017.9546121788044</v>
      </c>
      <c r="G30" s="52">
        <f t="shared" si="1"/>
        <v>1.085538254088126E-3</v>
      </c>
      <c r="H30" s="72"/>
      <c r="I30" s="28"/>
      <c r="J30" s="28"/>
      <c r="K30" s="54"/>
      <c r="L30" s="2"/>
      <c r="M30" s="129"/>
    </row>
    <row r="31" spans="1:13">
      <c r="A31" s="27">
        <v>35976</v>
      </c>
      <c r="B31" s="131">
        <v>0.32847222222222222</v>
      </c>
      <c r="C31" s="250">
        <v>9001.33</v>
      </c>
      <c r="D31" s="250">
        <f t="shared" si="0"/>
        <v>9009.5665993118291</v>
      </c>
      <c r="E31" s="250">
        <f t="shared" si="0"/>
        <v>9013.8095518875125</v>
      </c>
      <c r="F31" s="250">
        <f t="shared" si="0"/>
        <v>9015.8820820331584</v>
      </c>
      <c r="G31" s="55">
        <f t="shared" si="1"/>
        <v>-2.2982264102848524E-2</v>
      </c>
      <c r="H31" s="73"/>
      <c r="I31" s="29"/>
      <c r="J31" s="29"/>
      <c r="K31" s="57"/>
      <c r="L31" s="2"/>
      <c r="M31" s="129"/>
    </row>
    <row r="32" spans="1:13">
      <c r="A32" s="27">
        <v>35976</v>
      </c>
      <c r="B32" s="131">
        <v>0.32916666666666666</v>
      </c>
      <c r="C32" s="250">
        <v>8999.84</v>
      </c>
      <c r="D32" s="250">
        <f t="shared" si="0"/>
        <v>9004.7032996559137</v>
      </c>
      <c r="E32" s="250">
        <f t="shared" si="0"/>
        <v>9009.2564257717131</v>
      </c>
      <c r="F32" s="250">
        <f t="shared" si="0"/>
        <v>9012.5692539024349</v>
      </c>
      <c r="G32" s="55">
        <f t="shared" si="1"/>
        <v>-3.67443595710438E-2</v>
      </c>
      <c r="H32" s="73"/>
      <c r="I32" s="29"/>
      <c r="J32" s="29"/>
      <c r="K32" s="57"/>
      <c r="L32" s="2"/>
      <c r="M32" s="129"/>
    </row>
    <row r="33" spans="1:13">
      <c r="A33" s="26">
        <v>35976</v>
      </c>
      <c r="B33" s="130">
        <v>0.3298611111111111</v>
      </c>
      <c r="C33" s="249">
        <v>8992.6200000000008</v>
      </c>
      <c r="D33" s="249">
        <f t="shared" si="0"/>
        <v>8998.6616498279582</v>
      </c>
      <c r="E33" s="249">
        <f t="shared" si="0"/>
        <v>9003.9590377998356</v>
      </c>
      <c r="F33" s="249">
        <f t="shared" si="0"/>
        <v>9008.2641458511353</v>
      </c>
      <c r="G33" s="52">
        <f t="shared" si="1"/>
        <v>-4.776782213834866E-2</v>
      </c>
      <c r="H33" s="72"/>
      <c r="I33" s="28"/>
      <c r="J33" s="28"/>
      <c r="K33" s="54"/>
      <c r="L33" s="2"/>
      <c r="M33" s="129"/>
    </row>
    <row r="34" spans="1:13">
      <c r="A34" s="26">
        <v>35976</v>
      </c>
      <c r="B34" s="130">
        <v>0.33055555555555555</v>
      </c>
      <c r="C34" s="249">
        <v>8990.1200000000008</v>
      </c>
      <c r="D34" s="249">
        <f t="shared" si="0"/>
        <v>8994.3908249139786</v>
      </c>
      <c r="E34" s="249">
        <f t="shared" si="0"/>
        <v>8999.1749313569071</v>
      </c>
      <c r="F34" s="249">
        <f t="shared" si="0"/>
        <v>9003.7195386040221</v>
      </c>
      <c r="G34" s="52">
        <f t="shared" si="1"/>
        <v>-5.0449311582478812E-2</v>
      </c>
      <c r="H34" s="72"/>
      <c r="I34" s="28"/>
      <c r="J34" s="28"/>
      <c r="K34" s="54"/>
      <c r="L34" s="2"/>
      <c r="M34" s="129"/>
    </row>
    <row r="35" spans="1:13">
      <c r="A35" s="27">
        <v>35976</v>
      </c>
      <c r="B35" s="131">
        <v>0.33124999999999999</v>
      </c>
      <c r="C35" s="250">
        <v>8986.4</v>
      </c>
      <c r="D35" s="250">
        <f t="shared" si="0"/>
        <v>8990.39541245699</v>
      </c>
      <c r="E35" s="250">
        <f t="shared" si="0"/>
        <v>8994.7851719069477</v>
      </c>
      <c r="F35" s="250">
        <f t="shared" si="0"/>
        <v>8999.2523552554849</v>
      </c>
      <c r="G35" s="55">
        <f t="shared" si="1"/>
        <v>-4.9614865605085594E-2</v>
      </c>
      <c r="H35" s="73"/>
      <c r="I35" s="29"/>
      <c r="J35" s="29"/>
      <c r="K35" s="57"/>
      <c r="L35" s="2"/>
      <c r="M35" s="129"/>
    </row>
    <row r="36" spans="1:13">
      <c r="A36" s="27">
        <v>35976</v>
      </c>
      <c r="B36" s="131">
        <v>0.33194444444444443</v>
      </c>
      <c r="C36" s="250">
        <v>8987.8799999999992</v>
      </c>
      <c r="D36" s="250">
        <f t="shared" si="0"/>
        <v>8989.1377062284955</v>
      </c>
      <c r="E36" s="250">
        <f t="shared" si="0"/>
        <v>8991.9614390677216</v>
      </c>
      <c r="F36" s="250">
        <f t="shared" si="0"/>
        <v>8995.6068971616041</v>
      </c>
      <c r="G36" s="99">
        <f>(F36-F35)/F35*100</f>
        <v>-4.0508455035732145E-2</v>
      </c>
      <c r="H36" s="73"/>
      <c r="I36" s="29"/>
      <c r="J36" s="29"/>
      <c r="K36" s="57"/>
      <c r="L36" s="2"/>
      <c r="M36" s="129"/>
    </row>
    <row r="37" spans="1:13">
      <c r="A37" s="26">
        <v>35976</v>
      </c>
      <c r="B37" s="130">
        <v>0.33263888888888887</v>
      </c>
      <c r="C37" s="249">
        <v>8985.4</v>
      </c>
      <c r="D37" s="249">
        <f t="shared" si="0"/>
        <v>8987.2688531142485</v>
      </c>
      <c r="E37" s="249">
        <f t="shared" si="0"/>
        <v>8989.6151460909859</v>
      </c>
      <c r="F37" s="249">
        <f t="shared" si="0"/>
        <v>8992.611021626295</v>
      </c>
      <c r="G37" s="100">
        <f t="shared" ref="G37:G66" si="2">(F37-F36)/F36*100</f>
        <v>-3.3303762264827168E-2</v>
      </c>
      <c r="H37" s="72"/>
      <c r="I37" s="28"/>
      <c r="J37" s="28"/>
      <c r="K37" s="54"/>
      <c r="L37" s="2"/>
      <c r="M37" s="129"/>
    </row>
    <row r="38" spans="1:13">
      <c r="A38" s="26">
        <v>35976</v>
      </c>
      <c r="B38" s="130">
        <v>0.33333333333333331</v>
      </c>
      <c r="C38" s="249">
        <v>8981.66</v>
      </c>
      <c r="D38" s="249">
        <f t="shared" si="0"/>
        <v>8984.4644265571242</v>
      </c>
      <c r="E38" s="249">
        <f t="shared" si="0"/>
        <v>8987.0397863240541</v>
      </c>
      <c r="F38" s="249">
        <f t="shared" si="0"/>
        <v>8989.8254039751737</v>
      </c>
      <c r="G38" s="100">
        <f t="shared" si="2"/>
        <v>-3.0976739063017796E-2</v>
      </c>
      <c r="H38" s="72"/>
      <c r="I38" s="28"/>
      <c r="J38" s="28"/>
      <c r="K38" s="54"/>
      <c r="L38" s="2"/>
      <c r="M38" s="129"/>
    </row>
    <row r="39" spans="1:13">
      <c r="A39" s="27">
        <v>35976</v>
      </c>
      <c r="B39" s="131">
        <v>0.33402777777777781</v>
      </c>
      <c r="C39" s="250">
        <v>8979.66</v>
      </c>
      <c r="D39" s="250">
        <f t="shared" si="0"/>
        <v>8982.0622132785611</v>
      </c>
      <c r="E39" s="250">
        <f t="shared" si="0"/>
        <v>8984.5509998013076</v>
      </c>
      <c r="F39" s="250">
        <f t="shared" si="0"/>
        <v>8987.1882018882407</v>
      </c>
      <c r="G39" s="99">
        <f t="shared" si="2"/>
        <v>-2.9335409403689824E-2</v>
      </c>
      <c r="H39" s="73"/>
      <c r="I39" s="29"/>
      <c r="J39" s="29"/>
      <c r="K39" s="57"/>
      <c r="L39" s="2"/>
      <c r="M39" s="129"/>
    </row>
    <row r="40" spans="1:13">
      <c r="A40" s="27">
        <v>35976</v>
      </c>
      <c r="B40" s="131">
        <v>0.3347222222222222</v>
      </c>
      <c r="C40" s="250">
        <v>8978.41</v>
      </c>
      <c r="D40" s="250">
        <f t="shared" si="0"/>
        <v>8980.2361066392805</v>
      </c>
      <c r="E40" s="250">
        <f t="shared" si="0"/>
        <v>8982.3935532202941</v>
      </c>
      <c r="F40" s="250">
        <f t="shared" si="0"/>
        <v>8984.7908775542674</v>
      </c>
      <c r="G40" s="99">
        <f t="shared" si="2"/>
        <v>-2.667490966161825E-2</v>
      </c>
      <c r="H40" s="73"/>
      <c r="I40" s="29"/>
      <c r="J40" s="29"/>
      <c r="K40" s="57"/>
      <c r="L40" s="2"/>
      <c r="M40" s="129"/>
    </row>
    <row r="41" spans="1:13">
      <c r="A41" s="26">
        <v>35976</v>
      </c>
      <c r="B41" s="130">
        <v>0.3354166666666667</v>
      </c>
      <c r="C41" s="249">
        <v>8975.92</v>
      </c>
      <c r="D41" s="249">
        <f t="shared" si="0"/>
        <v>8978.0780533196412</v>
      </c>
      <c r="E41" s="249">
        <f t="shared" si="0"/>
        <v>8980.2358032699667</v>
      </c>
      <c r="F41" s="249">
        <f t="shared" si="0"/>
        <v>8982.513340412117</v>
      </c>
      <c r="G41" s="100">
        <f t="shared" si="2"/>
        <v>-2.5348805255334853E-2</v>
      </c>
      <c r="H41" s="72"/>
      <c r="I41" s="28"/>
      <c r="J41" s="28"/>
      <c r="K41" s="54"/>
      <c r="L41" s="2"/>
      <c r="M41" s="129"/>
    </row>
    <row r="42" spans="1:13">
      <c r="A42" s="26">
        <v>35976</v>
      </c>
      <c r="B42" s="130">
        <v>0.33611111111111108</v>
      </c>
      <c r="C42" s="249">
        <v>8978.91</v>
      </c>
      <c r="D42" s="249">
        <f t="shared" si="0"/>
        <v>8978.4940266598205</v>
      </c>
      <c r="E42" s="249">
        <f t="shared" si="0"/>
        <v>8979.3649149648936</v>
      </c>
      <c r="F42" s="249">
        <f t="shared" si="0"/>
        <v>8980.9391276885053</v>
      </c>
      <c r="G42" s="100">
        <f t="shared" si="2"/>
        <v>-1.7525303486379058E-2</v>
      </c>
      <c r="H42" s="72"/>
      <c r="I42" s="28"/>
      <c r="J42" s="28"/>
      <c r="K42" s="54"/>
      <c r="L42" s="2"/>
      <c r="M42" s="129"/>
    </row>
    <row r="43" spans="1:13">
      <c r="A43" s="27">
        <v>35976</v>
      </c>
      <c r="B43" s="131">
        <v>0.33680555555555558</v>
      </c>
      <c r="C43" s="250">
        <v>8982.66</v>
      </c>
      <c r="D43" s="250">
        <f t="shared" si="0"/>
        <v>8980.5770133299102</v>
      </c>
      <c r="E43" s="250">
        <f t="shared" si="0"/>
        <v>8979.9709641474019</v>
      </c>
      <c r="F43" s="250">
        <f t="shared" si="0"/>
        <v>8980.4550459179536</v>
      </c>
      <c r="G43" s="99">
        <f t="shared" si="2"/>
        <v>-5.3901018999145912E-3</v>
      </c>
      <c r="H43" s="73"/>
      <c r="I43" s="29"/>
      <c r="J43" s="29"/>
      <c r="K43" s="57"/>
      <c r="L43" s="2"/>
      <c r="M43" s="129"/>
    </row>
    <row r="44" spans="1:13">
      <c r="A44" s="27">
        <v>35976</v>
      </c>
      <c r="B44" s="131">
        <v>0.33750000000000002</v>
      </c>
      <c r="C44" s="250">
        <v>8985.9</v>
      </c>
      <c r="D44" s="250">
        <f t="shared" si="0"/>
        <v>8983.2385066649549</v>
      </c>
      <c r="E44" s="250">
        <f t="shared" si="0"/>
        <v>8981.6047354061775</v>
      </c>
      <c r="F44" s="250">
        <f t="shared" si="0"/>
        <v>8981.0298906620665</v>
      </c>
      <c r="G44" s="99">
        <f t="shared" si="2"/>
        <v>6.4010647698097027E-3</v>
      </c>
      <c r="H44" s="73"/>
      <c r="I44" s="29"/>
      <c r="J44" s="29"/>
      <c r="K44" s="57"/>
      <c r="L44" s="2"/>
      <c r="M44" s="129"/>
    </row>
    <row r="45" spans="1:13">
      <c r="A45" s="26">
        <v>35976</v>
      </c>
      <c r="B45" s="130">
        <v>0.33819444444444446</v>
      </c>
      <c r="C45" s="249">
        <v>8986.4</v>
      </c>
      <c r="D45" s="249">
        <f t="shared" si="0"/>
        <v>8984.8192533324764</v>
      </c>
      <c r="E45" s="249">
        <f t="shared" si="0"/>
        <v>8983.2119943693269</v>
      </c>
      <c r="F45" s="249">
        <f t="shared" si="0"/>
        <v>8982.1209425156958</v>
      </c>
      <c r="G45" s="100">
        <f t="shared" si="2"/>
        <v>1.2148404658620876E-2</v>
      </c>
      <c r="H45" s="72"/>
      <c r="I45" s="28"/>
      <c r="J45" s="28"/>
      <c r="K45" s="54"/>
      <c r="L45" s="2"/>
      <c r="M45" s="129"/>
    </row>
    <row r="46" spans="1:13">
      <c r="A46" s="26">
        <v>35976</v>
      </c>
      <c r="B46" s="130">
        <v>0.33888888888888885</v>
      </c>
      <c r="C46" s="249">
        <v>8987.3799999999992</v>
      </c>
      <c r="D46" s="249">
        <f t="shared" si="0"/>
        <v>8986.0996266662369</v>
      </c>
      <c r="E46" s="249">
        <f t="shared" si="0"/>
        <v>8984.6558105177828</v>
      </c>
      <c r="F46" s="249">
        <f t="shared" si="0"/>
        <v>8983.3883765167393</v>
      </c>
      <c r="G46" s="100">
        <f t="shared" si="2"/>
        <v>1.4110631655428713E-2</v>
      </c>
      <c r="H46" s="72"/>
      <c r="I46" s="28"/>
      <c r="J46" s="28"/>
      <c r="K46" s="54"/>
      <c r="L46" s="2"/>
      <c r="M46" s="129"/>
    </row>
    <row r="47" spans="1:13">
      <c r="A47" s="27">
        <v>35976</v>
      </c>
      <c r="B47" s="131">
        <v>0.33958333333333335</v>
      </c>
      <c r="C47" s="250">
        <v>8986.15</v>
      </c>
      <c r="D47" s="250">
        <f t="shared" si="0"/>
        <v>8986.1248133331173</v>
      </c>
      <c r="E47" s="250">
        <f t="shared" si="0"/>
        <v>8985.3903119254501</v>
      </c>
      <c r="F47" s="250">
        <f t="shared" si="0"/>
        <v>8984.3893442210938</v>
      </c>
      <c r="G47" s="99">
        <f t="shared" si="2"/>
        <v>1.1142429364081436E-2</v>
      </c>
      <c r="H47" s="73"/>
      <c r="I47" s="29"/>
      <c r="J47" s="29"/>
      <c r="K47" s="57"/>
      <c r="L47" s="2"/>
      <c r="M47" s="129"/>
    </row>
    <row r="48" spans="1:13">
      <c r="A48" s="27">
        <v>35976</v>
      </c>
      <c r="B48" s="131">
        <v>0.34027777777777773</v>
      </c>
      <c r="C48" s="250">
        <v>8986.6299999999992</v>
      </c>
      <c r="D48" s="250">
        <f t="shared" si="0"/>
        <v>8986.3774066665574</v>
      </c>
      <c r="E48" s="250">
        <f t="shared" si="0"/>
        <v>8985.8838592960037</v>
      </c>
      <c r="F48" s="250">
        <f t="shared" si="0"/>
        <v>8985.1366017585497</v>
      </c>
      <c r="G48" s="99">
        <f t="shared" si="2"/>
        <v>8.3172880072982184E-3</v>
      </c>
      <c r="H48" s="73"/>
      <c r="I48" s="29"/>
      <c r="J48" s="29"/>
      <c r="K48" s="57"/>
      <c r="L48" s="2"/>
      <c r="M48" s="129"/>
    </row>
    <row r="49" spans="1:13">
      <c r="A49" s="26">
        <v>35976</v>
      </c>
      <c r="B49" s="130">
        <v>0.34097222222222223</v>
      </c>
      <c r="C49" s="249">
        <v>8985.4</v>
      </c>
      <c r="D49" s="249">
        <f t="shared" si="0"/>
        <v>8985.8887033332794</v>
      </c>
      <c r="E49" s="249">
        <f t="shared" si="0"/>
        <v>8985.8862813146407</v>
      </c>
      <c r="F49" s="249">
        <f t="shared" si="0"/>
        <v>8985.5114415365952</v>
      </c>
      <c r="G49" s="100">
        <f t="shared" si="2"/>
        <v>4.1717760637287934E-3</v>
      </c>
      <c r="H49" s="72"/>
      <c r="I49" s="28"/>
      <c r="J49" s="28"/>
      <c r="K49" s="54"/>
      <c r="L49" s="2"/>
      <c r="M49" s="129"/>
    </row>
    <row r="50" spans="1:13">
      <c r="A50" s="26">
        <v>35976</v>
      </c>
      <c r="B50" s="130">
        <v>0.34166666666666662</v>
      </c>
      <c r="C50" s="249">
        <v>8983.9</v>
      </c>
      <c r="D50" s="249">
        <f t="shared" si="0"/>
        <v>8984.8943516666404</v>
      </c>
      <c r="E50" s="249">
        <f t="shared" si="0"/>
        <v>8985.3903164906405</v>
      </c>
      <c r="F50" s="249">
        <f t="shared" si="0"/>
        <v>8985.4508790136169</v>
      </c>
      <c r="G50" s="100">
        <f t="shared" si="2"/>
        <v>-6.7400195717584675E-4</v>
      </c>
      <c r="H50" s="72"/>
      <c r="I50" s="28"/>
      <c r="J50" s="28"/>
      <c r="K50" s="54"/>
      <c r="L50" s="2"/>
      <c r="M50" s="129"/>
    </row>
    <row r="51" spans="1:13">
      <c r="A51" s="27">
        <v>35976</v>
      </c>
      <c r="B51" s="131">
        <v>0.34236111111111112</v>
      </c>
      <c r="C51" s="250">
        <v>8982.91</v>
      </c>
      <c r="D51" s="250">
        <f t="shared" si="0"/>
        <v>8983.9021758333201</v>
      </c>
      <c r="E51" s="250">
        <f t="shared" si="0"/>
        <v>8984.6462461619813</v>
      </c>
      <c r="F51" s="250">
        <f t="shared" si="0"/>
        <v>8985.0485625877991</v>
      </c>
      <c r="G51" s="99">
        <f t="shared" si="2"/>
        <v>-4.4774205683711724E-3</v>
      </c>
      <c r="H51" s="73"/>
      <c r="I51" s="29"/>
      <c r="J51" s="29"/>
      <c r="K51" s="57"/>
      <c r="L51" s="2"/>
      <c r="M51" s="129"/>
    </row>
    <row r="52" spans="1:13">
      <c r="A52" s="27">
        <v>35976</v>
      </c>
      <c r="B52" s="131">
        <v>0.3430555555555555</v>
      </c>
      <c r="C52" s="250">
        <v>8982.16</v>
      </c>
      <c r="D52" s="250">
        <f t="shared" si="0"/>
        <v>8983.0310879166609</v>
      </c>
      <c r="E52" s="250">
        <f t="shared" si="0"/>
        <v>8983.8386670393211</v>
      </c>
      <c r="F52" s="250">
        <f t="shared" si="0"/>
        <v>8984.443614813561</v>
      </c>
      <c r="G52" s="99">
        <f t="shared" si="2"/>
        <v>-6.7328269850092676E-3</v>
      </c>
      <c r="H52" s="73"/>
      <c r="I52" s="29"/>
      <c r="J52" s="29"/>
      <c r="K52" s="57"/>
      <c r="L52" s="2"/>
      <c r="M52" s="129"/>
    </row>
    <row r="53" spans="1:13">
      <c r="A53" s="26">
        <v>35976</v>
      </c>
      <c r="B53" s="130">
        <v>0.34375</v>
      </c>
      <c r="C53" s="249">
        <v>8981.41</v>
      </c>
      <c r="D53" s="249">
        <f t="shared" si="0"/>
        <v>8982.2205439583304</v>
      </c>
      <c r="E53" s="249">
        <f t="shared" si="0"/>
        <v>8983.0296054988248</v>
      </c>
      <c r="F53" s="249">
        <f t="shared" si="0"/>
        <v>8983.7366101561929</v>
      </c>
      <c r="G53" s="100">
        <f t="shared" si="2"/>
        <v>-7.8692091316859974E-3</v>
      </c>
      <c r="H53" s="72"/>
      <c r="I53" s="28"/>
      <c r="J53" s="28"/>
      <c r="K53" s="54"/>
      <c r="L53" s="2"/>
      <c r="M53" s="129"/>
    </row>
    <row r="54" spans="1:13">
      <c r="A54" s="26">
        <v>35976</v>
      </c>
      <c r="B54" s="130">
        <v>0.3444444444444445</v>
      </c>
      <c r="C54" s="249">
        <v>8981.66</v>
      </c>
      <c r="D54" s="249">
        <f t="shared" si="0"/>
        <v>8981.9402719791651</v>
      </c>
      <c r="E54" s="249">
        <f t="shared" si="0"/>
        <v>8982.484938738995</v>
      </c>
      <c r="F54" s="249">
        <f t="shared" si="0"/>
        <v>8983.1107744475939</v>
      </c>
      <c r="G54" s="100">
        <f t="shared" si="2"/>
        <v>-6.9663185348895615E-3</v>
      </c>
      <c r="H54" s="72"/>
      <c r="I54" s="28"/>
      <c r="J54" s="28"/>
      <c r="K54" s="54"/>
      <c r="L54" s="2"/>
      <c r="M54" s="129"/>
    </row>
    <row r="55" spans="1:13">
      <c r="A55" s="27">
        <v>35976</v>
      </c>
      <c r="B55" s="131">
        <v>0.34513888888888888</v>
      </c>
      <c r="C55" s="250">
        <v>8978.66</v>
      </c>
      <c r="D55" s="250">
        <f t="shared" si="0"/>
        <v>8980.3001359895825</v>
      </c>
      <c r="E55" s="250">
        <f t="shared" si="0"/>
        <v>8981.3925373642887</v>
      </c>
      <c r="F55" s="250">
        <f t="shared" si="0"/>
        <v>8982.2516559059404</v>
      </c>
      <c r="G55" s="99">
        <f t="shared" si="2"/>
        <v>-9.5637086441956506E-3</v>
      </c>
      <c r="H55" s="73"/>
      <c r="I55" s="29"/>
      <c r="J55" s="29"/>
      <c r="K55" s="57"/>
      <c r="L55" s="2"/>
      <c r="M55" s="129"/>
    </row>
    <row r="56" spans="1:13">
      <c r="A56" s="27">
        <v>35976</v>
      </c>
      <c r="B56" s="131">
        <v>0.34583333333333338</v>
      </c>
      <c r="C56" s="250">
        <v>8983.9</v>
      </c>
      <c r="D56" s="250">
        <f t="shared" si="0"/>
        <v>8982.1000679947902</v>
      </c>
      <c r="E56" s="250">
        <f t="shared" si="0"/>
        <v>8981.7463026795394</v>
      </c>
      <c r="F56" s="250">
        <f t="shared" si="0"/>
        <v>8981.9989792927408</v>
      </c>
      <c r="G56" s="99">
        <f t="shared" si="2"/>
        <v>-2.8130653969536115E-3</v>
      </c>
      <c r="H56" s="73"/>
      <c r="I56" s="29"/>
      <c r="J56" s="29"/>
      <c r="K56" s="57"/>
      <c r="L56" s="2"/>
      <c r="M56" s="129"/>
    </row>
    <row r="57" spans="1:13">
      <c r="A57" s="26">
        <v>35976</v>
      </c>
      <c r="B57" s="130">
        <v>0.34652777777777777</v>
      </c>
      <c r="C57" s="249">
        <v>8984.65</v>
      </c>
      <c r="D57" s="249">
        <f t="shared" si="0"/>
        <v>8983.3750339973958</v>
      </c>
      <c r="E57" s="249">
        <f t="shared" si="0"/>
        <v>8982.5606683384685</v>
      </c>
      <c r="F57" s="249">
        <f t="shared" si="0"/>
        <v>8982.2798238156047</v>
      </c>
      <c r="G57" s="100">
        <f t="shared" si="2"/>
        <v>3.1267485501981097E-3</v>
      </c>
      <c r="H57" s="72"/>
      <c r="I57" s="28"/>
      <c r="J57" s="28"/>
      <c r="K57" s="54"/>
      <c r="L57" s="2"/>
      <c r="M57" s="129"/>
    </row>
    <row r="58" spans="1:13">
      <c r="A58" s="26">
        <v>35976</v>
      </c>
      <c r="B58" s="130">
        <v>0.34722222222222227</v>
      </c>
      <c r="C58" s="249">
        <v>8987.1299999999992</v>
      </c>
      <c r="D58" s="249">
        <f t="shared" si="0"/>
        <v>8985.2525169986984</v>
      </c>
      <c r="E58" s="249">
        <f t="shared" si="0"/>
        <v>8983.9065926685835</v>
      </c>
      <c r="F58" s="249">
        <f t="shared" si="0"/>
        <v>8983.093208242095</v>
      </c>
      <c r="G58" s="100">
        <f t="shared" si="2"/>
        <v>9.0554340595546297E-3</v>
      </c>
      <c r="H58" s="72"/>
      <c r="I58" s="28"/>
      <c r="J58" s="28"/>
      <c r="K58" s="54"/>
      <c r="L58" s="2"/>
      <c r="M58" s="129"/>
    </row>
    <row r="59" spans="1:13">
      <c r="A59" s="27">
        <v>35976</v>
      </c>
      <c r="B59" s="131">
        <v>0.34791666666666665</v>
      </c>
      <c r="C59" s="250">
        <v>8989.6200000000008</v>
      </c>
      <c r="D59" s="250">
        <f t="shared" si="0"/>
        <v>8987.4362584993505</v>
      </c>
      <c r="E59" s="250">
        <f t="shared" si="0"/>
        <v>8985.671425583967</v>
      </c>
      <c r="F59" s="250">
        <f t="shared" si="0"/>
        <v>8984.3823169130301</v>
      </c>
      <c r="G59" s="99">
        <f t="shared" si="2"/>
        <v>1.4350387344888289E-2</v>
      </c>
      <c r="H59" s="73"/>
      <c r="I59" s="29"/>
      <c r="J59" s="29"/>
      <c r="K59" s="57"/>
      <c r="L59" s="2"/>
      <c r="M59" s="129"/>
    </row>
    <row r="60" spans="1:13">
      <c r="A60" s="27">
        <v>35976</v>
      </c>
      <c r="B60" s="131">
        <v>0.34861111111111115</v>
      </c>
      <c r="C60" s="250">
        <v>8990.3700000000008</v>
      </c>
      <c r="D60" s="250">
        <f t="shared" si="0"/>
        <v>8988.9031292496766</v>
      </c>
      <c r="E60" s="250">
        <f t="shared" si="0"/>
        <v>8987.2872774168209</v>
      </c>
      <c r="F60" s="250">
        <f t="shared" si="0"/>
        <v>8985.8347971649255</v>
      </c>
      <c r="G60" s="99">
        <f t="shared" si="2"/>
        <v>1.6166723550500649E-2</v>
      </c>
      <c r="H60" s="73"/>
      <c r="I60" s="29"/>
      <c r="J60" s="29"/>
      <c r="K60" s="57"/>
      <c r="L60" s="2"/>
      <c r="M60" s="129"/>
    </row>
    <row r="61" spans="1:13">
      <c r="A61" s="26">
        <v>35976</v>
      </c>
      <c r="B61" s="130">
        <v>0.34930555555555554</v>
      </c>
      <c r="C61" s="249">
        <v>8988.8799999999992</v>
      </c>
      <c r="D61" s="249">
        <f t="shared" si="0"/>
        <v>8988.8915646248388</v>
      </c>
      <c r="E61" s="249">
        <f t="shared" si="0"/>
        <v>8988.0894210208298</v>
      </c>
      <c r="F61" s="249">
        <f t="shared" si="0"/>
        <v>8986.9621090928777</v>
      </c>
      <c r="G61" s="100">
        <f t="shared" si="2"/>
        <v>1.2545433489472234E-2</v>
      </c>
      <c r="H61" s="72"/>
      <c r="I61" s="28"/>
      <c r="J61" s="28"/>
      <c r="K61" s="54"/>
      <c r="L61" s="2"/>
      <c r="M61" s="129"/>
    </row>
    <row r="62" spans="1:13">
      <c r="A62" s="26">
        <v>35976</v>
      </c>
      <c r="B62" s="130">
        <v>0.35</v>
      </c>
      <c r="C62" s="249">
        <v>8988.6299999999992</v>
      </c>
      <c r="D62" s="249">
        <f t="shared" si="0"/>
        <v>8988.7607823124199</v>
      </c>
      <c r="E62" s="249">
        <f t="shared" si="0"/>
        <v>8988.425101666624</v>
      </c>
      <c r="F62" s="249">
        <f t="shared" si="0"/>
        <v>8987.6936053797508</v>
      </c>
      <c r="G62" s="100">
        <f t="shared" si="2"/>
        <v>8.1395278848793128E-3</v>
      </c>
      <c r="H62" s="72"/>
      <c r="I62" s="28"/>
      <c r="J62" s="28"/>
      <c r="K62" s="54"/>
      <c r="L62" s="2"/>
      <c r="M62" s="129"/>
    </row>
    <row r="63" spans="1:13">
      <c r="A63" s="27">
        <v>35976</v>
      </c>
      <c r="B63" s="131">
        <v>0.35069444444444442</v>
      </c>
      <c r="C63" s="250">
        <v>8990.1200000000008</v>
      </c>
      <c r="D63" s="250">
        <f t="shared" si="0"/>
        <v>8989.4403911562113</v>
      </c>
      <c r="E63" s="250">
        <f t="shared" si="0"/>
        <v>8988.9327464114176</v>
      </c>
      <c r="F63" s="250">
        <f t="shared" si="0"/>
        <v>8988.3131758955842</v>
      </c>
      <c r="G63" s="99">
        <f t="shared" si="2"/>
        <v>6.8935429158660539E-3</v>
      </c>
      <c r="H63" s="73"/>
      <c r="I63" s="29"/>
      <c r="J63" s="29"/>
      <c r="K63" s="57"/>
      <c r="L63" s="2"/>
      <c r="M63" s="129"/>
    </row>
    <row r="64" spans="1:13">
      <c r="A64" s="27">
        <v>35976</v>
      </c>
      <c r="B64" s="131">
        <v>0.35138888888888892</v>
      </c>
      <c r="C64" s="250">
        <v>8991.1200000000008</v>
      </c>
      <c r="D64" s="250">
        <f t="shared" si="0"/>
        <v>8990.2801955781069</v>
      </c>
      <c r="E64" s="250">
        <f t="shared" si="0"/>
        <v>8989.6064709947623</v>
      </c>
      <c r="F64" s="250">
        <f t="shared" si="0"/>
        <v>8988.9598234451732</v>
      </c>
      <c r="G64" s="99">
        <f t="shared" si="2"/>
        <v>7.1943148501231709E-3</v>
      </c>
      <c r="H64" s="73"/>
      <c r="I64" s="29"/>
      <c r="J64" s="29"/>
      <c r="K64" s="57"/>
      <c r="L64" s="2"/>
      <c r="M64" s="129"/>
    </row>
    <row r="65" spans="1:13">
      <c r="A65" s="26">
        <v>35976</v>
      </c>
      <c r="B65" s="130">
        <v>0.3520833333333333</v>
      </c>
      <c r="C65" s="249">
        <v>8991.6200000000008</v>
      </c>
      <c r="D65" s="249">
        <f t="shared" si="0"/>
        <v>8990.950097789053</v>
      </c>
      <c r="E65" s="249">
        <f t="shared" si="0"/>
        <v>8990.2782843919085</v>
      </c>
      <c r="F65" s="249">
        <f t="shared" si="0"/>
        <v>8989.6190539185409</v>
      </c>
      <c r="G65" s="100">
        <f t="shared" si="2"/>
        <v>7.3337792838747105E-3</v>
      </c>
      <c r="H65" s="72"/>
      <c r="I65" s="28"/>
      <c r="J65" s="28"/>
      <c r="K65" s="54"/>
      <c r="L65" s="2"/>
      <c r="M65" s="129"/>
    </row>
    <row r="66" spans="1:13">
      <c r="A66" s="26">
        <v>35976</v>
      </c>
      <c r="B66" s="130">
        <v>0.3527777777777778</v>
      </c>
      <c r="C66" s="249">
        <v>8992.3700000000008</v>
      </c>
      <c r="D66" s="249">
        <f t="shared" si="0"/>
        <v>8991.660048894526</v>
      </c>
      <c r="E66" s="249">
        <f t="shared" si="0"/>
        <v>8990.9691666432172</v>
      </c>
      <c r="F66" s="249">
        <f t="shared" si="0"/>
        <v>8990.29411028088</v>
      </c>
      <c r="G66" s="100">
        <f t="shared" si="2"/>
        <v>7.50928774946072E-3</v>
      </c>
      <c r="H66" s="72"/>
      <c r="I66" s="28"/>
      <c r="J66" s="28"/>
      <c r="K66" s="54"/>
      <c r="L66" s="2"/>
      <c r="M66" s="129"/>
    </row>
    <row r="67" spans="1:13">
      <c r="H67" s="2"/>
      <c r="L67" s="2"/>
      <c r="M67" s="129"/>
    </row>
    <row r="68" spans="1:13">
      <c r="H68" s="2"/>
      <c r="L68" s="2"/>
      <c r="M68" s="129"/>
    </row>
    <row r="69" spans="1:13" ht="15">
      <c r="A69" s="241" t="s">
        <v>659</v>
      </c>
      <c r="H69" s="2"/>
      <c r="L69" s="2"/>
      <c r="M69" s="129"/>
    </row>
    <row r="70" spans="1:13" ht="15">
      <c r="A70" s="241" t="s">
        <v>656</v>
      </c>
      <c r="H70" s="2"/>
      <c r="L70" s="2"/>
      <c r="M70" s="129"/>
    </row>
    <row r="71" spans="1:13" ht="15">
      <c r="A71" s="241" t="s">
        <v>657</v>
      </c>
      <c r="H71" s="2"/>
      <c r="L71" s="2"/>
      <c r="M71" s="129"/>
    </row>
    <row r="72" spans="1:13" ht="46.5" customHeight="1">
      <c r="A72" s="447" t="s">
        <v>658</v>
      </c>
      <c r="B72" s="447"/>
      <c r="C72" s="447"/>
      <c r="D72" s="447"/>
      <c r="E72" s="447"/>
      <c r="F72" s="447"/>
      <c r="G72" s="447"/>
      <c r="H72" s="447"/>
      <c r="I72" s="447"/>
      <c r="J72" s="447"/>
      <c r="K72" s="447"/>
      <c r="L72" s="2"/>
      <c r="M72" s="129"/>
    </row>
    <row r="73" spans="1:13">
      <c r="H73" s="2"/>
      <c r="L73" s="2"/>
      <c r="M73" s="129"/>
    </row>
    <row r="74" spans="1:13">
      <c r="H74" s="2"/>
      <c r="L74" s="2"/>
      <c r="M74" s="129"/>
    </row>
    <row r="75" spans="1:13">
      <c r="H75" s="2"/>
      <c r="L75" s="2"/>
      <c r="M75" s="129"/>
    </row>
    <row r="76" spans="1:13">
      <c r="H76" s="2"/>
      <c r="L76" s="2"/>
      <c r="M76" s="129"/>
    </row>
    <row r="77" spans="1:13">
      <c r="H77" s="2"/>
      <c r="L77" s="2"/>
      <c r="M77" s="129"/>
    </row>
    <row r="78" spans="1:13">
      <c r="H78" s="2"/>
      <c r="L78" s="2"/>
      <c r="M78" s="129"/>
    </row>
    <row r="79" spans="1:13">
      <c r="H79" s="2"/>
      <c r="L79" s="2"/>
      <c r="M79" s="129"/>
    </row>
    <row r="80" spans="1:13">
      <c r="L80" s="2"/>
      <c r="M80" s="129"/>
    </row>
    <row r="81" spans="12:13">
      <c r="L81" s="2"/>
      <c r="M81" s="129"/>
    </row>
    <row r="82" spans="12:13">
      <c r="L82" s="2"/>
      <c r="M82" s="129"/>
    </row>
    <row r="83" spans="12:13">
      <c r="L83" s="2"/>
      <c r="M83" s="129"/>
    </row>
    <row r="84" spans="12:13">
      <c r="L84" s="2"/>
      <c r="M84" s="129"/>
    </row>
    <row r="85" spans="12:13">
      <c r="L85" s="2"/>
      <c r="M85" s="129"/>
    </row>
    <row r="86" spans="12:13">
      <c r="L86" s="2"/>
      <c r="M86" s="129"/>
    </row>
    <row r="87" spans="12:13">
      <c r="L87" s="2"/>
      <c r="M87" s="129"/>
    </row>
    <row r="88" spans="12:13">
      <c r="L88" s="2"/>
      <c r="M88" s="129"/>
    </row>
    <row r="89" spans="12:13">
      <c r="L89" s="2"/>
      <c r="M89" s="129"/>
    </row>
    <row r="90" spans="12:13">
      <c r="L90" s="2"/>
      <c r="M90" s="129"/>
    </row>
    <row r="91" spans="12:13">
      <c r="L91" s="2"/>
      <c r="M91" s="129"/>
    </row>
    <row r="92" spans="12:13">
      <c r="L92" s="2"/>
      <c r="M92" s="129"/>
    </row>
    <row r="93" spans="12:13">
      <c r="L93" s="2"/>
      <c r="M93" s="129"/>
    </row>
    <row r="94" spans="12:13">
      <c r="L94" s="2"/>
      <c r="M94" s="129"/>
    </row>
    <row r="95" spans="12:13">
      <c r="L95" s="2"/>
      <c r="M95" s="129"/>
    </row>
    <row r="96" spans="12:13">
      <c r="L96" s="2"/>
      <c r="M96" s="129"/>
    </row>
    <row r="97" spans="12:13">
      <c r="L97" s="2"/>
      <c r="M97" s="129"/>
    </row>
    <row r="98" spans="12:13">
      <c r="L98" s="2"/>
      <c r="M98" s="129"/>
    </row>
    <row r="99" spans="12:13">
      <c r="L99" s="2"/>
      <c r="M99" s="129"/>
    </row>
    <row r="100" spans="12:13">
      <c r="L100" s="2"/>
      <c r="M100" s="129"/>
    </row>
    <row r="101" spans="12:13">
      <c r="L101" s="2"/>
      <c r="M101" s="129"/>
    </row>
    <row r="102" spans="12:13">
      <c r="L102" s="2"/>
      <c r="M102" s="129"/>
    </row>
    <row r="103" spans="12:13">
      <c r="L103" s="2"/>
      <c r="M103" s="129"/>
    </row>
    <row r="104" spans="12:13">
      <c r="L104" s="2"/>
      <c r="M104" s="129"/>
    </row>
    <row r="105" spans="12:13">
      <c r="L105" s="2"/>
      <c r="M105" s="129"/>
    </row>
    <row r="106" spans="12:13">
      <c r="L106" s="2"/>
      <c r="M106" s="129"/>
    </row>
    <row r="107" spans="12:13">
      <c r="L107" s="2"/>
      <c r="M107" s="129"/>
    </row>
    <row r="108" spans="12:13">
      <c r="L108" s="2"/>
      <c r="M108" s="129"/>
    </row>
    <row r="109" spans="12:13">
      <c r="L109" s="2"/>
      <c r="M109" s="129"/>
    </row>
    <row r="110" spans="12:13">
      <c r="L110" s="2"/>
      <c r="M110" s="129"/>
    </row>
    <row r="111" spans="12:13">
      <c r="L111" s="2"/>
      <c r="M111" s="129"/>
    </row>
    <row r="112" spans="12:13">
      <c r="L112" s="2"/>
      <c r="M112" s="129"/>
    </row>
    <row r="113" spans="12:13">
      <c r="L113" s="2"/>
      <c r="M113" s="129"/>
    </row>
    <row r="114" spans="12:13">
      <c r="L114" s="2"/>
      <c r="M114" s="129"/>
    </row>
    <row r="115" spans="12:13">
      <c r="L115" s="2"/>
      <c r="M115" s="129"/>
    </row>
    <row r="116" spans="12:13">
      <c r="L116" s="2"/>
      <c r="M116" s="129"/>
    </row>
    <row r="117" spans="12:13">
      <c r="L117" s="2"/>
      <c r="M117" s="129"/>
    </row>
    <row r="118" spans="12:13">
      <c r="L118" s="2"/>
      <c r="M118" s="129"/>
    </row>
    <row r="119" spans="12:13">
      <c r="L119" s="2"/>
      <c r="M119" s="129"/>
    </row>
    <row r="120" spans="12:13">
      <c r="L120" s="2"/>
      <c r="M120" s="129"/>
    </row>
    <row r="121" spans="12:13">
      <c r="L121" s="2"/>
      <c r="M121" s="129"/>
    </row>
    <row r="122" spans="12:13">
      <c r="L122" s="2"/>
      <c r="M122" s="129"/>
    </row>
    <row r="123" spans="12:13">
      <c r="L123" s="2"/>
      <c r="M123" s="129"/>
    </row>
    <row r="124" spans="12:13">
      <c r="L124" s="2"/>
      <c r="M124" s="129"/>
    </row>
    <row r="125" spans="12:13">
      <c r="L125" s="2"/>
      <c r="M125" s="129"/>
    </row>
    <row r="126" spans="12:13">
      <c r="L126" s="2"/>
      <c r="M126" s="129"/>
    </row>
    <row r="127" spans="12:13">
      <c r="L127" s="2"/>
      <c r="M127" s="129"/>
    </row>
    <row r="128" spans="12:13">
      <c r="L128" s="2"/>
      <c r="M128" s="129"/>
    </row>
    <row r="129" spans="12:13">
      <c r="L129" s="2"/>
      <c r="M129" s="129"/>
    </row>
    <row r="130" spans="12:13">
      <c r="L130" s="2"/>
      <c r="M130" s="129"/>
    </row>
    <row r="131" spans="12:13">
      <c r="L131" s="2"/>
      <c r="M131" s="129"/>
    </row>
    <row r="132" spans="12:13">
      <c r="L132" s="2"/>
      <c r="M132" s="129"/>
    </row>
    <row r="133" spans="12:13">
      <c r="L133" s="2"/>
      <c r="M133" s="129"/>
    </row>
    <row r="134" spans="12:13">
      <c r="L134" s="2"/>
      <c r="M134" s="129"/>
    </row>
    <row r="135" spans="12:13">
      <c r="L135" s="2"/>
      <c r="M135" s="129"/>
    </row>
    <row r="136" spans="12:13">
      <c r="L136" s="2"/>
      <c r="M136" s="129"/>
    </row>
    <row r="137" spans="12:13">
      <c r="L137" s="2"/>
      <c r="M137" s="129"/>
    </row>
    <row r="138" spans="12:13">
      <c r="L138" s="2"/>
      <c r="M138" s="129"/>
    </row>
    <row r="139" spans="12:13">
      <c r="L139" s="2"/>
      <c r="M139" s="129"/>
    </row>
    <row r="140" spans="12:13">
      <c r="L140" s="2"/>
      <c r="M140" s="129"/>
    </row>
    <row r="141" spans="12:13">
      <c r="L141" s="2"/>
      <c r="M141" s="129"/>
    </row>
    <row r="142" spans="12:13">
      <c r="L142" s="2"/>
      <c r="M142" s="129"/>
    </row>
    <row r="143" spans="12:13">
      <c r="L143" s="2"/>
      <c r="M143" s="129"/>
    </row>
    <row r="144" spans="12:13">
      <c r="L144" s="2"/>
      <c r="M144" s="129"/>
    </row>
    <row r="145" spans="12:13">
      <c r="L145" s="2"/>
      <c r="M145" s="129"/>
    </row>
    <row r="146" spans="12:13">
      <c r="L146" s="2"/>
      <c r="M146" s="129"/>
    </row>
    <row r="147" spans="12:13">
      <c r="L147" s="2"/>
      <c r="M147" s="129"/>
    </row>
    <row r="148" spans="12:13">
      <c r="L148" s="2"/>
      <c r="M148" s="129"/>
    </row>
    <row r="149" spans="12:13">
      <c r="L149" s="2"/>
      <c r="M149" s="129"/>
    </row>
    <row r="150" spans="12:13">
      <c r="L150" s="2"/>
      <c r="M150" s="129"/>
    </row>
    <row r="151" spans="12:13">
      <c r="L151" s="2"/>
      <c r="M151" s="129"/>
    </row>
    <row r="152" spans="12:13">
      <c r="L152" s="2"/>
      <c r="M152" s="129"/>
    </row>
    <row r="153" spans="12:13">
      <c r="L153" s="2"/>
      <c r="M153" s="129"/>
    </row>
    <row r="154" spans="12:13">
      <c r="L154" s="2"/>
      <c r="M154" s="129"/>
    </row>
    <row r="155" spans="12:13">
      <c r="L155" s="2"/>
      <c r="M155" s="129"/>
    </row>
    <row r="156" spans="12:13">
      <c r="L156" s="2"/>
      <c r="M156" s="129"/>
    </row>
    <row r="157" spans="12:13">
      <c r="L157" s="2"/>
      <c r="M157" s="129"/>
    </row>
    <row r="158" spans="12:13">
      <c r="L158" s="2"/>
      <c r="M158" s="129"/>
    </row>
    <row r="159" spans="12:13">
      <c r="L159" s="2"/>
      <c r="M159" s="129"/>
    </row>
    <row r="160" spans="12:13">
      <c r="L160" s="2"/>
      <c r="M160" s="129"/>
    </row>
    <row r="161" spans="12:13">
      <c r="L161" s="2"/>
      <c r="M161" s="129"/>
    </row>
    <row r="162" spans="12:13">
      <c r="L162" s="2"/>
      <c r="M162" s="129"/>
    </row>
    <row r="163" spans="12:13">
      <c r="L163" s="2"/>
      <c r="M163" s="129"/>
    </row>
    <row r="164" spans="12:13">
      <c r="L164" s="2"/>
      <c r="M164" s="129"/>
    </row>
    <row r="165" spans="12:13">
      <c r="L165" s="2"/>
      <c r="M165" s="129"/>
    </row>
    <row r="166" spans="12:13">
      <c r="L166" s="2"/>
      <c r="M166" s="129"/>
    </row>
    <row r="167" spans="12:13">
      <c r="L167" s="2"/>
      <c r="M167" s="129"/>
    </row>
    <row r="168" spans="12:13">
      <c r="L168" s="2"/>
      <c r="M168" s="129"/>
    </row>
    <row r="169" spans="12:13">
      <c r="L169" s="2"/>
      <c r="M169" s="129"/>
    </row>
    <row r="170" spans="12:13">
      <c r="L170" s="2"/>
      <c r="M170" s="129"/>
    </row>
    <row r="171" spans="12:13">
      <c r="L171" s="2"/>
      <c r="M171" s="129"/>
    </row>
    <row r="172" spans="12:13">
      <c r="L172" s="2"/>
      <c r="M172" s="129"/>
    </row>
    <row r="173" spans="12:13">
      <c r="L173" s="2"/>
      <c r="M173" s="129"/>
    </row>
    <row r="174" spans="12:13">
      <c r="L174" s="2"/>
      <c r="M174" s="129"/>
    </row>
    <row r="175" spans="12:13">
      <c r="L175" s="2"/>
      <c r="M175" s="129"/>
    </row>
    <row r="176" spans="12:13">
      <c r="L176" s="2"/>
      <c r="M176" s="129"/>
    </row>
    <row r="177" spans="12:13">
      <c r="L177" s="2"/>
      <c r="M177" s="129"/>
    </row>
    <row r="178" spans="12:13">
      <c r="L178" s="2"/>
      <c r="M178" s="129"/>
    </row>
    <row r="179" spans="12:13">
      <c r="L179" s="2"/>
      <c r="M179" s="129"/>
    </row>
    <row r="180" spans="12:13">
      <c r="L180" s="2"/>
      <c r="M180" s="129"/>
    </row>
    <row r="181" spans="12:13">
      <c r="L181" s="2"/>
      <c r="M181" s="129"/>
    </row>
    <row r="182" spans="12:13">
      <c r="L182" s="2"/>
      <c r="M182" s="129"/>
    </row>
    <row r="183" spans="12:13">
      <c r="L183" s="2"/>
      <c r="M183" s="129"/>
    </row>
    <row r="184" spans="12:13">
      <c r="L184" s="2"/>
      <c r="M184" s="129"/>
    </row>
    <row r="185" spans="12:13">
      <c r="L185" s="2"/>
      <c r="M185" s="129"/>
    </row>
    <row r="186" spans="12:13">
      <c r="L186" s="2"/>
      <c r="M186" s="129"/>
    </row>
    <row r="187" spans="12:13">
      <c r="L187" s="2"/>
      <c r="M187" s="129"/>
    </row>
    <row r="188" spans="12:13">
      <c r="L188" s="2"/>
      <c r="M188" s="129"/>
    </row>
    <row r="189" spans="12:13">
      <c r="L189" s="2"/>
      <c r="M189" s="129"/>
    </row>
    <row r="190" spans="12:13">
      <c r="L190" s="2"/>
      <c r="M190" s="129"/>
    </row>
    <row r="191" spans="12:13">
      <c r="L191" s="2"/>
      <c r="M191" s="129"/>
    </row>
    <row r="192" spans="12:13">
      <c r="L192" s="2"/>
      <c r="M192" s="129"/>
    </row>
    <row r="193" spans="12:13">
      <c r="L193" s="2"/>
      <c r="M193" s="129"/>
    </row>
    <row r="194" spans="12:13">
      <c r="L194" s="2"/>
      <c r="M194" s="129"/>
    </row>
    <row r="195" spans="12:13">
      <c r="L195" s="2"/>
      <c r="M195" s="129"/>
    </row>
    <row r="196" spans="12:13">
      <c r="L196" s="2"/>
      <c r="M196" s="129"/>
    </row>
    <row r="197" spans="12:13">
      <c r="L197" s="2"/>
      <c r="M197" s="129"/>
    </row>
    <row r="198" spans="12:13">
      <c r="L198" s="2"/>
      <c r="M198" s="129"/>
    </row>
    <row r="199" spans="12:13">
      <c r="L199" s="2"/>
      <c r="M199" s="129"/>
    </row>
    <row r="200" spans="12:13">
      <c r="L200" s="2"/>
      <c r="M200" s="129"/>
    </row>
    <row r="201" spans="12:13">
      <c r="L201" s="2"/>
      <c r="M201" s="129"/>
    </row>
    <row r="202" spans="12:13">
      <c r="L202" s="2"/>
      <c r="M202" s="129"/>
    </row>
    <row r="203" spans="12:13">
      <c r="L203" s="2"/>
      <c r="M203" s="129"/>
    </row>
    <row r="204" spans="12:13">
      <c r="L204" s="2"/>
      <c r="M204" s="129"/>
    </row>
    <row r="205" spans="12:13">
      <c r="L205" s="2"/>
      <c r="M205" s="129"/>
    </row>
    <row r="206" spans="12:13">
      <c r="L206" s="2"/>
      <c r="M206" s="129"/>
    </row>
    <row r="207" spans="12:13">
      <c r="L207" s="2"/>
      <c r="M207" s="129"/>
    </row>
    <row r="208" spans="12:13">
      <c r="L208" s="2"/>
      <c r="M208" s="129"/>
    </row>
    <row r="209" spans="12:13">
      <c r="L209" s="2"/>
      <c r="M209" s="129"/>
    </row>
    <row r="210" spans="12:13">
      <c r="L210" s="2"/>
      <c r="M210" s="129"/>
    </row>
    <row r="211" spans="12:13">
      <c r="L211" s="2"/>
      <c r="M211" s="129"/>
    </row>
    <row r="212" spans="12:13">
      <c r="L212" s="2"/>
      <c r="M212" s="129"/>
    </row>
    <row r="213" spans="12:13">
      <c r="L213" s="2"/>
      <c r="M213" s="129"/>
    </row>
    <row r="214" spans="12:13">
      <c r="L214" s="2"/>
      <c r="M214" s="129"/>
    </row>
    <row r="215" spans="12:13">
      <c r="L215" s="2"/>
      <c r="M215" s="129"/>
    </row>
    <row r="216" spans="12:13">
      <c r="L216" s="2"/>
      <c r="M216" s="129"/>
    </row>
    <row r="217" spans="12:13">
      <c r="L217" s="2"/>
      <c r="M217" s="129"/>
    </row>
    <row r="218" spans="12:13">
      <c r="L218" s="2"/>
      <c r="M218" s="129"/>
    </row>
    <row r="219" spans="12:13">
      <c r="L219" s="2"/>
      <c r="M219" s="129"/>
    </row>
    <row r="220" spans="12:13">
      <c r="L220" s="2"/>
      <c r="M220" s="129"/>
    </row>
    <row r="221" spans="12:13">
      <c r="L221" s="2"/>
      <c r="M221" s="129"/>
    </row>
    <row r="222" spans="12:13">
      <c r="L222" s="2"/>
      <c r="M222" s="129"/>
    </row>
    <row r="223" spans="12:13">
      <c r="L223" s="2"/>
      <c r="M223" s="129"/>
    </row>
    <row r="224" spans="12:13">
      <c r="L224" s="2"/>
      <c r="M224" s="129"/>
    </row>
    <row r="225" spans="12:13">
      <c r="L225" s="2"/>
      <c r="M225" s="129"/>
    </row>
    <row r="226" spans="12:13">
      <c r="L226" s="2"/>
      <c r="M226" s="129"/>
    </row>
    <row r="227" spans="12:13">
      <c r="L227" s="2"/>
      <c r="M227" s="129"/>
    </row>
    <row r="228" spans="12:13">
      <c r="L228" s="2"/>
      <c r="M228" s="129"/>
    </row>
    <row r="229" spans="12:13">
      <c r="L229" s="2"/>
      <c r="M229" s="129"/>
    </row>
    <row r="230" spans="12:13">
      <c r="L230" s="2"/>
      <c r="M230" s="129"/>
    </row>
    <row r="231" spans="12:13">
      <c r="L231" s="2"/>
      <c r="M231" s="129"/>
    </row>
    <row r="232" spans="12:13">
      <c r="L232" s="2"/>
      <c r="M232" s="129"/>
    </row>
    <row r="233" spans="12:13">
      <c r="L233" s="2"/>
      <c r="M233" s="129"/>
    </row>
    <row r="234" spans="12:13">
      <c r="L234" s="2"/>
      <c r="M234" s="129"/>
    </row>
    <row r="235" spans="12:13">
      <c r="L235" s="2"/>
      <c r="M235" s="129"/>
    </row>
    <row r="236" spans="12:13">
      <c r="L236" s="2"/>
      <c r="M236" s="129"/>
    </row>
    <row r="237" spans="12:13">
      <c r="L237" s="2"/>
      <c r="M237" s="129"/>
    </row>
    <row r="238" spans="12:13">
      <c r="L238" s="2"/>
      <c r="M238" s="129"/>
    </row>
    <row r="239" spans="12:13">
      <c r="L239" s="2"/>
      <c r="M239" s="129"/>
    </row>
    <row r="240" spans="12:13">
      <c r="L240" s="2"/>
      <c r="M240" s="129"/>
    </row>
    <row r="241" spans="12:13">
      <c r="L241" s="2"/>
      <c r="M241" s="129"/>
    </row>
    <row r="242" spans="12:13">
      <c r="L242" s="2"/>
      <c r="M242" s="129"/>
    </row>
    <row r="243" spans="12:13">
      <c r="L243" s="2"/>
      <c r="M243" s="129"/>
    </row>
    <row r="244" spans="12:13">
      <c r="L244" s="2"/>
      <c r="M244" s="129"/>
    </row>
    <row r="245" spans="12:13">
      <c r="L245" s="2"/>
      <c r="M245" s="129"/>
    </row>
    <row r="246" spans="12:13">
      <c r="L246" s="2"/>
      <c r="M246" s="129"/>
    </row>
    <row r="247" spans="12:13">
      <c r="L247" s="2"/>
      <c r="M247" s="129"/>
    </row>
    <row r="248" spans="12:13">
      <c r="L248" s="2"/>
      <c r="M248" s="129"/>
    </row>
    <row r="249" spans="12:13">
      <c r="L249" s="2"/>
      <c r="M249" s="129"/>
    </row>
    <row r="250" spans="12:13">
      <c r="L250" s="2"/>
      <c r="M250" s="129"/>
    </row>
    <row r="251" spans="12:13">
      <c r="L251" s="2"/>
      <c r="M251" s="129"/>
    </row>
    <row r="252" spans="12:13">
      <c r="L252" s="2"/>
      <c r="M252" s="129"/>
    </row>
    <row r="253" spans="12:13">
      <c r="L253" s="2"/>
      <c r="M253" s="129"/>
    </row>
    <row r="254" spans="12:13">
      <c r="L254" s="2"/>
      <c r="M254" s="129"/>
    </row>
    <row r="255" spans="12:13">
      <c r="L255" s="2"/>
      <c r="M255" s="129"/>
    </row>
    <row r="256" spans="12:13">
      <c r="L256" s="2"/>
      <c r="M256" s="129"/>
    </row>
    <row r="257" spans="12:13">
      <c r="L257" s="2"/>
      <c r="M257" s="129"/>
    </row>
    <row r="258" spans="12:13">
      <c r="L258" s="2"/>
      <c r="M258" s="129"/>
    </row>
    <row r="259" spans="12:13">
      <c r="L259" s="2"/>
      <c r="M259" s="129"/>
    </row>
    <row r="260" spans="12:13">
      <c r="L260" s="2"/>
      <c r="M260" s="129"/>
    </row>
    <row r="261" spans="12:13">
      <c r="L261" s="2"/>
      <c r="M261" s="129"/>
    </row>
    <row r="262" spans="12:13">
      <c r="L262" s="2"/>
      <c r="M262" s="129"/>
    </row>
    <row r="263" spans="12:13">
      <c r="L263" s="2"/>
      <c r="M263" s="129"/>
    </row>
    <row r="264" spans="12:13">
      <c r="L264" s="2"/>
      <c r="M264" s="129"/>
    </row>
    <row r="265" spans="12:13">
      <c r="L265" s="2"/>
      <c r="M265" s="129"/>
    </row>
    <row r="266" spans="12:13">
      <c r="L266" s="2"/>
      <c r="M266" s="129"/>
    </row>
    <row r="267" spans="12:13">
      <c r="L267" s="2"/>
      <c r="M267" s="129"/>
    </row>
    <row r="268" spans="12:13">
      <c r="L268" s="2"/>
      <c r="M268" s="129"/>
    </row>
    <row r="269" spans="12:13">
      <c r="L269" s="2"/>
      <c r="M269" s="129"/>
    </row>
    <row r="270" spans="12:13">
      <c r="L270" s="2"/>
      <c r="M270" s="129"/>
    </row>
    <row r="271" spans="12:13">
      <c r="L271" s="2"/>
      <c r="M271" s="129"/>
    </row>
    <row r="272" spans="12:13">
      <c r="L272" s="2"/>
      <c r="M272" s="129"/>
    </row>
    <row r="273" spans="12:13">
      <c r="L273" s="2"/>
      <c r="M273" s="129"/>
    </row>
    <row r="274" spans="12:13">
      <c r="L274" s="2"/>
      <c r="M274" s="129"/>
    </row>
    <row r="275" spans="12:13">
      <c r="L275" s="2"/>
      <c r="M275" s="129"/>
    </row>
    <row r="276" spans="12:13">
      <c r="L276" s="2"/>
      <c r="M276" s="129"/>
    </row>
    <row r="277" spans="12:13">
      <c r="L277" s="2"/>
      <c r="M277" s="129"/>
    </row>
    <row r="278" spans="12:13">
      <c r="L278" s="2"/>
      <c r="M278" s="129"/>
    </row>
    <row r="279" spans="12:13">
      <c r="L279" s="2"/>
      <c r="M279" s="129"/>
    </row>
    <row r="280" spans="12:13">
      <c r="L280" s="2"/>
      <c r="M280" s="129"/>
    </row>
    <row r="281" spans="12:13">
      <c r="L281" s="2"/>
      <c r="M281" s="129"/>
    </row>
    <row r="282" spans="12:13">
      <c r="L282" s="2"/>
      <c r="M282" s="129"/>
    </row>
    <row r="283" spans="12:13">
      <c r="L283" s="2"/>
      <c r="M283" s="129"/>
    </row>
    <row r="284" spans="12:13">
      <c r="L284" s="2"/>
      <c r="M284" s="129"/>
    </row>
    <row r="285" spans="12:13">
      <c r="L285" s="2"/>
      <c r="M285" s="129"/>
    </row>
    <row r="286" spans="12:13">
      <c r="L286" s="2"/>
      <c r="M286" s="129"/>
    </row>
    <row r="287" spans="12:13">
      <c r="L287" s="2"/>
      <c r="M287" s="129"/>
    </row>
    <row r="288" spans="12:13">
      <c r="L288" s="2"/>
      <c r="M288" s="129"/>
    </row>
    <row r="289" spans="12:13">
      <c r="L289" s="2"/>
      <c r="M289" s="129"/>
    </row>
    <row r="290" spans="12:13">
      <c r="L290" s="2"/>
      <c r="M290" s="129"/>
    </row>
    <row r="291" spans="12:13">
      <c r="L291" s="2"/>
      <c r="M291" s="129"/>
    </row>
    <row r="292" spans="12:13">
      <c r="L292" s="2"/>
      <c r="M292" s="129"/>
    </row>
    <row r="293" spans="12:13">
      <c r="L293" s="2"/>
      <c r="M293" s="129"/>
    </row>
    <row r="294" spans="12:13">
      <c r="L294" s="2"/>
      <c r="M294" s="129"/>
    </row>
    <row r="295" spans="12:13">
      <c r="L295" s="2"/>
      <c r="M295" s="129"/>
    </row>
    <row r="296" spans="12:13">
      <c r="L296" s="2"/>
      <c r="M296" s="129"/>
    </row>
    <row r="297" spans="12:13">
      <c r="L297" s="2"/>
      <c r="M297" s="129"/>
    </row>
    <row r="298" spans="12:13">
      <c r="L298" s="2"/>
      <c r="M298" s="129"/>
    </row>
    <row r="299" spans="12:13">
      <c r="L299" s="2"/>
      <c r="M299" s="129"/>
    </row>
    <row r="300" spans="12:13">
      <c r="L300" s="2"/>
      <c r="M300" s="129"/>
    </row>
    <row r="301" spans="12:13">
      <c r="L301" s="2"/>
      <c r="M301" s="129"/>
    </row>
    <row r="302" spans="12:13">
      <c r="L302" s="2"/>
      <c r="M302" s="129"/>
    </row>
    <row r="303" spans="12:13">
      <c r="L303" s="2"/>
      <c r="M303" s="129"/>
    </row>
    <row r="304" spans="12:13">
      <c r="L304" s="2"/>
      <c r="M304" s="129"/>
    </row>
    <row r="305" spans="12:13">
      <c r="L305" s="2"/>
      <c r="M305" s="129"/>
    </row>
    <row r="306" spans="12:13">
      <c r="L306" s="2"/>
      <c r="M306" s="129"/>
    </row>
    <row r="307" spans="12:13">
      <c r="L307" s="2"/>
      <c r="M307" s="129"/>
    </row>
    <row r="308" spans="12:13">
      <c r="L308" s="2"/>
      <c r="M308" s="129"/>
    </row>
    <row r="309" spans="12:13">
      <c r="L309" s="2"/>
      <c r="M309" s="129"/>
    </row>
    <row r="310" spans="12:13">
      <c r="L310" s="2"/>
      <c r="M310" s="129"/>
    </row>
    <row r="311" spans="12:13">
      <c r="L311" s="2"/>
      <c r="M311" s="129"/>
    </row>
    <row r="312" spans="12:13">
      <c r="L312" s="2"/>
      <c r="M312" s="129"/>
    </row>
    <row r="313" spans="12:13">
      <c r="L313" s="2"/>
      <c r="M313" s="129"/>
    </row>
    <row r="314" spans="12:13">
      <c r="L314" s="2"/>
      <c r="M314" s="129"/>
    </row>
    <row r="315" spans="12:13">
      <c r="L315" s="2"/>
      <c r="M315" s="129"/>
    </row>
    <row r="316" spans="12:13">
      <c r="L316" s="2"/>
      <c r="M316" s="129"/>
    </row>
    <row r="317" spans="12:13">
      <c r="L317" s="2"/>
      <c r="M317" s="129"/>
    </row>
    <row r="318" spans="12:13">
      <c r="L318" s="2"/>
      <c r="M318" s="129"/>
    </row>
    <row r="319" spans="12:13">
      <c r="L319" s="2"/>
      <c r="M319" s="129"/>
    </row>
    <row r="320" spans="12:13">
      <c r="L320" s="2"/>
      <c r="M320" s="129"/>
    </row>
    <row r="321" spans="12:13">
      <c r="L321" s="2"/>
      <c r="M321" s="129"/>
    </row>
    <row r="322" spans="12:13">
      <c r="L322" s="2"/>
      <c r="M322" s="129"/>
    </row>
    <row r="323" spans="12:13">
      <c r="L323" s="2"/>
      <c r="M323" s="129"/>
    </row>
    <row r="324" spans="12:13">
      <c r="L324" s="2"/>
      <c r="M324" s="129"/>
    </row>
    <row r="325" spans="12:13">
      <c r="L325" s="2"/>
      <c r="M325" s="129"/>
    </row>
    <row r="326" spans="12:13">
      <c r="L326" s="2"/>
      <c r="M326" s="129"/>
    </row>
    <row r="327" spans="12:13">
      <c r="L327" s="2"/>
      <c r="M327" s="129"/>
    </row>
    <row r="328" spans="12:13">
      <c r="L328" s="2"/>
      <c r="M328" s="129"/>
    </row>
    <row r="329" spans="12:13">
      <c r="L329" s="2"/>
      <c r="M329" s="129"/>
    </row>
    <row r="330" spans="12:13">
      <c r="L330" s="2"/>
      <c r="M330" s="129"/>
    </row>
    <row r="331" spans="12:13">
      <c r="L331" s="2"/>
      <c r="M331" s="129"/>
    </row>
    <row r="332" spans="12:13">
      <c r="L332" s="2"/>
      <c r="M332" s="129"/>
    </row>
    <row r="333" spans="12:13">
      <c r="L333" s="2"/>
      <c r="M333" s="129"/>
    </row>
    <row r="334" spans="12:13">
      <c r="L334" s="2"/>
      <c r="M334" s="129"/>
    </row>
    <row r="335" spans="12:13">
      <c r="L335" s="2"/>
      <c r="M335" s="129"/>
    </row>
    <row r="336" spans="12:13">
      <c r="L336" s="2"/>
      <c r="M336" s="129"/>
    </row>
    <row r="337" spans="12:13">
      <c r="L337" s="2"/>
      <c r="M337" s="129"/>
    </row>
    <row r="338" spans="12:13">
      <c r="L338" s="2"/>
      <c r="M338" s="129"/>
    </row>
    <row r="339" spans="12:13">
      <c r="L339" s="2"/>
      <c r="M339" s="129"/>
    </row>
    <row r="340" spans="12:13">
      <c r="L340" s="2"/>
      <c r="M340" s="129"/>
    </row>
    <row r="341" spans="12:13">
      <c r="L341" s="2"/>
      <c r="M341" s="129"/>
    </row>
    <row r="342" spans="12:13">
      <c r="L342" s="2"/>
      <c r="M342" s="129"/>
    </row>
    <row r="343" spans="12:13">
      <c r="L343" s="2"/>
      <c r="M343" s="129"/>
    </row>
    <row r="344" spans="12:13">
      <c r="L344" s="2"/>
      <c r="M344" s="129"/>
    </row>
    <row r="345" spans="12:13">
      <c r="L345" s="2"/>
      <c r="M345" s="129"/>
    </row>
    <row r="346" spans="12:13">
      <c r="L346" s="2"/>
      <c r="M346" s="129"/>
    </row>
    <row r="347" spans="12:13">
      <c r="L347" s="2"/>
      <c r="M347" s="129"/>
    </row>
    <row r="348" spans="12:13">
      <c r="L348" s="2"/>
      <c r="M348" s="129"/>
    </row>
    <row r="349" spans="12:13">
      <c r="L349" s="2"/>
      <c r="M349" s="129"/>
    </row>
    <row r="350" spans="12:13">
      <c r="L350" s="2"/>
      <c r="M350" s="129"/>
    </row>
    <row r="351" spans="12:13">
      <c r="L351" s="2"/>
      <c r="M351" s="129"/>
    </row>
    <row r="352" spans="12:13">
      <c r="L352" s="2"/>
      <c r="M352" s="129"/>
    </row>
    <row r="353" spans="12:13">
      <c r="L353" s="2"/>
      <c r="M353" s="129"/>
    </row>
    <row r="354" spans="12:13">
      <c r="L354" s="2"/>
      <c r="M354" s="129"/>
    </row>
    <row r="355" spans="12:13">
      <c r="L355" s="2"/>
      <c r="M355" s="129"/>
    </row>
    <row r="356" spans="12:13">
      <c r="L356" s="2"/>
      <c r="M356" s="129"/>
    </row>
    <row r="357" spans="12:13">
      <c r="L357" s="2"/>
      <c r="M357" s="129"/>
    </row>
    <row r="358" spans="12:13">
      <c r="L358" s="2"/>
      <c r="M358" s="129"/>
    </row>
    <row r="359" spans="12:13">
      <c r="L359" s="2"/>
      <c r="M359" s="129"/>
    </row>
    <row r="360" spans="12:13">
      <c r="L360" s="2"/>
      <c r="M360" s="129"/>
    </row>
    <row r="361" spans="12:13">
      <c r="L361" s="2"/>
      <c r="M361" s="129"/>
    </row>
    <row r="362" spans="12:13">
      <c r="L362" s="2"/>
      <c r="M362" s="129"/>
    </row>
    <row r="363" spans="12:13">
      <c r="L363" s="2"/>
      <c r="M363" s="129"/>
    </row>
    <row r="364" spans="12:13">
      <c r="L364" s="2"/>
      <c r="M364" s="129"/>
    </row>
    <row r="365" spans="12:13">
      <c r="L365" s="2"/>
      <c r="M365" s="129"/>
    </row>
    <row r="366" spans="12:13">
      <c r="L366" s="2"/>
      <c r="M366" s="129"/>
    </row>
    <row r="367" spans="12:13">
      <c r="L367" s="2"/>
      <c r="M367" s="129"/>
    </row>
    <row r="368" spans="12:13">
      <c r="L368" s="2"/>
      <c r="M368" s="129"/>
    </row>
    <row r="369" spans="12:13">
      <c r="L369" s="2"/>
      <c r="M369" s="129"/>
    </row>
    <row r="370" spans="12:13">
      <c r="L370" s="2"/>
      <c r="M370" s="129"/>
    </row>
    <row r="371" spans="12:13">
      <c r="L371" s="2"/>
      <c r="M371" s="129"/>
    </row>
    <row r="372" spans="12:13">
      <c r="L372" s="2"/>
      <c r="M372" s="129"/>
    </row>
    <row r="373" spans="12:13">
      <c r="L373" s="2"/>
      <c r="M373" s="129"/>
    </row>
    <row r="374" spans="12:13">
      <c r="L374" s="2"/>
      <c r="M374" s="129"/>
    </row>
    <row r="375" spans="12:13">
      <c r="L375" s="2"/>
      <c r="M375" s="129"/>
    </row>
    <row r="376" spans="12:13">
      <c r="L376" s="2"/>
      <c r="M376" s="129"/>
    </row>
    <row r="377" spans="12:13">
      <c r="L377" s="2"/>
      <c r="M377" s="129"/>
    </row>
    <row r="378" spans="12:13">
      <c r="L378" s="2"/>
      <c r="M378" s="129"/>
    </row>
    <row r="379" spans="12:13">
      <c r="L379" s="2"/>
      <c r="M379" s="129"/>
    </row>
    <row r="380" spans="12:13">
      <c r="L380" s="2"/>
      <c r="M380" s="129"/>
    </row>
    <row r="381" spans="12:13">
      <c r="L381" s="2"/>
      <c r="M381" s="129"/>
    </row>
    <row r="382" spans="12:13">
      <c r="L382" s="2"/>
      <c r="M382" s="129"/>
    </row>
    <row r="383" spans="12:13">
      <c r="L383" s="2"/>
      <c r="M383" s="129"/>
    </row>
    <row r="384" spans="12:13">
      <c r="L384" s="2"/>
      <c r="M384" s="129"/>
    </row>
    <row r="385" spans="12:13">
      <c r="L385" s="2"/>
      <c r="M385" s="129"/>
    </row>
    <row r="386" spans="12:13">
      <c r="L386" s="2"/>
      <c r="M386" s="129"/>
    </row>
    <row r="387" spans="12:13">
      <c r="L387" s="2"/>
      <c r="M387" s="129"/>
    </row>
    <row r="388" spans="12:13">
      <c r="L388" s="2"/>
      <c r="M388" s="129"/>
    </row>
    <row r="389" spans="12:13">
      <c r="L389" s="2"/>
      <c r="M389" s="129"/>
    </row>
    <row r="390" spans="12:13">
      <c r="L390" s="2"/>
      <c r="M390" s="129"/>
    </row>
    <row r="391" spans="12:13">
      <c r="L391" s="2"/>
      <c r="M391" s="129"/>
    </row>
    <row r="392" spans="12:13">
      <c r="L392" s="2"/>
      <c r="M392" s="129"/>
    </row>
    <row r="393" spans="12:13">
      <c r="L393" s="2"/>
      <c r="M393" s="129"/>
    </row>
    <row r="394" spans="12:13">
      <c r="L394" s="2"/>
      <c r="M394" s="129"/>
    </row>
    <row r="395" spans="12:13">
      <c r="L395" s="2"/>
      <c r="M395" s="129"/>
    </row>
    <row r="396" spans="12:13">
      <c r="L396" s="2"/>
      <c r="M396" s="129"/>
    </row>
    <row r="397" spans="12:13">
      <c r="L397" s="2"/>
      <c r="M397" s="129"/>
    </row>
    <row r="398" spans="12:13">
      <c r="L398" s="2"/>
      <c r="M398" s="129"/>
    </row>
    <row r="399" spans="12:13">
      <c r="L399" s="2"/>
      <c r="M399" s="129"/>
    </row>
    <row r="400" spans="12:13">
      <c r="L400" s="2"/>
      <c r="M400" s="129"/>
    </row>
    <row r="401" spans="12:13">
      <c r="L401" s="2"/>
      <c r="M401" s="129"/>
    </row>
    <row r="402" spans="12:13">
      <c r="L402" s="2"/>
      <c r="M402" s="129"/>
    </row>
    <row r="403" spans="12:13">
      <c r="L403" s="2"/>
      <c r="M403" s="129"/>
    </row>
    <row r="404" spans="12:13">
      <c r="L404" s="2"/>
      <c r="M404" s="129"/>
    </row>
    <row r="405" spans="12:13">
      <c r="L405" s="2"/>
      <c r="M405" s="129"/>
    </row>
    <row r="406" spans="12:13">
      <c r="L406" s="2"/>
      <c r="M406" s="129"/>
    </row>
    <row r="407" spans="12:13">
      <c r="L407" s="2"/>
      <c r="M407" s="129"/>
    </row>
    <row r="408" spans="12:13">
      <c r="L408" s="2"/>
      <c r="M408" s="129"/>
    </row>
    <row r="409" spans="12:13">
      <c r="L409" s="2"/>
      <c r="M409" s="129"/>
    </row>
    <row r="410" spans="12:13">
      <c r="L410" s="2"/>
      <c r="M410" s="129"/>
    </row>
    <row r="411" spans="12:13">
      <c r="L411" s="2"/>
      <c r="M411" s="129"/>
    </row>
    <row r="412" spans="12:13">
      <c r="L412" s="2"/>
      <c r="M412" s="129"/>
    </row>
    <row r="413" spans="12:13">
      <c r="L413" s="2"/>
      <c r="M413" s="129"/>
    </row>
    <row r="414" spans="12:13">
      <c r="L414" s="2"/>
      <c r="M414" s="129"/>
    </row>
    <row r="415" spans="12:13">
      <c r="L415" s="2"/>
      <c r="M415" s="129"/>
    </row>
    <row r="416" spans="12:13">
      <c r="L416" s="2"/>
      <c r="M416" s="129"/>
    </row>
    <row r="417" spans="12:13">
      <c r="L417" s="2"/>
      <c r="M417" s="129"/>
    </row>
    <row r="418" spans="12:13">
      <c r="L418" s="2"/>
      <c r="M418" s="129"/>
    </row>
    <row r="419" spans="12:13">
      <c r="L419" s="2"/>
      <c r="M419" s="129"/>
    </row>
    <row r="420" spans="12:13">
      <c r="L420" s="2"/>
      <c r="M420" s="129"/>
    </row>
    <row r="421" spans="12:13">
      <c r="L421" s="2"/>
      <c r="M421" s="129"/>
    </row>
    <row r="422" spans="12:13">
      <c r="L422" s="2"/>
      <c r="M422" s="129"/>
    </row>
    <row r="423" spans="12:13">
      <c r="L423" s="2"/>
      <c r="M423" s="129"/>
    </row>
    <row r="424" spans="12:13">
      <c r="L424" s="2"/>
      <c r="M424" s="129"/>
    </row>
    <row r="425" spans="12:13">
      <c r="L425" s="2"/>
      <c r="M425" s="129"/>
    </row>
    <row r="426" spans="12:13">
      <c r="L426" s="2"/>
      <c r="M426" s="129"/>
    </row>
    <row r="427" spans="12:13">
      <c r="L427" s="2"/>
      <c r="M427" s="129"/>
    </row>
    <row r="428" spans="12:13">
      <c r="L428" s="2"/>
      <c r="M428" s="129"/>
    </row>
    <row r="429" spans="12:13">
      <c r="L429" s="2"/>
      <c r="M429" s="129"/>
    </row>
    <row r="430" spans="12:13">
      <c r="L430" s="2"/>
      <c r="M430" s="129"/>
    </row>
    <row r="431" spans="12:13">
      <c r="L431" s="2"/>
      <c r="M431" s="129"/>
    </row>
    <row r="432" spans="12:13">
      <c r="L432" s="2"/>
      <c r="M432" s="129"/>
    </row>
    <row r="433" spans="12:13">
      <c r="L433" s="2"/>
      <c r="M433" s="129"/>
    </row>
    <row r="434" spans="12:13">
      <c r="L434" s="2"/>
      <c r="M434" s="129"/>
    </row>
    <row r="435" spans="12:13">
      <c r="L435" s="2"/>
      <c r="M435" s="129"/>
    </row>
    <row r="436" spans="12:13">
      <c r="L436" s="2"/>
      <c r="M436" s="129"/>
    </row>
    <row r="437" spans="12:13">
      <c r="L437" s="2"/>
      <c r="M437" s="129"/>
    </row>
    <row r="438" spans="12:13">
      <c r="L438" s="2"/>
      <c r="M438" s="129"/>
    </row>
    <row r="439" spans="12:13">
      <c r="L439" s="2"/>
      <c r="M439" s="129"/>
    </row>
    <row r="440" spans="12:13">
      <c r="L440" s="2"/>
      <c r="M440" s="129"/>
    </row>
    <row r="441" spans="12:13">
      <c r="L441" s="2"/>
      <c r="M441" s="129"/>
    </row>
    <row r="442" spans="12:13">
      <c r="L442" s="2"/>
      <c r="M442" s="129"/>
    </row>
    <row r="443" spans="12:13">
      <c r="L443" s="2"/>
      <c r="M443" s="129"/>
    </row>
    <row r="444" spans="12:13">
      <c r="L444" s="2"/>
      <c r="M444" s="129"/>
    </row>
    <row r="445" spans="12:13">
      <c r="L445" s="2"/>
      <c r="M445" s="129"/>
    </row>
    <row r="446" spans="12:13">
      <c r="L446" s="2"/>
      <c r="M446" s="129"/>
    </row>
    <row r="447" spans="12:13">
      <c r="L447" s="2"/>
      <c r="M447" s="129"/>
    </row>
    <row r="448" spans="12:13">
      <c r="L448" s="2"/>
      <c r="M448" s="129"/>
    </row>
    <row r="449" spans="12:13">
      <c r="L449" s="2"/>
      <c r="M449" s="129"/>
    </row>
    <row r="450" spans="12:13">
      <c r="L450" s="2"/>
      <c r="M450" s="129"/>
    </row>
    <row r="451" spans="12:13">
      <c r="L451" s="2"/>
      <c r="M451" s="129"/>
    </row>
    <row r="452" spans="12:13">
      <c r="L452" s="2"/>
      <c r="M452" s="129"/>
    </row>
    <row r="453" spans="12:13">
      <c r="L453" s="2"/>
      <c r="M453" s="129"/>
    </row>
    <row r="454" spans="12:13">
      <c r="L454" s="2"/>
      <c r="M454" s="129"/>
    </row>
    <row r="455" spans="12:13">
      <c r="L455" s="2"/>
      <c r="M455" s="129"/>
    </row>
    <row r="456" spans="12:13">
      <c r="L456" s="2"/>
      <c r="M456" s="129"/>
    </row>
    <row r="457" spans="12:13">
      <c r="L457" s="2"/>
      <c r="M457" s="129"/>
    </row>
    <row r="458" spans="12:13">
      <c r="L458" s="2"/>
      <c r="M458" s="129"/>
    </row>
    <row r="459" spans="12:13">
      <c r="L459" s="2"/>
      <c r="M459" s="129"/>
    </row>
    <row r="460" spans="12:13">
      <c r="L460" s="2"/>
      <c r="M460" s="129"/>
    </row>
    <row r="461" spans="12:13">
      <c r="L461" s="2"/>
      <c r="M461" s="129"/>
    </row>
    <row r="462" spans="12:13">
      <c r="L462" s="2"/>
      <c r="M462" s="129"/>
    </row>
    <row r="463" spans="12:13">
      <c r="L463" s="2"/>
      <c r="M463" s="129"/>
    </row>
    <row r="464" spans="12:13">
      <c r="L464" s="2"/>
      <c r="M464" s="129"/>
    </row>
    <row r="465" spans="12:13">
      <c r="L465" s="2"/>
      <c r="M465" s="129"/>
    </row>
    <row r="466" spans="12:13">
      <c r="L466" s="2"/>
      <c r="M466" s="129"/>
    </row>
    <row r="467" spans="12:13">
      <c r="L467" s="2"/>
      <c r="M467" s="129"/>
    </row>
    <row r="468" spans="12:13">
      <c r="L468" s="2"/>
      <c r="M468" s="129"/>
    </row>
    <row r="469" spans="12:13">
      <c r="L469" s="2"/>
      <c r="M469" s="129"/>
    </row>
    <row r="470" spans="12:13">
      <c r="L470" s="2"/>
      <c r="M470" s="129"/>
    </row>
    <row r="471" spans="12:13">
      <c r="L471" s="2"/>
      <c r="M471" s="129"/>
    </row>
    <row r="472" spans="12:13">
      <c r="L472" s="2"/>
      <c r="M472" s="129"/>
    </row>
    <row r="473" spans="12:13">
      <c r="L473" s="2"/>
      <c r="M473" s="129"/>
    </row>
    <row r="474" spans="12:13">
      <c r="L474" s="2"/>
      <c r="M474" s="129"/>
    </row>
    <row r="475" spans="12:13">
      <c r="L475" s="2"/>
      <c r="M475" s="129"/>
    </row>
    <row r="476" spans="12:13">
      <c r="L476" s="2"/>
      <c r="M476" s="129"/>
    </row>
    <row r="477" spans="12:13">
      <c r="L477" s="2"/>
      <c r="M477" s="129"/>
    </row>
    <row r="478" spans="12:13">
      <c r="L478" s="2"/>
      <c r="M478" s="129"/>
    </row>
    <row r="479" spans="12:13">
      <c r="L479" s="2"/>
      <c r="M479" s="129"/>
    </row>
    <row r="480" spans="12:13">
      <c r="L480" s="2"/>
      <c r="M480" s="129"/>
    </row>
    <row r="481" spans="12:13">
      <c r="L481" s="2"/>
      <c r="M481" s="129"/>
    </row>
    <row r="482" spans="12:13">
      <c r="L482" s="2"/>
      <c r="M482" s="129"/>
    </row>
    <row r="483" spans="12:13">
      <c r="L483" s="2"/>
      <c r="M483" s="129"/>
    </row>
    <row r="484" spans="12:13">
      <c r="L484" s="2"/>
      <c r="M484" s="129"/>
    </row>
    <row r="485" spans="12:13">
      <c r="L485" s="2"/>
      <c r="M485" s="129"/>
    </row>
    <row r="486" spans="12:13">
      <c r="L486" s="2"/>
      <c r="M486" s="129"/>
    </row>
    <row r="487" spans="12:13">
      <c r="L487" s="2"/>
      <c r="M487" s="129"/>
    </row>
    <row r="488" spans="12:13">
      <c r="L488" s="2"/>
      <c r="M488" s="129"/>
    </row>
    <row r="489" spans="12:13">
      <c r="L489" s="2"/>
      <c r="M489" s="129"/>
    </row>
    <row r="490" spans="12:13">
      <c r="L490" s="2"/>
      <c r="M490" s="129"/>
    </row>
    <row r="491" spans="12:13">
      <c r="L491" s="2"/>
      <c r="M491" s="129"/>
    </row>
    <row r="492" spans="12:13">
      <c r="L492" s="2"/>
      <c r="M492" s="129"/>
    </row>
    <row r="493" spans="12:13">
      <c r="L493" s="2"/>
      <c r="M493" s="129"/>
    </row>
    <row r="494" spans="12:13">
      <c r="L494" s="2"/>
      <c r="M494" s="129"/>
    </row>
    <row r="495" spans="12:13">
      <c r="L495" s="2"/>
      <c r="M495" s="129"/>
    </row>
    <row r="496" spans="12:13">
      <c r="L496" s="2"/>
      <c r="M496" s="129"/>
    </row>
    <row r="497" spans="12:13">
      <c r="L497" s="2"/>
      <c r="M497" s="129"/>
    </row>
    <row r="498" spans="12:13">
      <c r="L498" s="2"/>
      <c r="M498" s="129"/>
    </row>
    <row r="499" spans="12:13">
      <c r="L499" s="2"/>
      <c r="M499" s="129"/>
    </row>
    <row r="500" spans="12:13">
      <c r="L500" s="2"/>
      <c r="M500" s="129"/>
    </row>
    <row r="501" spans="12:13">
      <c r="L501" s="2"/>
      <c r="M501" s="129"/>
    </row>
    <row r="502" spans="12:13">
      <c r="L502" s="2"/>
      <c r="M502" s="129"/>
    </row>
    <row r="503" spans="12:13">
      <c r="L503" s="2"/>
      <c r="M503" s="129"/>
    </row>
    <row r="504" spans="12:13">
      <c r="L504" s="2"/>
      <c r="M504" s="129"/>
    </row>
    <row r="505" spans="12:13">
      <c r="L505" s="2"/>
      <c r="M505" s="129"/>
    </row>
    <row r="506" spans="12:13">
      <c r="L506" s="2"/>
      <c r="M506" s="129"/>
    </row>
    <row r="507" spans="12:13">
      <c r="L507" s="2"/>
      <c r="M507" s="129"/>
    </row>
    <row r="508" spans="12:13">
      <c r="L508" s="2"/>
      <c r="M508" s="129"/>
    </row>
    <row r="509" spans="12:13">
      <c r="L509" s="2"/>
      <c r="M509" s="129"/>
    </row>
    <row r="510" spans="12:13">
      <c r="L510" s="2"/>
      <c r="M510" s="129"/>
    </row>
    <row r="511" spans="12:13">
      <c r="L511" s="2"/>
      <c r="M511" s="129"/>
    </row>
    <row r="512" spans="12:13">
      <c r="L512" s="2"/>
      <c r="M512" s="129"/>
    </row>
    <row r="513" spans="12:13">
      <c r="L513" s="2"/>
      <c r="M513" s="129"/>
    </row>
    <row r="514" spans="12:13">
      <c r="L514" s="2"/>
      <c r="M514" s="129"/>
    </row>
    <row r="515" spans="12:13">
      <c r="L515" s="2"/>
      <c r="M515" s="129"/>
    </row>
    <row r="516" spans="12:13">
      <c r="L516" s="2"/>
      <c r="M516" s="129"/>
    </row>
    <row r="517" spans="12:13">
      <c r="L517" s="2"/>
      <c r="M517" s="129"/>
    </row>
    <row r="518" spans="12:13">
      <c r="L518" s="2"/>
      <c r="M518" s="129"/>
    </row>
    <row r="519" spans="12:13">
      <c r="L519" s="2"/>
      <c r="M519" s="129"/>
    </row>
    <row r="520" spans="12:13">
      <c r="L520" s="2"/>
      <c r="M520" s="129"/>
    </row>
    <row r="521" spans="12:13">
      <c r="L521" s="2"/>
      <c r="M521" s="129"/>
    </row>
    <row r="522" spans="12:13">
      <c r="L522" s="2"/>
      <c r="M522" s="129"/>
    </row>
    <row r="523" spans="12:13">
      <c r="L523" s="2"/>
      <c r="M523" s="129"/>
    </row>
    <row r="524" spans="12:13">
      <c r="L524" s="2"/>
      <c r="M524" s="129"/>
    </row>
    <row r="525" spans="12:13">
      <c r="L525" s="2"/>
      <c r="M525" s="129"/>
    </row>
    <row r="526" spans="12:13">
      <c r="L526" s="2"/>
      <c r="M526" s="129"/>
    </row>
    <row r="527" spans="12:13">
      <c r="L527" s="2"/>
      <c r="M527" s="129"/>
    </row>
    <row r="528" spans="12:13">
      <c r="L528" s="2"/>
      <c r="M528" s="129"/>
    </row>
    <row r="529" spans="12:13">
      <c r="L529" s="2"/>
      <c r="M529" s="129"/>
    </row>
    <row r="530" spans="12:13">
      <c r="L530" s="2"/>
      <c r="M530" s="129"/>
    </row>
    <row r="531" spans="12:13">
      <c r="L531" s="2"/>
      <c r="M531" s="129"/>
    </row>
    <row r="532" spans="12:13">
      <c r="L532" s="2"/>
      <c r="M532" s="129"/>
    </row>
    <row r="533" spans="12:13">
      <c r="L533" s="2"/>
      <c r="M533" s="129"/>
    </row>
    <row r="534" spans="12:13">
      <c r="L534" s="2"/>
      <c r="M534" s="129"/>
    </row>
    <row r="535" spans="12:13">
      <c r="L535" s="2"/>
      <c r="M535" s="129"/>
    </row>
    <row r="536" spans="12:13">
      <c r="L536" s="2"/>
      <c r="M536" s="129"/>
    </row>
    <row r="537" spans="12:13">
      <c r="L537" s="2"/>
      <c r="M537" s="129"/>
    </row>
    <row r="538" spans="12:13">
      <c r="L538" s="2"/>
      <c r="M538" s="129"/>
    </row>
    <row r="539" spans="12:13">
      <c r="L539" s="2"/>
      <c r="M539" s="129"/>
    </row>
    <row r="540" spans="12:13">
      <c r="L540" s="2"/>
      <c r="M540" s="129"/>
    </row>
    <row r="541" spans="12:13">
      <c r="L541" s="2"/>
      <c r="M541" s="129"/>
    </row>
    <row r="542" spans="12:13">
      <c r="L542" s="2"/>
      <c r="M542" s="129"/>
    </row>
    <row r="543" spans="12:13">
      <c r="L543" s="2"/>
      <c r="M543" s="129"/>
    </row>
    <row r="544" spans="12:13">
      <c r="L544" s="2"/>
      <c r="M544" s="129"/>
    </row>
    <row r="545" spans="12:13">
      <c r="L545" s="2"/>
      <c r="M545" s="129"/>
    </row>
    <row r="546" spans="12:13">
      <c r="L546" s="2"/>
      <c r="M546" s="129"/>
    </row>
    <row r="547" spans="12:13">
      <c r="L547" s="2"/>
      <c r="M547" s="129"/>
    </row>
    <row r="548" spans="12:13">
      <c r="L548" s="2"/>
      <c r="M548" s="129"/>
    </row>
    <row r="549" spans="12:13">
      <c r="L549" s="2"/>
      <c r="M549" s="129"/>
    </row>
    <row r="550" spans="12:13">
      <c r="L550" s="2"/>
      <c r="M550" s="129"/>
    </row>
    <row r="551" spans="12:13">
      <c r="L551" s="2"/>
      <c r="M551" s="129"/>
    </row>
    <row r="552" spans="12:13">
      <c r="L552" s="2"/>
      <c r="M552" s="129"/>
    </row>
    <row r="553" spans="12:13">
      <c r="L553" s="2"/>
      <c r="M553" s="129"/>
    </row>
    <row r="554" spans="12:13">
      <c r="L554" s="2"/>
      <c r="M554" s="129"/>
    </row>
    <row r="555" spans="12:13">
      <c r="L555" s="2"/>
      <c r="M555" s="129"/>
    </row>
    <row r="556" spans="12:13">
      <c r="L556" s="2"/>
      <c r="M556" s="129"/>
    </row>
    <row r="557" spans="12:13">
      <c r="L557" s="2"/>
      <c r="M557" s="129"/>
    </row>
    <row r="558" spans="12:13">
      <c r="L558" s="2"/>
      <c r="M558" s="129"/>
    </row>
    <row r="559" spans="12:13">
      <c r="L559" s="2"/>
      <c r="M559" s="129"/>
    </row>
    <row r="560" spans="12:13">
      <c r="L560" s="2"/>
      <c r="M560" s="129"/>
    </row>
    <row r="561" spans="12:13">
      <c r="L561" s="2"/>
      <c r="M561" s="129"/>
    </row>
    <row r="562" spans="12:13">
      <c r="L562" s="2"/>
      <c r="M562" s="129"/>
    </row>
    <row r="563" spans="12:13">
      <c r="L563" s="2"/>
      <c r="M563" s="129"/>
    </row>
    <row r="564" spans="12:13">
      <c r="L564" s="2"/>
      <c r="M564" s="129"/>
    </row>
    <row r="565" spans="12:13">
      <c r="L565" s="2"/>
      <c r="M565" s="129"/>
    </row>
    <row r="566" spans="12:13">
      <c r="L566" s="2"/>
      <c r="M566" s="129"/>
    </row>
    <row r="567" spans="12:13">
      <c r="L567" s="2"/>
      <c r="M567" s="129"/>
    </row>
    <row r="568" spans="12:13">
      <c r="L568" s="2"/>
      <c r="M568" s="129"/>
    </row>
    <row r="569" spans="12:13">
      <c r="L569" s="2"/>
      <c r="M569" s="129"/>
    </row>
    <row r="570" spans="12:13">
      <c r="L570" s="2"/>
      <c r="M570" s="129"/>
    </row>
    <row r="571" spans="12:13">
      <c r="L571" s="2"/>
      <c r="M571" s="129"/>
    </row>
    <row r="572" spans="12:13">
      <c r="L572" s="2"/>
      <c r="M572" s="129"/>
    </row>
    <row r="573" spans="12:13">
      <c r="L573" s="2"/>
      <c r="M573" s="129"/>
    </row>
    <row r="574" spans="12:13">
      <c r="L574" s="2"/>
      <c r="M574" s="129"/>
    </row>
    <row r="575" spans="12:13">
      <c r="L575" s="2"/>
      <c r="M575" s="129"/>
    </row>
    <row r="576" spans="12:13">
      <c r="L576" s="2"/>
      <c r="M576" s="129"/>
    </row>
    <row r="577" spans="12:13">
      <c r="L577" s="2"/>
      <c r="M577" s="129"/>
    </row>
    <row r="578" spans="12:13">
      <c r="L578" s="2"/>
      <c r="M578" s="129"/>
    </row>
    <row r="579" spans="12:13">
      <c r="L579" s="2"/>
      <c r="M579" s="129"/>
    </row>
    <row r="580" spans="12:13">
      <c r="L580" s="2"/>
      <c r="M580" s="129"/>
    </row>
    <row r="581" spans="12:13">
      <c r="L581" s="2"/>
      <c r="M581" s="129"/>
    </row>
    <row r="582" spans="12:13">
      <c r="L582" s="2"/>
      <c r="M582" s="129"/>
    </row>
    <row r="583" spans="12:13">
      <c r="L583" s="2"/>
      <c r="M583" s="129"/>
    </row>
    <row r="584" spans="12:13">
      <c r="L584" s="2"/>
      <c r="M584" s="129"/>
    </row>
    <row r="585" spans="12:13">
      <c r="L585" s="2"/>
      <c r="M585" s="129"/>
    </row>
    <row r="586" spans="12:13">
      <c r="L586" s="2"/>
      <c r="M586" s="129"/>
    </row>
    <row r="587" spans="12:13">
      <c r="L587" s="2"/>
      <c r="M587" s="129"/>
    </row>
    <row r="588" spans="12:13">
      <c r="L588" s="2"/>
      <c r="M588" s="129"/>
    </row>
    <row r="589" spans="12:13">
      <c r="L589" s="2"/>
      <c r="M589" s="129"/>
    </row>
    <row r="590" spans="12:13">
      <c r="L590" s="2"/>
      <c r="M590" s="129"/>
    </row>
    <row r="591" spans="12:13">
      <c r="L591" s="2"/>
      <c r="M591" s="129"/>
    </row>
    <row r="592" spans="12:13">
      <c r="L592" s="2"/>
      <c r="M592" s="129"/>
    </row>
    <row r="593" spans="12:13">
      <c r="L593" s="2"/>
      <c r="M593" s="129"/>
    </row>
    <row r="594" spans="12:13">
      <c r="L594" s="2"/>
      <c r="M594" s="129"/>
    </row>
    <row r="595" spans="12:13">
      <c r="L595" s="2"/>
      <c r="M595" s="129"/>
    </row>
    <row r="596" spans="12:13">
      <c r="L596" s="2"/>
      <c r="M596" s="129"/>
    </row>
    <row r="597" spans="12:13">
      <c r="L597" s="2"/>
      <c r="M597" s="129"/>
    </row>
    <row r="598" spans="12:13">
      <c r="L598" s="2"/>
      <c r="M598" s="129"/>
    </row>
    <row r="599" spans="12:13">
      <c r="L599" s="2"/>
      <c r="M599" s="129"/>
    </row>
    <row r="600" spans="12:13">
      <c r="L600" s="2"/>
      <c r="M600" s="129"/>
    </row>
    <row r="601" spans="12:13">
      <c r="L601" s="2"/>
      <c r="M601" s="129"/>
    </row>
    <row r="602" spans="12:13">
      <c r="L602" s="2"/>
      <c r="M602" s="129"/>
    </row>
    <row r="603" spans="12:13">
      <c r="L603" s="2"/>
      <c r="M603" s="129"/>
    </row>
    <row r="604" spans="12:13">
      <c r="L604" s="2"/>
      <c r="M604" s="129"/>
    </row>
    <row r="605" spans="12:13">
      <c r="L605" s="2"/>
      <c r="M605" s="129"/>
    </row>
    <row r="606" spans="12:13">
      <c r="L606" s="2"/>
      <c r="M606" s="129"/>
    </row>
    <row r="607" spans="12:13">
      <c r="L607" s="2"/>
      <c r="M607" s="129"/>
    </row>
    <row r="608" spans="12:13">
      <c r="L608" s="2"/>
      <c r="M608" s="129"/>
    </row>
    <row r="609" spans="12:13">
      <c r="L609" s="2"/>
      <c r="M609" s="129"/>
    </row>
    <row r="610" spans="12:13">
      <c r="L610" s="2"/>
      <c r="M610" s="129"/>
    </row>
    <row r="611" spans="12:13">
      <c r="L611" s="2"/>
      <c r="M611" s="129"/>
    </row>
    <row r="612" spans="12:13">
      <c r="L612" s="2"/>
      <c r="M612" s="129"/>
    </row>
    <row r="613" spans="12:13">
      <c r="L613" s="2"/>
      <c r="M613" s="129"/>
    </row>
    <row r="614" spans="12:13">
      <c r="L614" s="2"/>
      <c r="M614" s="129"/>
    </row>
    <row r="615" spans="12:13">
      <c r="L615" s="2"/>
      <c r="M615" s="129"/>
    </row>
    <row r="616" spans="12:13">
      <c r="L616" s="2"/>
      <c r="M616" s="129"/>
    </row>
    <row r="617" spans="12:13">
      <c r="L617" s="2"/>
      <c r="M617" s="129"/>
    </row>
    <row r="618" spans="12:13">
      <c r="L618" s="2"/>
      <c r="M618" s="129"/>
    </row>
    <row r="619" spans="12:13">
      <c r="L619" s="2"/>
      <c r="M619" s="129"/>
    </row>
    <row r="620" spans="12:13">
      <c r="L620" s="2"/>
      <c r="M620" s="129"/>
    </row>
    <row r="621" spans="12:13">
      <c r="L621" s="2"/>
      <c r="M621" s="129"/>
    </row>
    <row r="622" spans="12:13">
      <c r="L622" s="2"/>
      <c r="M622" s="129"/>
    </row>
    <row r="623" spans="12:13">
      <c r="L623" s="2"/>
      <c r="M623" s="129"/>
    </row>
    <row r="624" spans="12:13">
      <c r="L624" s="2"/>
      <c r="M624" s="129"/>
    </row>
    <row r="625" spans="12:13">
      <c r="L625" s="2"/>
      <c r="M625" s="129"/>
    </row>
    <row r="626" spans="12:13">
      <c r="L626" s="2"/>
      <c r="M626" s="129"/>
    </row>
    <row r="627" spans="12:13">
      <c r="L627" s="2"/>
      <c r="M627" s="129"/>
    </row>
    <row r="628" spans="12:13">
      <c r="L628" s="2"/>
      <c r="M628" s="129"/>
    </row>
    <row r="629" spans="12:13">
      <c r="L629" s="2"/>
      <c r="M629" s="129"/>
    </row>
    <row r="630" spans="12:13">
      <c r="L630" s="2"/>
      <c r="M630" s="129"/>
    </row>
    <row r="631" spans="12:13">
      <c r="L631" s="2"/>
      <c r="M631" s="129"/>
    </row>
    <row r="632" spans="12:13">
      <c r="L632" s="2"/>
      <c r="M632" s="129"/>
    </row>
    <row r="633" spans="12:13">
      <c r="L633" s="2"/>
      <c r="M633" s="129"/>
    </row>
    <row r="634" spans="12:13">
      <c r="L634" s="2"/>
      <c r="M634" s="129"/>
    </row>
    <row r="635" spans="12:13">
      <c r="L635" s="2"/>
      <c r="M635" s="129"/>
    </row>
    <row r="636" spans="12:13">
      <c r="L636" s="2"/>
      <c r="M636" s="129"/>
    </row>
    <row r="637" spans="12:13">
      <c r="L637" s="2"/>
      <c r="M637" s="129"/>
    </row>
    <row r="638" spans="12:13">
      <c r="L638" s="2"/>
      <c r="M638" s="129"/>
    </row>
    <row r="639" spans="12:13">
      <c r="L639" s="2"/>
      <c r="M639" s="129"/>
    </row>
    <row r="640" spans="12:13">
      <c r="L640" s="2"/>
      <c r="M640" s="129"/>
    </row>
    <row r="641" spans="12:13">
      <c r="L641" s="2"/>
      <c r="M641" s="129"/>
    </row>
    <row r="642" spans="12:13">
      <c r="L642" s="2"/>
      <c r="M642" s="129"/>
    </row>
    <row r="643" spans="12:13">
      <c r="L643" s="2"/>
      <c r="M643" s="129"/>
    </row>
    <row r="644" spans="12:13">
      <c r="L644" s="2"/>
      <c r="M644" s="129"/>
    </row>
    <row r="645" spans="12:13">
      <c r="L645" s="2"/>
      <c r="M645" s="129"/>
    </row>
    <row r="646" spans="12:13">
      <c r="L646" s="2"/>
      <c r="M646" s="129"/>
    </row>
    <row r="647" spans="12:13">
      <c r="L647" s="2"/>
      <c r="M647" s="129"/>
    </row>
    <row r="648" spans="12:13">
      <c r="L648" s="2"/>
      <c r="M648" s="129"/>
    </row>
    <row r="649" spans="12:13">
      <c r="L649" s="2"/>
      <c r="M649" s="129"/>
    </row>
    <row r="650" spans="12:13">
      <c r="L650" s="2"/>
      <c r="M650" s="129"/>
    </row>
    <row r="651" spans="12:13">
      <c r="L651" s="2"/>
      <c r="M651" s="129"/>
    </row>
    <row r="652" spans="12:13">
      <c r="L652" s="2"/>
      <c r="M652" s="129"/>
    </row>
    <row r="653" spans="12:13">
      <c r="L653" s="2"/>
      <c r="M653" s="129"/>
    </row>
    <row r="654" spans="12:13">
      <c r="L654" s="2"/>
      <c r="M654" s="129"/>
    </row>
    <row r="655" spans="12:13">
      <c r="L655" s="2"/>
      <c r="M655" s="129"/>
    </row>
    <row r="656" spans="12:13">
      <c r="L656" s="2"/>
      <c r="M656" s="129"/>
    </row>
    <row r="657" spans="12:13">
      <c r="L657" s="2"/>
      <c r="M657" s="129"/>
    </row>
    <row r="658" spans="12:13">
      <c r="L658" s="2"/>
      <c r="M658" s="129"/>
    </row>
    <row r="659" spans="12:13">
      <c r="L659" s="2"/>
      <c r="M659" s="129"/>
    </row>
    <row r="660" spans="12:13">
      <c r="L660" s="2"/>
      <c r="M660" s="129"/>
    </row>
    <row r="661" spans="12:13">
      <c r="L661" s="2"/>
      <c r="M661" s="129"/>
    </row>
    <row r="662" spans="12:13">
      <c r="L662" s="2"/>
      <c r="M662" s="129"/>
    </row>
    <row r="663" spans="12:13">
      <c r="L663" s="2"/>
      <c r="M663" s="129"/>
    </row>
    <row r="664" spans="12:13">
      <c r="L664" s="2"/>
      <c r="M664" s="129"/>
    </row>
    <row r="665" spans="12:13">
      <c r="L665" s="2"/>
      <c r="M665" s="129"/>
    </row>
    <row r="666" spans="12:13">
      <c r="L666" s="2"/>
      <c r="M666" s="129"/>
    </row>
    <row r="667" spans="12:13">
      <c r="L667" s="2"/>
      <c r="M667" s="129"/>
    </row>
    <row r="668" spans="12:13">
      <c r="L668" s="2"/>
      <c r="M668" s="129"/>
    </row>
    <row r="669" spans="12:13">
      <c r="L669" s="2"/>
      <c r="M669" s="129"/>
    </row>
    <row r="670" spans="12:13">
      <c r="L670" s="2"/>
      <c r="M670" s="129"/>
    </row>
    <row r="671" spans="12:13">
      <c r="L671" s="2"/>
      <c r="M671" s="129"/>
    </row>
    <row r="672" spans="12:13">
      <c r="L672" s="2"/>
      <c r="M672" s="129"/>
    </row>
    <row r="673" spans="12:13">
      <c r="L673" s="2"/>
      <c r="M673" s="129"/>
    </row>
    <row r="674" spans="12:13">
      <c r="L674" s="2"/>
      <c r="M674" s="129"/>
    </row>
    <row r="675" spans="12:13">
      <c r="L675" s="2"/>
      <c r="M675" s="129"/>
    </row>
    <row r="676" spans="12:13">
      <c r="L676" s="2"/>
      <c r="M676" s="129"/>
    </row>
    <row r="677" spans="12:13">
      <c r="L677" s="2"/>
      <c r="M677" s="129"/>
    </row>
    <row r="678" spans="12:13">
      <c r="L678" s="2"/>
      <c r="M678" s="129"/>
    </row>
    <row r="679" spans="12:13">
      <c r="L679" s="2"/>
      <c r="M679" s="129"/>
    </row>
    <row r="680" spans="12:13">
      <c r="L680" s="2"/>
      <c r="M680" s="129"/>
    </row>
    <row r="681" spans="12:13">
      <c r="L681" s="2"/>
      <c r="M681" s="129"/>
    </row>
    <row r="682" spans="12:13">
      <c r="L682" s="2"/>
      <c r="M682" s="129"/>
    </row>
    <row r="683" spans="12:13">
      <c r="L683" s="2"/>
      <c r="M683" s="129"/>
    </row>
    <row r="684" spans="12:13">
      <c r="L684" s="2"/>
      <c r="M684" s="129"/>
    </row>
    <row r="685" spans="12:13">
      <c r="L685" s="2"/>
      <c r="M685" s="129"/>
    </row>
    <row r="686" spans="12:13">
      <c r="L686" s="2"/>
      <c r="M686" s="129"/>
    </row>
    <row r="687" spans="12:13">
      <c r="L687" s="2"/>
      <c r="M687" s="129"/>
    </row>
    <row r="688" spans="12:13">
      <c r="L688" s="2"/>
      <c r="M688" s="129"/>
    </row>
    <row r="689" spans="12:13">
      <c r="L689" s="2"/>
      <c r="M689" s="129"/>
    </row>
    <row r="690" spans="12:13">
      <c r="L690" s="2"/>
      <c r="M690" s="129"/>
    </row>
    <row r="691" spans="12:13">
      <c r="L691" s="2"/>
      <c r="M691" s="129"/>
    </row>
    <row r="692" spans="12:13">
      <c r="L692" s="2"/>
      <c r="M692" s="129"/>
    </row>
    <row r="693" spans="12:13">
      <c r="L693" s="2"/>
      <c r="M693" s="129"/>
    </row>
    <row r="694" spans="12:13">
      <c r="L694" s="2"/>
      <c r="M694" s="129"/>
    </row>
    <row r="695" spans="12:13">
      <c r="L695" s="2"/>
      <c r="M695" s="129"/>
    </row>
    <row r="696" spans="12:13">
      <c r="L696" s="2"/>
      <c r="M696" s="129"/>
    </row>
    <row r="697" spans="12:13">
      <c r="L697" s="2"/>
      <c r="M697" s="129"/>
    </row>
    <row r="698" spans="12:13">
      <c r="L698" s="2"/>
      <c r="M698" s="129"/>
    </row>
    <row r="699" spans="12:13">
      <c r="L699" s="2"/>
      <c r="M699" s="129"/>
    </row>
    <row r="700" spans="12:13">
      <c r="L700" s="2"/>
      <c r="M700" s="129"/>
    </row>
    <row r="701" spans="12:13">
      <c r="L701" s="2"/>
      <c r="M701" s="129"/>
    </row>
    <row r="702" spans="12:13">
      <c r="L702" s="2"/>
      <c r="M702" s="129"/>
    </row>
    <row r="703" spans="12:13">
      <c r="L703" s="2"/>
      <c r="M703" s="129"/>
    </row>
    <row r="704" spans="12:13">
      <c r="L704" s="2"/>
      <c r="M704" s="129"/>
    </row>
    <row r="705" spans="12:13">
      <c r="L705" s="2"/>
      <c r="M705" s="129"/>
    </row>
    <row r="706" spans="12:13">
      <c r="L706" s="2"/>
      <c r="M706" s="129"/>
    </row>
    <row r="707" spans="12:13">
      <c r="L707" s="2"/>
      <c r="M707" s="129"/>
    </row>
    <row r="708" spans="12:13">
      <c r="L708" s="2"/>
      <c r="M708" s="129"/>
    </row>
    <row r="709" spans="12:13">
      <c r="L709" s="2"/>
      <c r="M709" s="129"/>
    </row>
    <row r="710" spans="12:13">
      <c r="L710" s="2"/>
      <c r="M710" s="129"/>
    </row>
    <row r="711" spans="12:13">
      <c r="L711" s="2"/>
      <c r="M711" s="129"/>
    </row>
    <row r="712" spans="12:13">
      <c r="L712" s="2"/>
      <c r="M712" s="129"/>
    </row>
    <row r="713" spans="12:13">
      <c r="L713" s="2"/>
      <c r="M713" s="129"/>
    </row>
    <row r="714" spans="12:13">
      <c r="L714" s="2"/>
      <c r="M714" s="129"/>
    </row>
    <row r="715" spans="12:13">
      <c r="L715" s="2"/>
      <c r="M715" s="129"/>
    </row>
    <row r="716" spans="12:13">
      <c r="L716" s="2"/>
      <c r="M716" s="129"/>
    </row>
    <row r="717" spans="12:13">
      <c r="L717" s="2"/>
      <c r="M717" s="129"/>
    </row>
    <row r="718" spans="12:13">
      <c r="L718" s="2"/>
      <c r="M718" s="129"/>
    </row>
    <row r="719" spans="12:13">
      <c r="L719" s="2"/>
      <c r="M719" s="129"/>
    </row>
    <row r="720" spans="12:13">
      <c r="L720" s="2"/>
      <c r="M720" s="129"/>
    </row>
    <row r="721" spans="12:13">
      <c r="L721" s="2"/>
      <c r="M721" s="129"/>
    </row>
    <row r="722" spans="12:13">
      <c r="L722" s="2"/>
      <c r="M722" s="129"/>
    </row>
    <row r="723" spans="12:13">
      <c r="L723" s="2"/>
      <c r="M723" s="129"/>
    </row>
    <row r="724" spans="12:13">
      <c r="L724" s="2"/>
      <c r="M724" s="129"/>
    </row>
    <row r="725" spans="12:13">
      <c r="L725" s="2"/>
      <c r="M725" s="129"/>
    </row>
    <row r="726" spans="12:13">
      <c r="L726" s="2"/>
      <c r="M726" s="129"/>
    </row>
    <row r="727" spans="12:13">
      <c r="L727" s="2"/>
      <c r="M727" s="129"/>
    </row>
    <row r="728" spans="12:13">
      <c r="L728" s="2"/>
      <c r="M728" s="129"/>
    </row>
    <row r="729" spans="12:13">
      <c r="L729" s="2"/>
      <c r="M729" s="129"/>
    </row>
    <row r="730" spans="12:13">
      <c r="L730" s="2"/>
      <c r="M730" s="129"/>
    </row>
    <row r="731" spans="12:13">
      <c r="L731" s="2"/>
      <c r="M731" s="129"/>
    </row>
    <row r="732" spans="12:13">
      <c r="L732" s="2"/>
      <c r="M732" s="129"/>
    </row>
    <row r="733" spans="12:13">
      <c r="L733" s="2"/>
      <c r="M733" s="129"/>
    </row>
    <row r="734" spans="12:13">
      <c r="L734" s="2"/>
      <c r="M734" s="129"/>
    </row>
    <row r="735" spans="12:13">
      <c r="L735" s="2"/>
      <c r="M735" s="129"/>
    </row>
    <row r="736" spans="12:13">
      <c r="L736" s="2"/>
      <c r="M736" s="129"/>
    </row>
    <row r="737" spans="12:13">
      <c r="L737" s="2"/>
      <c r="M737" s="129"/>
    </row>
    <row r="738" spans="12:13">
      <c r="L738" s="2"/>
      <c r="M738" s="129"/>
    </row>
    <row r="739" spans="12:13">
      <c r="L739" s="2"/>
      <c r="M739" s="129"/>
    </row>
    <row r="740" spans="12:13">
      <c r="L740" s="2"/>
      <c r="M740" s="129"/>
    </row>
    <row r="741" spans="12:13">
      <c r="L741" s="2"/>
      <c r="M741" s="129"/>
    </row>
    <row r="742" spans="12:13">
      <c r="L742" s="2"/>
      <c r="M742" s="129"/>
    </row>
    <row r="743" spans="12:13">
      <c r="L743" s="2"/>
      <c r="M743" s="129"/>
    </row>
    <row r="744" spans="12:13">
      <c r="L744" s="2"/>
      <c r="M744" s="129"/>
    </row>
    <row r="745" spans="12:13">
      <c r="L745" s="2"/>
      <c r="M745" s="129"/>
    </row>
    <row r="746" spans="12:13">
      <c r="L746" s="2"/>
      <c r="M746" s="129"/>
    </row>
    <row r="747" spans="12:13">
      <c r="L747" s="2"/>
      <c r="M747" s="129"/>
    </row>
    <row r="748" spans="12:13">
      <c r="L748" s="2"/>
      <c r="M748" s="129"/>
    </row>
    <row r="749" spans="12:13">
      <c r="L749" s="2"/>
      <c r="M749" s="129"/>
    </row>
    <row r="750" spans="12:13">
      <c r="L750" s="2"/>
      <c r="M750" s="129"/>
    </row>
    <row r="751" spans="12:13">
      <c r="L751" s="2"/>
      <c r="M751" s="129"/>
    </row>
    <row r="752" spans="12:13">
      <c r="L752" s="2"/>
      <c r="M752" s="129"/>
    </row>
    <row r="753" spans="12:13">
      <c r="L753" s="2"/>
      <c r="M753" s="129"/>
    </row>
    <row r="754" spans="12:13">
      <c r="L754" s="2"/>
      <c r="M754" s="129"/>
    </row>
    <row r="755" spans="12:13">
      <c r="L755" s="2"/>
      <c r="M755" s="129"/>
    </row>
    <row r="756" spans="12:13">
      <c r="L756" s="2"/>
      <c r="M756" s="129"/>
    </row>
    <row r="757" spans="12:13">
      <c r="L757" s="2"/>
      <c r="M757" s="129"/>
    </row>
    <row r="758" spans="12:13">
      <c r="L758" s="2"/>
      <c r="M758" s="129"/>
    </row>
    <row r="759" spans="12:13">
      <c r="L759" s="2"/>
      <c r="M759" s="129"/>
    </row>
    <row r="760" spans="12:13">
      <c r="L760" s="2"/>
      <c r="M760" s="129"/>
    </row>
    <row r="761" spans="12:13">
      <c r="L761" s="2"/>
      <c r="M761" s="129"/>
    </row>
    <row r="762" spans="12:13">
      <c r="L762" s="2"/>
      <c r="M762" s="129"/>
    </row>
    <row r="763" spans="12:13">
      <c r="L763" s="2"/>
      <c r="M763" s="129"/>
    </row>
    <row r="764" spans="12:13">
      <c r="L764" s="2"/>
      <c r="M764" s="129"/>
    </row>
    <row r="765" spans="12:13">
      <c r="L765" s="2"/>
      <c r="M765" s="129"/>
    </row>
    <row r="766" spans="12:13">
      <c r="L766" s="2"/>
      <c r="M766" s="129"/>
    </row>
    <row r="767" spans="12:13">
      <c r="L767" s="2"/>
      <c r="M767" s="129"/>
    </row>
    <row r="768" spans="12:13">
      <c r="L768" s="2"/>
      <c r="M768" s="129"/>
    </row>
    <row r="769" spans="12:13">
      <c r="L769" s="2"/>
      <c r="M769" s="129"/>
    </row>
    <row r="770" spans="12:13">
      <c r="L770" s="2"/>
      <c r="M770" s="129"/>
    </row>
    <row r="771" spans="12:13">
      <c r="L771" s="2"/>
      <c r="M771" s="129"/>
    </row>
    <row r="772" spans="12:13">
      <c r="L772" s="2"/>
      <c r="M772" s="129"/>
    </row>
    <row r="773" spans="12:13">
      <c r="L773" s="2"/>
      <c r="M773" s="129"/>
    </row>
    <row r="774" spans="12:13">
      <c r="L774" s="2"/>
      <c r="M774" s="129"/>
    </row>
    <row r="775" spans="12:13">
      <c r="L775" s="2"/>
      <c r="M775" s="129"/>
    </row>
    <row r="776" spans="12:13">
      <c r="L776" s="2"/>
      <c r="M776" s="129"/>
    </row>
    <row r="777" spans="12:13">
      <c r="L777" s="2"/>
      <c r="M777" s="129"/>
    </row>
    <row r="778" spans="12:13">
      <c r="L778" s="2"/>
      <c r="M778" s="129"/>
    </row>
    <row r="779" spans="12:13">
      <c r="L779" s="2"/>
      <c r="M779" s="129"/>
    </row>
    <row r="780" spans="12:13">
      <c r="L780" s="2"/>
      <c r="M780" s="129"/>
    </row>
    <row r="781" spans="12:13">
      <c r="L781" s="2"/>
      <c r="M781" s="129"/>
    </row>
    <row r="782" spans="12:13">
      <c r="L782" s="2"/>
      <c r="M782" s="129"/>
    </row>
    <row r="783" spans="12:13">
      <c r="L783" s="2"/>
      <c r="M783" s="129"/>
    </row>
    <row r="784" spans="12:13">
      <c r="L784" s="2"/>
      <c r="M784" s="129"/>
    </row>
    <row r="785" spans="12:13">
      <c r="L785" s="2"/>
      <c r="M785" s="129"/>
    </row>
    <row r="786" spans="12:13">
      <c r="L786" s="2"/>
      <c r="M786" s="129"/>
    </row>
    <row r="787" spans="12:13">
      <c r="L787" s="2"/>
      <c r="M787" s="129"/>
    </row>
    <row r="788" spans="12:13">
      <c r="L788" s="2"/>
      <c r="M788" s="129"/>
    </row>
    <row r="789" spans="12:13">
      <c r="L789" s="2"/>
      <c r="M789" s="129"/>
    </row>
    <row r="790" spans="12:13">
      <c r="L790" s="2"/>
      <c r="M790" s="129"/>
    </row>
    <row r="791" spans="12:13">
      <c r="L791" s="2"/>
      <c r="M791" s="129"/>
    </row>
    <row r="792" spans="12:13">
      <c r="L792" s="2"/>
      <c r="M792" s="129"/>
    </row>
    <row r="793" spans="12:13">
      <c r="L793" s="2"/>
      <c r="M793" s="129"/>
    </row>
    <row r="794" spans="12:13">
      <c r="L794" s="2"/>
      <c r="M794" s="129"/>
    </row>
    <row r="795" spans="12:13">
      <c r="L795" s="2"/>
      <c r="M795" s="129"/>
    </row>
    <row r="796" spans="12:13">
      <c r="L796" s="2"/>
      <c r="M796" s="129"/>
    </row>
    <row r="797" spans="12:13">
      <c r="L797" s="2"/>
      <c r="M797" s="129"/>
    </row>
    <row r="798" spans="12:13">
      <c r="L798" s="2"/>
      <c r="M798" s="129"/>
    </row>
    <row r="799" spans="12:13">
      <c r="L799" s="2"/>
      <c r="M799" s="129"/>
    </row>
    <row r="800" spans="12:13">
      <c r="L800" s="2"/>
      <c r="M800" s="129"/>
    </row>
    <row r="801" spans="12:13">
      <c r="L801" s="2"/>
      <c r="M801" s="129"/>
    </row>
    <row r="802" spans="12:13">
      <c r="L802" s="2"/>
      <c r="M802" s="129"/>
    </row>
    <row r="803" spans="12:13">
      <c r="L803" s="2"/>
      <c r="M803" s="129"/>
    </row>
    <row r="804" spans="12:13">
      <c r="L804" s="2"/>
      <c r="M804" s="129"/>
    </row>
    <row r="805" spans="12:13">
      <c r="L805" s="2"/>
      <c r="M805" s="129"/>
    </row>
    <row r="806" spans="12:13">
      <c r="L806" s="2"/>
      <c r="M806" s="129"/>
    </row>
    <row r="807" spans="12:13">
      <c r="L807" s="2"/>
      <c r="M807" s="129"/>
    </row>
    <row r="808" spans="12:13">
      <c r="L808" s="2"/>
      <c r="M808" s="129"/>
    </row>
    <row r="809" spans="12:13">
      <c r="L809" s="2"/>
      <c r="M809" s="129"/>
    </row>
    <row r="810" spans="12:13">
      <c r="L810" s="2"/>
      <c r="M810" s="129"/>
    </row>
    <row r="811" spans="12:13">
      <c r="L811" s="2"/>
      <c r="M811" s="129"/>
    </row>
    <row r="812" spans="12:13">
      <c r="L812" s="2"/>
      <c r="M812" s="129"/>
    </row>
    <row r="813" spans="12:13">
      <c r="L813" s="2"/>
      <c r="M813" s="129"/>
    </row>
    <row r="814" spans="12:13">
      <c r="L814" s="2"/>
      <c r="M814" s="129"/>
    </row>
    <row r="815" spans="12:13">
      <c r="L815" s="2"/>
      <c r="M815" s="129"/>
    </row>
    <row r="816" spans="12:13">
      <c r="L816" s="2"/>
      <c r="M816" s="129"/>
    </row>
    <row r="817" spans="12:13">
      <c r="L817" s="2"/>
      <c r="M817" s="129"/>
    </row>
    <row r="818" spans="12:13">
      <c r="L818" s="2"/>
      <c r="M818" s="129"/>
    </row>
    <row r="819" spans="12:13">
      <c r="L819" s="2"/>
      <c r="M819" s="129"/>
    </row>
    <row r="820" spans="12:13">
      <c r="L820" s="2"/>
      <c r="M820" s="129"/>
    </row>
    <row r="821" spans="12:13">
      <c r="L821" s="2"/>
      <c r="M821" s="129"/>
    </row>
    <row r="822" spans="12:13">
      <c r="L822" s="2"/>
      <c r="M822" s="129"/>
    </row>
    <row r="823" spans="12:13">
      <c r="L823" s="2"/>
      <c r="M823" s="129"/>
    </row>
    <row r="824" spans="12:13">
      <c r="L824" s="2"/>
      <c r="M824" s="129"/>
    </row>
    <row r="825" spans="12:13">
      <c r="L825" s="2"/>
      <c r="M825" s="129"/>
    </row>
    <row r="826" spans="12:13">
      <c r="L826" s="2"/>
      <c r="M826" s="129"/>
    </row>
    <row r="827" spans="12:13">
      <c r="L827" s="2"/>
      <c r="M827" s="129"/>
    </row>
    <row r="828" spans="12:13">
      <c r="L828" s="2"/>
      <c r="M828" s="129"/>
    </row>
    <row r="829" spans="12:13">
      <c r="L829" s="2"/>
      <c r="M829" s="129"/>
    </row>
    <row r="830" spans="12:13">
      <c r="L830" s="2"/>
      <c r="M830" s="129"/>
    </row>
    <row r="831" spans="12:13">
      <c r="L831" s="2"/>
      <c r="M831" s="129"/>
    </row>
    <row r="832" spans="12:13">
      <c r="L832" s="2"/>
      <c r="M832" s="129"/>
    </row>
    <row r="833" spans="12:13">
      <c r="L833" s="2"/>
      <c r="M833" s="129"/>
    </row>
    <row r="834" spans="12:13">
      <c r="L834" s="2"/>
      <c r="M834" s="129"/>
    </row>
    <row r="835" spans="12:13">
      <c r="L835" s="2"/>
      <c r="M835" s="129"/>
    </row>
    <row r="836" spans="12:13">
      <c r="L836" s="2"/>
      <c r="M836" s="129"/>
    </row>
    <row r="837" spans="12:13">
      <c r="L837" s="2"/>
      <c r="M837" s="129"/>
    </row>
    <row r="838" spans="12:13">
      <c r="L838" s="2"/>
      <c r="M838" s="129"/>
    </row>
    <row r="839" spans="12:13">
      <c r="L839" s="2"/>
      <c r="M839" s="129"/>
    </row>
    <row r="840" spans="12:13">
      <c r="L840" s="2"/>
      <c r="M840" s="129"/>
    </row>
    <row r="841" spans="12:13">
      <c r="L841" s="2"/>
      <c r="M841" s="129"/>
    </row>
    <row r="842" spans="12:13">
      <c r="L842" s="2"/>
      <c r="M842" s="129"/>
    </row>
    <row r="843" spans="12:13">
      <c r="L843" s="2"/>
      <c r="M843" s="129"/>
    </row>
    <row r="844" spans="12:13">
      <c r="L844" s="2"/>
      <c r="M844" s="129"/>
    </row>
    <row r="845" spans="12:13">
      <c r="L845" s="2"/>
      <c r="M845" s="129"/>
    </row>
    <row r="846" spans="12:13">
      <c r="L846" s="2"/>
      <c r="M846" s="129"/>
    </row>
    <row r="847" spans="12:13">
      <c r="L847" s="2"/>
      <c r="M847" s="129"/>
    </row>
    <row r="848" spans="12:13">
      <c r="L848" s="2"/>
      <c r="M848" s="129"/>
    </row>
    <row r="849" spans="12:13">
      <c r="L849" s="2"/>
      <c r="M849" s="129"/>
    </row>
    <row r="850" spans="12:13">
      <c r="L850" s="2"/>
      <c r="M850" s="129"/>
    </row>
    <row r="851" spans="12:13">
      <c r="L851" s="2"/>
      <c r="M851" s="129"/>
    </row>
    <row r="852" spans="12:13">
      <c r="L852" s="2"/>
      <c r="M852" s="129"/>
    </row>
    <row r="853" spans="12:13">
      <c r="L853" s="2"/>
      <c r="M853" s="129"/>
    </row>
    <row r="854" spans="12:13">
      <c r="L854" s="2"/>
      <c r="M854" s="129"/>
    </row>
    <row r="855" spans="12:13">
      <c r="L855" s="2"/>
      <c r="M855" s="129"/>
    </row>
    <row r="856" spans="12:13">
      <c r="L856" s="2"/>
      <c r="M856" s="129"/>
    </row>
    <row r="857" spans="12:13">
      <c r="L857" s="2"/>
      <c r="M857" s="129"/>
    </row>
    <row r="858" spans="12:13">
      <c r="L858" s="2"/>
      <c r="M858" s="129"/>
    </row>
    <row r="859" spans="12:13">
      <c r="L859" s="2"/>
      <c r="M859" s="129"/>
    </row>
    <row r="860" spans="12:13">
      <c r="L860" s="2"/>
      <c r="M860" s="129"/>
    </row>
    <row r="861" spans="12:13">
      <c r="L861" s="2"/>
      <c r="M861" s="129"/>
    </row>
    <row r="862" spans="12:13">
      <c r="L862" s="2"/>
      <c r="M862" s="129"/>
    </row>
    <row r="863" spans="12:13">
      <c r="L863" s="2"/>
      <c r="M863" s="129"/>
    </row>
    <row r="864" spans="12:13">
      <c r="L864" s="2"/>
      <c r="M864" s="129"/>
    </row>
    <row r="865" spans="12:13">
      <c r="L865" s="2"/>
      <c r="M865" s="129"/>
    </row>
    <row r="866" spans="12:13">
      <c r="L866" s="2"/>
      <c r="M866" s="129"/>
    </row>
    <row r="867" spans="12:13">
      <c r="L867" s="2"/>
      <c r="M867" s="129"/>
    </row>
    <row r="868" spans="12:13">
      <c r="L868" s="2"/>
      <c r="M868" s="129"/>
    </row>
    <row r="869" spans="12:13">
      <c r="L869" s="2"/>
      <c r="M869" s="129"/>
    </row>
    <row r="870" spans="12:13">
      <c r="L870" s="2"/>
      <c r="M870" s="129"/>
    </row>
    <row r="871" spans="12:13">
      <c r="L871" s="2"/>
      <c r="M871" s="129"/>
    </row>
    <row r="872" spans="12:13">
      <c r="L872" s="2"/>
      <c r="M872" s="129"/>
    </row>
    <row r="873" spans="12:13">
      <c r="L873" s="2"/>
      <c r="M873" s="129"/>
    </row>
    <row r="874" spans="12:13">
      <c r="L874" s="2"/>
      <c r="M874" s="129"/>
    </row>
    <row r="875" spans="12:13">
      <c r="L875" s="2"/>
      <c r="M875" s="129"/>
    </row>
    <row r="876" spans="12:13">
      <c r="L876" s="2"/>
      <c r="M876" s="129"/>
    </row>
    <row r="877" spans="12:13">
      <c r="L877" s="2"/>
      <c r="M877" s="129"/>
    </row>
    <row r="878" spans="12:13">
      <c r="L878" s="2"/>
      <c r="M878" s="129"/>
    </row>
    <row r="879" spans="12:13">
      <c r="L879" s="2"/>
      <c r="M879" s="129"/>
    </row>
    <row r="880" spans="12:13">
      <c r="L880" s="2"/>
      <c r="M880" s="129"/>
    </row>
    <row r="881" spans="12:13">
      <c r="L881" s="2"/>
      <c r="M881" s="129"/>
    </row>
    <row r="882" spans="12:13">
      <c r="L882" s="2"/>
      <c r="M882" s="129"/>
    </row>
    <row r="883" spans="12:13">
      <c r="L883" s="2"/>
      <c r="M883" s="129"/>
    </row>
    <row r="884" spans="12:13">
      <c r="L884" s="2"/>
      <c r="M884" s="129"/>
    </row>
    <row r="885" spans="12:13">
      <c r="L885" s="2"/>
      <c r="M885" s="129"/>
    </row>
    <row r="886" spans="12:13">
      <c r="L886" s="2"/>
      <c r="M886" s="129"/>
    </row>
    <row r="887" spans="12:13">
      <c r="L887" s="2"/>
      <c r="M887" s="129"/>
    </row>
    <row r="888" spans="12:13">
      <c r="L888" s="2"/>
      <c r="M888" s="129"/>
    </row>
    <row r="889" spans="12:13">
      <c r="L889" s="2"/>
      <c r="M889" s="129"/>
    </row>
    <row r="890" spans="12:13">
      <c r="L890" s="2"/>
      <c r="M890" s="129"/>
    </row>
    <row r="891" spans="12:13">
      <c r="L891" s="2"/>
      <c r="M891" s="129"/>
    </row>
    <row r="892" spans="12:13">
      <c r="L892" s="2"/>
      <c r="M892" s="129"/>
    </row>
    <row r="893" spans="12:13">
      <c r="L893" s="2"/>
      <c r="M893" s="129"/>
    </row>
    <row r="894" spans="12:13">
      <c r="L894" s="2"/>
      <c r="M894" s="129"/>
    </row>
    <row r="895" spans="12:13">
      <c r="L895" s="2"/>
      <c r="M895" s="129"/>
    </row>
    <row r="896" spans="12:13">
      <c r="L896" s="2"/>
      <c r="M896" s="129"/>
    </row>
    <row r="897" spans="12:13">
      <c r="L897" s="2"/>
      <c r="M897" s="129"/>
    </row>
    <row r="898" spans="12:13">
      <c r="L898" s="2"/>
      <c r="M898" s="129"/>
    </row>
    <row r="899" spans="12:13">
      <c r="L899" s="2"/>
      <c r="M899" s="129"/>
    </row>
    <row r="900" spans="12:13">
      <c r="L900" s="2"/>
      <c r="M900" s="129"/>
    </row>
    <row r="901" spans="12:13">
      <c r="L901" s="2"/>
      <c r="M901" s="129"/>
    </row>
    <row r="902" spans="12:13">
      <c r="L902" s="2"/>
      <c r="M902" s="129"/>
    </row>
    <row r="903" spans="12:13">
      <c r="L903" s="2"/>
      <c r="M903" s="129"/>
    </row>
    <row r="904" spans="12:13">
      <c r="L904" s="2"/>
      <c r="M904" s="129"/>
    </row>
    <row r="905" spans="12:13">
      <c r="L905" s="2"/>
      <c r="M905" s="129"/>
    </row>
    <row r="906" spans="12:13">
      <c r="L906" s="2"/>
      <c r="M906" s="129"/>
    </row>
    <row r="907" spans="12:13">
      <c r="L907" s="2"/>
      <c r="M907" s="129"/>
    </row>
    <row r="908" spans="12:13">
      <c r="L908" s="2"/>
      <c r="M908" s="129"/>
    </row>
    <row r="909" spans="12:13">
      <c r="L909" s="2"/>
      <c r="M909" s="129"/>
    </row>
    <row r="910" spans="12:13">
      <c r="L910" s="2"/>
      <c r="M910" s="129"/>
    </row>
    <row r="911" spans="12:13">
      <c r="L911" s="2"/>
      <c r="M911" s="129"/>
    </row>
    <row r="912" spans="12:13">
      <c r="L912" s="2"/>
      <c r="M912" s="129"/>
    </row>
    <row r="913" spans="12:13">
      <c r="L913" s="2"/>
      <c r="M913" s="129"/>
    </row>
    <row r="914" spans="12:13">
      <c r="L914" s="2"/>
      <c r="M914" s="129"/>
    </row>
    <row r="915" spans="12:13">
      <c r="L915" s="2"/>
      <c r="M915" s="129"/>
    </row>
    <row r="916" spans="12:13">
      <c r="L916" s="2"/>
      <c r="M916" s="129"/>
    </row>
    <row r="917" spans="12:13">
      <c r="L917" s="2"/>
      <c r="M917" s="129"/>
    </row>
    <row r="918" spans="12:13">
      <c r="L918" s="2"/>
      <c r="M918" s="129"/>
    </row>
    <row r="919" spans="12:13">
      <c r="L919" s="2"/>
      <c r="M919" s="129"/>
    </row>
    <row r="920" spans="12:13">
      <c r="L920" s="2"/>
      <c r="M920" s="129"/>
    </row>
    <row r="921" spans="12:13">
      <c r="L921" s="2"/>
      <c r="M921" s="129"/>
    </row>
    <row r="922" spans="12:13">
      <c r="L922" s="2"/>
      <c r="M922" s="129"/>
    </row>
    <row r="923" spans="12:13">
      <c r="L923" s="2"/>
      <c r="M923" s="129"/>
    </row>
    <row r="924" spans="12:13">
      <c r="L924" s="2"/>
      <c r="M924" s="129"/>
    </row>
    <row r="925" spans="12:13">
      <c r="L925" s="2"/>
      <c r="M925" s="129"/>
    </row>
    <row r="926" spans="12:13">
      <c r="L926" s="2"/>
      <c r="M926" s="129"/>
    </row>
    <row r="927" spans="12:13">
      <c r="L927" s="2"/>
      <c r="M927" s="129"/>
    </row>
    <row r="928" spans="12:13">
      <c r="L928" s="2"/>
      <c r="M928" s="129"/>
    </row>
    <row r="929" spans="12:13">
      <c r="L929" s="2"/>
      <c r="M929" s="129"/>
    </row>
    <row r="930" spans="12:13">
      <c r="L930" s="2"/>
      <c r="M930" s="129"/>
    </row>
    <row r="931" spans="12:13">
      <c r="L931" s="2"/>
      <c r="M931" s="129"/>
    </row>
    <row r="932" spans="12:13">
      <c r="L932" s="2"/>
      <c r="M932" s="129"/>
    </row>
    <row r="933" spans="12:13">
      <c r="L933" s="2"/>
      <c r="M933" s="129"/>
    </row>
    <row r="934" spans="12:13">
      <c r="L934" s="2"/>
      <c r="M934" s="129"/>
    </row>
    <row r="935" spans="12:13">
      <c r="L935" s="2"/>
      <c r="M935" s="129"/>
    </row>
    <row r="936" spans="12:13">
      <c r="L936" s="2"/>
      <c r="M936" s="129"/>
    </row>
    <row r="937" spans="12:13">
      <c r="L937" s="2"/>
      <c r="M937" s="129"/>
    </row>
    <row r="938" spans="12:13">
      <c r="L938" s="2"/>
      <c r="M938" s="129"/>
    </row>
    <row r="939" spans="12:13">
      <c r="L939" s="2"/>
      <c r="M939" s="129"/>
    </row>
    <row r="940" spans="12:13">
      <c r="L940" s="2"/>
      <c r="M940" s="129"/>
    </row>
    <row r="941" spans="12:13">
      <c r="L941" s="2"/>
      <c r="M941" s="129"/>
    </row>
    <row r="942" spans="12:13">
      <c r="L942" s="2"/>
      <c r="M942" s="129"/>
    </row>
    <row r="943" spans="12:13">
      <c r="L943" s="2"/>
      <c r="M943" s="129"/>
    </row>
    <row r="944" spans="12:13">
      <c r="L944" s="2"/>
      <c r="M944" s="129"/>
    </row>
    <row r="945" spans="12:13">
      <c r="L945" s="2"/>
      <c r="M945" s="129"/>
    </row>
    <row r="946" spans="12:13">
      <c r="L946" s="2"/>
      <c r="M946" s="129"/>
    </row>
    <row r="947" spans="12:13">
      <c r="L947" s="2"/>
      <c r="M947" s="129"/>
    </row>
    <row r="948" spans="12:13">
      <c r="L948" s="2"/>
      <c r="M948" s="129"/>
    </row>
    <row r="949" spans="12:13">
      <c r="L949" s="2"/>
      <c r="M949" s="129"/>
    </row>
    <row r="950" spans="12:13">
      <c r="L950" s="2"/>
      <c r="M950" s="129"/>
    </row>
    <row r="951" spans="12:13">
      <c r="L951" s="2"/>
      <c r="M951" s="129"/>
    </row>
    <row r="952" spans="12:13">
      <c r="L952" s="2"/>
      <c r="M952" s="129"/>
    </row>
    <row r="953" spans="12:13">
      <c r="L953" s="2"/>
      <c r="M953" s="129"/>
    </row>
    <row r="954" spans="12:13">
      <c r="L954" s="2"/>
      <c r="M954" s="129"/>
    </row>
    <row r="955" spans="12:13">
      <c r="L955" s="2"/>
      <c r="M955" s="129"/>
    </row>
    <row r="956" spans="12:13">
      <c r="L956" s="2"/>
      <c r="M956" s="129"/>
    </row>
    <row r="957" spans="12:13">
      <c r="L957" s="2"/>
      <c r="M957" s="129"/>
    </row>
    <row r="958" spans="12:13">
      <c r="L958" s="2"/>
      <c r="M958" s="129"/>
    </row>
    <row r="959" spans="12:13">
      <c r="L959" s="2"/>
      <c r="M959" s="129"/>
    </row>
    <row r="960" spans="12:13">
      <c r="L960" s="2"/>
      <c r="M960" s="129"/>
    </row>
    <row r="961" spans="12:13">
      <c r="L961" s="2"/>
      <c r="M961" s="129"/>
    </row>
    <row r="962" spans="12:13">
      <c r="L962" s="2"/>
      <c r="M962" s="129"/>
    </row>
    <row r="963" spans="12:13">
      <c r="L963" s="2"/>
      <c r="M963" s="129"/>
    </row>
    <row r="964" spans="12:13">
      <c r="L964" s="2"/>
      <c r="M964" s="129"/>
    </row>
    <row r="965" spans="12:13">
      <c r="L965" s="2"/>
      <c r="M965" s="129"/>
    </row>
    <row r="966" spans="12:13">
      <c r="L966" s="2"/>
      <c r="M966" s="129"/>
    </row>
    <row r="967" spans="12:13">
      <c r="L967" s="2"/>
      <c r="M967" s="129"/>
    </row>
    <row r="968" spans="12:13">
      <c r="L968" s="2"/>
      <c r="M968" s="129"/>
    </row>
    <row r="969" spans="12:13">
      <c r="L969" s="2"/>
      <c r="M969" s="129"/>
    </row>
    <row r="970" spans="12:13">
      <c r="L970" s="2"/>
      <c r="M970" s="129"/>
    </row>
    <row r="971" spans="12:13">
      <c r="L971" s="2"/>
      <c r="M971" s="129"/>
    </row>
    <row r="972" spans="12:13">
      <c r="L972" s="2"/>
      <c r="M972" s="129"/>
    </row>
    <row r="973" spans="12:13">
      <c r="L973" s="2"/>
      <c r="M973" s="129"/>
    </row>
    <row r="974" spans="12:13">
      <c r="L974" s="2"/>
      <c r="M974" s="129"/>
    </row>
    <row r="975" spans="12:13">
      <c r="L975" s="2"/>
      <c r="M975" s="129"/>
    </row>
    <row r="976" spans="12:13">
      <c r="L976" s="2"/>
      <c r="M976" s="129"/>
    </row>
    <row r="977" spans="12:13">
      <c r="L977" s="2"/>
      <c r="M977" s="129"/>
    </row>
    <row r="978" spans="12:13">
      <c r="L978" s="2"/>
      <c r="M978" s="129"/>
    </row>
    <row r="979" spans="12:13">
      <c r="L979" s="2"/>
      <c r="M979" s="129"/>
    </row>
    <row r="980" spans="12:13">
      <c r="L980" s="2"/>
      <c r="M980" s="129"/>
    </row>
    <row r="981" spans="12:13">
      <c r="L981" s="2"/>
      <c r="M981" s="129"/>
    </row>
    <row r="982" spans="12:13">
      <c r="L982" s="2"/>
      <c r="M982" s="129"/>
    </row>
    <row r="983" spans="12:13">
      <c r="L983" s="2"/>
      <c r="M983" s="129"/>
    </row>
    <row r="984" spans="12:13">
      <c r="L984" s="2"/>
      <c r="M984" s="129"/>
    </row>
    <row r="985" spans="12:13">
      <c r="L985" s="2"/>
      <c r="M985" s="129"/>
    </row>
    <row r="986" spans="12:13">
      <c r="L986" s="2"/>
      <c r="M986" s="129"/>
    </row>
    <row r="987" spans="12:13">
      <c r="L987" s="2"/>
      <c r="M987" s="129"/>
    </row>
    <row r="988" spans="12:13">
      <c r="L988" s="2"/>
      <c r="M988" s="129"/>
    </row>
    <row r="989" spans="12:13">
      <c r="L989" s="2"/>
      <c r="M989" s="129"/>
    </row>
    <row r="990" spans="12:13">
      <c r="L990" s="2"/>
      <c r="M990" s="129"/>
    </row>
    <row r="991" spans="12:13">
      <c r="L991" s="2"/>
      <c r="M991" s="129"/>
    </row>
    <row r="992" spans="12:13">
      <c r="L992" s="2"/>
      <c r="M992" s="129"/>
    </row>
    <row r="993" spans="12:13">
      <c r="L993" s="2"/>
      <c r="M993" s="129"/>
    </row>
    <row r="994" spans="12:13">
      <c r="L994" s="2"/>
      <c r="M994" s="129"/>
    </row>
    <row r="995" spans="12:13">
      <c r="L995" s="2"/>
      <c r="M995" s="129"/>
    </row>
    <row r="996" spans="12:13">
      <c r="L996" s="2"/>
      <c r="M996" s="129"/>
    </row>
    <row r="997" spans="12:13">
      <c r="L997" s="2"/>
      <c r="M997" s="129"/>
    </row>
    <row r="998" spans="12:13">
      <c r="L998" s="2"/>
      <c r="M998" s="129"/>
    </row>
    <row r="999" spans="12:13">
      <c r="L999" s="2"/>
      <c r="M999" s="129"/>
    </row>
    <row r="1000" spans="12:13">
      <c r="L1000" s="2"/>
      <c r="M1000" s="129"/>
    </row>
    <row r="1001" spans="12:13">
      <c r="L1001" s="2"/>
      <c r="M1001" s="129"/>
    </row>
    <row r="1002" spans="12:13">
      <c r="L1002" s="2"/>
      <c r="M1002" s="129"/>
    </row>
    <row r="1003" spans="12:13">
      <c r="L1003" s="2"/>
      <c r="M1003" s="129"/>
    </row>
    <row r="1004" spans="12:13">
      <c r="L1004" s="2"/>
      <c r="M1004" s="129"/>
    </row>
    <row r="1005" spans="12:13">
      <c r="L1005" s="2"/>
      <c r="M1005" s="129"/>
    </row>
    <row r="1006" spans="12:13">
      <c r="L1006" s="2"/>
      <c r="M1006" s="129"/>
    </row>
    <row r="1007" spans="12:13">
      <c r="L1007" s="2"/>
      <c r="M1007" s="129"/>
    </row>
    <row r="1008" spans="12:13">
      <c r="L1008" s="2"/>
      <c r="M1008" s="129"/>
    </row>
    <row r="1009" spans="12:13">
      <c r="L1009" s="2"/>
      <c r="M1009" s="129"/>
    </row>
    <row r="1010" spans="12:13">
      <c r="L1010" s="2"/>
      <c r="M1010" s="129"/>
    </row>
    <row r="1011" spans="12:13">
      <c r="L1011" s="2"/>
      <c r="M1011" s="129"/>
    </row>
    <row r="1012" spans="12:13">
      <c r="L1012" s="2"/>
      <c r="M1012" s="129"/>
    </row>
    <row r="1013" spans="12:13">
      <c r="L1013" s="2"/>
      <c r="M1013" s="129"/>
    </row>
    <row r="1014" spans="12:13">
      <c r="L1014" s="2"/>
      <c r="M1014" s="129"/>
    </row>
    <row r="1015" spans="12:13">
      <c r="L1015" s="2"/>
      <c r="M1015" s="129"/>
    </row>
    <row r="1016" spans="12:13">
      <c r="L1016" s="2"/>
      <c r="M1016" s="129"/>
    </row>
    <row r="1017" spans="12:13">
      <c r="L1017" s="2"/>
      <c r="M1017" s="129"/>
    </row>
    <row r="1018" spans="12:13">
      <c r="L1018" s="2"/>
      <c r="M1018" s="129"/>
    </row>
    <row r="1019" spans="12:13">
      <c r="L1019" s="2"/>
      <c r="M1019" s="129"/>
    </row>
    <row r="1020" spans="12:13">
      <c r="L1020" s="2"/>
      <c r="M1020" s="129"/>
    </row>
    <row r="1021" spans="12:13">
      <c r="L1021" s="2"/>
      <c r="M1021" s="129"/>
    </row>
    <row r="1022" spans="12:13">
      <c r="L1022" s="2"/>
      <c r="M1022" s="129"/>
    </row>
    <row r="1023" spans="12:13">
      <c r="L1023" s="2"/>
      <c r="M1023" s="129"/>
    </row>
    <row r="1024" spans="12:13">
      <c r="L1024" s="2"/>
      <c r="M1024" s="129"/>
    </row>
    <row r="1025" spans="12:13">
      <c r="L1025" s="2"/>
      <c r="M1025" s="129"/>
    </row>
    <row r="1026" spans="12:13">
      <c r="L1026" s="2"/>
      <c r="M1026" s="129"/>
    </row>
    <row r="1027" spans="12:13">
      <c r="L1027" s="2"/>
      <c r="M1027" s="129"/>
    </row>
    <row r="1028" spans="12:13">
      <c r="L1028" s="2"/>
      <c r="M1028" s="129"/>
    </row>
    <row r="1029" spans="12:13">
      <c r="L1029" s="2"/>
      <c r="M1029" s="129"/>
    </row>
    <row r="1030" spans="12:13">
      <c r="L1030" s="2"/>
      <c r="M1030" s="129"/>
    </row>
    <row r="1031" spans="12:13">
      <c r="L1031" s="2"/>
      <c r="M1031" s="129"/>
    </row>
    <row r="1032" spans="12:13">
      <c r="L1032" s="2"/>
      <c r="M1032" s="129"/>
    </row>
    <row r="1033" spans="12:13">
      <c r="L1033" s="2"/>
      <c r="M1033" s="129"/>
    </row>
    <row r="1034" spans="12:13">
      <c r="L1034" s="2"/>
      <c r="M1034" s="129"/>
    </row>
    <row r="1035" spans="12:13">
      <c r="L1035" s="2"/>
      <c r="M1035" s="129"/>
    </row>
    <row r="1036" spans="12:13">
      <c r="L1036" s="2"/>
      <c r="M1036" s="129"/>
    </row>
    <row r="1037" spans="12:13">
      <c r="L1037" s="2"/>
      <c r="M1037" s="129"/>
    </row>
    <row r="1038" spans="12:13">
      <c r="L1038" s="2"/>
      <c r="M1038" s="129"/>
    </row>
    <row r="1039" spans="12:13">
      <c r="L1039" s="2"/>
      <c r="M1039" s="129"/>
    </row>
    <row r="1040" spans="12:13">
      <c r="L1040" s="2"/>
      <c r="M1040" s="129"/>
    </row>
    <row r="1041" spans="12:13">
      <c r="L1041" s="2"/>
      <c r="M1041" s="129"/>
    </row>
    <row r="1042" spans="12:13">
      <c r="L1042" s="2"/>
      <c r="M1042" s="129"/>
    </row>
    <row r="1043" spans="12:13">
      <c r="L1043" s="2"/>
      <c r="M1043" s="129"/>
    </row>
    <row r="1044" spans="12:13">
      <c r="L1044" s="2"/>
      <c r="M1044" s="129"/>
    </row>
    <row r="1045" spans="12:13">
      <c r="L1045" s="2"/>
      <c r="M1045" s="129"/>
    </row>
    <row r="1046" spans="12:13">
      <c r="L1046" s="2"/>
      <c r="M1046" s="129"/>
    </row>
    <row r="1047" spans="12:13">
      <c r="L1047" s="2"/>
      <c r="M1047" s="129"/>
    </row>
    <row r="1048" spans="12:13">
      <c r="L1048" s="2"/>
      <c r="M1048" s="129"/>
    </row>
    <row r="1049" spans="12:13">
      <c r="L1049" s="2"/>
      <c r="M1049" s="129"/>
    </row>
    <row r="1050" spans="12:13">
      <c r="L1050" s="2"/>
      <c r="M1050" s="129"/>
    </row>
    <row r="1051" spans="12:13">
      <c r="L1051" s="2"/>
      <c r="M1051" s="129"/>
    </row>
    <row r="1052" spans="12:13">
      <c r="L1052" s="2"/>
      <c r="M1052" s="129"/>
    </row>
    <row r="1053" spans="12:13">
      <c r="L1053" s="2"/>
      <c r="M1053" s="129"/>
    </row>
    <row r="1054" spans="12:13">
      <c r="L1054" s="2"/>
      <c r="M1054" s="129"/>
    </row>
    <row r="1055" spans="12:13">
      <c r="L1055" s="2"/>
      <c r="M1055" s="129"/>
    </row>
    <row r="1056" spans="12:13">
      <c r="L1056" s="2"/>
      <c r="M1056" s="129"/>
    </row>
    <row r="1057" spans="12:13">
      <c r="L1057" s="2"/>
      <c r="M1057" s="129"/>
    </row>
    <row r="1058" spans="12:13">
      <c r="L1058" s="2"/>
      <c r="M1058" s="129"/>
    </row>
    <row r="1059" spans="12:13">
      <c r="L1059" s="2"/>
      <c r="M1059" s="129"/>
    </row>
    <row r="1060" spans="12:13">
      <c r="L1060" s="2"/>
      <c r="M1060" s="129"/>
    </row>
    <row r="1061" spans="12:13">
      <c r="L1061" s="2"/>
      <c r="M1061" s="129"/>
    </row>
    <row r="1062" spans="12:13">
      <c r="L1062" s="2"/>
      <c r="M1062" s="129"/>
    </row>
    <row r="1063" spans="12:13">
      <c r="L1063" s="2"/>
      <c r="M1063" s="129"/>
    </row>
    <row r="1064" spans="12:13">
      <c r="L1064" s="2"/>
      <c r="M1064" s="129"/>
    </row>
    <row r="1065" spans="12:13">
      <c r="L1065" s="2"/>
      <c r="M1065" s="129"/>
    </row>
    <row r="1066" spans="12:13">
      <c r="L1066" s="2"/>
      <c r="M1066" s="129"/>
    </row>
    <row r="1067" spans="12:13">
      <c r="L1067" s="2"/>
      <c r="M1067" s="129"/>
    </row>
    <row r="1068" spans="12:13">
      <c r="L1068" s="2"/>
      <c r="M1068" s="129"/>
    </row>
    <row r="1069" spans="12:13">
      <c r="L1069" s="2"/>
      <c r="M1069" s="129"/>
    </row>
    <row r="1070" spans="12:13">
      <c r="L1070" s="2"/>
      <c r="M1070" s="129"/>
    </row>
    <row r="1071" spans="12:13">
      <c r="L1071" s="2"/>
      <c r="M1071" s="129"/>
    </row>
    <row r="1072" spans="12:13">
      <c r="L1072" s="2"/>
      <c r="M1072" s="129"/>
    </row>
    <row r="1073" spans="12:13">
      <c r="L1073" s="2"/>
      <c r="M1073" s="129"/>
    </row>
    <row r="1074" spans="12:13">
      <c r="L1074" s="2"/>
      <c r="M1074" s="129"/>
    </row>
    <row r="1075" spans="12:13">
      <c r="L1075" s="2"/>
      <c r="M1075" s="129"/>
    </row>
    <row r="1076" spans="12:13">
      <c r="L1076" s="2"/>
      <c r="M1076" s="129"/>
    </row>
    <row r="1077" spans="12:13">
      <c r="L1077" s="2"/>
      <c r="M1077" s="129"/>
    </row>
    <row r="1078" spans="12:13">
      <c r="L1078" s="2"/>
      <c r="M1078" s="129"/>
    </row>
    <row r="1079" spans="12:13">
      <c r="L1079" s="2"/>
      <c r="M1079" s="129"/>
    </row>
    <row r="1080" spans="12:13">
      <c r="L1080" s="2"/>
      <c r="M1080" s="129"/>
    </row>
    <row r="1081" spans="12:13">
      <c r="L1081" s="2"/>
      <c r="M1081" s="129"/>
    </row>
    <row r="1082" spans="12:13">
      <c r="L1082" s="2"/>
      <c r="M1082" s="129"/>
    </row>
    <row r="1083" spans="12:13">
      <c r="L1083" s="2"/>
      <c r="M1083" s="129"/>
    </row>
    <row r="1084" spans="12:13">
      <c r="L1084" s="2"/>
      <c r="M1084" s="129"/>
    </row>
    <row r="1085" spans="12:13">
      <c r="L1085" s="2"/>
      <c r="M1085" s="129"/>
    </row>
    <row r="1086" spans="12:13">
      <c r="L1086" s="2"/>
      <c r="M1086" s="129"/>
    </row>
    <row r="1087" spans="12:13">
      <c r="L1087" s="2"/>
      <c r="M1087" s="129"/>
    </row>
    <row r="1088" spans="12:13">
      <c r="L1088" s="2"/>
      <c r="M1088" s="129"/>
    </row>
    <row r="1089" spans="12:13">
      <c r="L1089" s="2"/>
      <c r="M1089" s="129"/>
    </row>
    <row r="1090" spans="12:13">
      <c r="L1090" s="2"/>
      <c r="M1090" s="129"/>
    </row>
    <row r="1091" spans="12:13">
      <c r="L1091" s="2"/>
      <c r="M1091" s="129"/>
    </row>
    <row r="1092" spans="12:13">
      <c r="L1092" s="2"/>
      <c r="M1092" s="129"/>
    </row>
    <row r="1093" spans="12:13">
      <c r="L1093" s="2"/>
      <c r="M1093" s="129"/>
    </row>
    <row r="1094" spans="12:13">
      <c r="L1094" s="2"/>
      <c r="M1094" s="129"/>
    </row>
    <row r="1095" spans="12:13">
      <c r="L1095" s="2"/>
      <c r="M1095" s="129"/>
    </row>
    <row r="1096" spans="12:13">
      <c r="L1096" s="2"/>
      <c r="M1096" s="129"/>
    </row>
    <row r="1097" spans="12:13">
      <c r="L1097" s="2"/>
      <c r="M1097" s="129"/>
    </row>
    <row r="1098" spans="12:13">
      <c r="L1098" s="2"/>
      <c r="M1098" s="129"/>
    </row>
    <row r="1099" spans="12:13">
      <c r="L1099" s="2"/>
      <c r="M1099" s="129"/>
    </row>
    <row r="1100" spans="12:13">
      <c r="L1100" s="2"/>
      <c r="M1100" s="129"/>
    </row>
    <row r="1101" spans="12:13">
      <c r="L1101" s="2"/>
      <c r="M1101" s="129"/>
    </row>
    <row r="1102" spans="12:13">
      <c r="L1102" s="2"/>
      <c r="M1102" s="129"/>
    </row>
    <row r="1103" spans="12:13">
      <c r="L1103" s="2"/>
      <c r="M1103" s="129"/>
    </row>
    <row r="1104" spans="12:13">
      <c r="L1104" s="2"/>
      <c r="M1104" s="129"/>
    </row>
    <row r="1105" spans="12:13">
      <c r="L1105" s="2"/>
      <c r="M1105" s="129"/>
    </row>
    <row r="1106" spans="12:13">
      <c r="L1106" s="2"/>
      <c r="M1106" s="129"/>
    </row>
    <row r="1107" spans="12:13">
      <c r="L1107" s="2"/>
      <c r="M1107" s="129"/>
    </row>
    <row r="1108" spans="12:13">
      <c r="L1108" s="2"/>
      <c r="M1108" s="129"/>
    </row>
    <row r="1109" spans="12:13">
      <c r="L1109" s="2"/>
      <c r="M1109" s="129"/>
    </row>
    <row r="1110" spans="12:13">
      <c r="L1110" s="2"/>
      <c r="M1110" s="129"/>
    </row>
    <row r="1111" spans="12:13">
      <c r="L1111" s="2"/>
      <c r="M1111" s="129"/>
    </row>
    <row r="1112" spans="12:13">
      <c r="L1112" s="2"/>
      <c r="M1112" s="129"/>
    </row>
    <row r="1113" spans="12:13">
      <c r="L1113" s="2"/>
      <c r="M1113" s="129"/>
    </row>
    <row r="1114" spans="12:13">
      <c r="L1114" s="2"/>
      <c r="M1114" s="129"/>
    </row>
    <row r="1115" spans="12:13">
      <c r="L1115" s="2"/>
      <c r="M1115" s="129"/>
    </row>
    <row r="1116" spans="12:13">
      <c r="L1116" s="2"/>
      <c r="M1116" s="129"/>
    </row>
    <row r="1117" spans="12:13">
      <c r="L1117" s="2"/>
      <c r="M1117" s="129"/>
    </row>
    <row r="1118" spans="12:13">
      <c r="L1118" s="2"/>
      <c r="M1118" s="129"/>
    </row>
    <row r="1119" spans="12:13">
      <c r="L1119" s="2"/>
      <c r="M1119" s="129"/>
    </row>
    <row r="1120" spans="12:13">
      <c r="L1120" s="2"/>
      <c r="M1120" s="129"/>
    </row>
    <row r="1121" spans="12:13">
      <c r="L1121" s="2"/>
      <c r="M1121" s="129"/>
    </row>
    <row r="1122" spans="12:13">
      <c r="L1122" s="2"/>
      <c r="M1122" s="129"/>
    </row>
    <row r="1123" spans="12:13">
      <c r="L1123" s="2"/>
      <c r="M1123" s="129"/>
    </row>
    <row r="1124" spans="12:13">
      <c r="L1124" s="2"/>
      <c r="M1124" s="129"/>
    </row>
    <row r="1125" spans="12:13">
      <c r="L1125" s="2"/>
      <c r="M1125" s="129"/>
    </row>
    <row r="1126" spans="12:13">
      <c r="L1126" s="2"/>
      <c r="M1126" s="129"/>
    </row>
    <row r="1127" spans="12:13">
      <c r="L1127" s="2"/>
      <c r="M1127" s="129"/>
    </row>
    <row r="1128" spans="12:13">
      <c r="L1128" s="2"/>
      <c r="M1128" s="129"/>
    </row>
    <row r="1129" spans="12:13">
      <c r="L1129" s="2"/>
      <c r="M1129" s="129"/>
    </row>
    <row r="1130" spans="12:13">
      <c r="L1130" s="2"/>
      <c r="M1130" s="129"/>
    </row>
    <row r="1131" spans="12:13">
      <c r="L1131" s="2"/>
      <c r="M1131" s="129"/>
    </row>
    <row r="1132" spans="12:13">
      <c r="L1132" s="2"/>
      <c r="M1132" s="129"/>
    </row>
    <row r="1133" spans="12:13">
      <c r="L1133" s="2"/>
      <c r="M1133" s="129"/>
    </row>
    <row r="1134" spans="12:13">
      <c r="L1134" s="2"/>
      <c r="M1134" s="129"/>
    </row>
    <row r="1135" spans="12:13">
      <c r="L1135" s="2"/>
      <c r="M1135" s="129"/>
    </row>
    <row r="1136" spans="12:13">
      <c r="L1136" s="2"/>
      <c r="M1136" s="129"/>
    </row>
    <row r="1137" spans="12:13">
      <c r="L1137" s="2"/>
      <c r="M1137" s="129"/>
    </row>
    <row r="1138" spans="12:13">
      <c r="L1138" s="2"/>
      <c r="M1138" s="129"/>
    </row>
    <row r="1139" spans="12:13">
      <c r="L1139" s="2"/>
      <c r="M1139" s="129"/>
    </row>
    <row r="1140" spans="12:13">
      <c r="L1140" s="2"/>
      <c r="M1140" s="129"/>
    </row>
    <row r="1141" spans="12:13">
      <c r="L1141" s="2"/>
      <c r="M1141" s="129"/>
    </row>
    <row r="1142" spans="12:13">
      <c r="L1142" s="2"/>
      <c r="M1142" s="129"/>
    </row>
    <row r="1143" spans="12:13">
      <c r="L1143" s="2"/>
      <c r="M1143" s="129"/>
    </row>
    <row r="1144" spans="12:13">
      <c r="L1144" s="2"/>
      <c r="M1144" s="129"/>
    </row>
    <row r="1145" spans="12:13">
      <c r="L1145" s="2"/>
      <c r="M1145" s="129"/>
    </row>
    <row r="1146" spans="12:13">
      <c r="L1146" s="2"/>
      <c r="M1146" s="129"/>
    </row>
    <row r="1147" spans="12:13">
      <c r="L1147" s="2"/>
      <c r="M1147" s="129"/>
    </row>
    <row r="1148" spans="12:13">
      <c r="L1148" s="2"/>
      <c r="M1148" s="129"/>
    </row>
    <row r="1149" spans="12:13">
      <c r="L1149" s="2"/>
      <c r="M1149" s="129"/>
    </row>
    <row r="1150" spans="12:13">
      <c r="L1150" s="2"/>
      <c r="M1150" s="129"/>
    </row>
    <row r="1151" spans="12:13">
      <c r="L1151" s="2"/>
      <c r="M1151" s="129"/>
    </row>
    <row r="1152" spans="12:13">
      <c r="L1152" s="2"/>
      <c r="M1152" s="129"/>
    </row>
    <row r="1153" spans="12:13">
      <c r="L1153" s="2"/>
      <c r="M1153" s="129"/>
    </row>
    <row r="1154" spans="12:13">
      <c r="L1154" s="2"/>
      <c r="M1154" s="129"/>
    </row>
    <row r="1155" spans="12:13">
      <c r="L1155" s="2"/>
      <c r="M1155" s="129"/>
    </row>
    <row r="1156" spans="12:13">
      <c r="L1156" s="2"/>
      <c r="M1156" s="129"/>
    </row>
  </sheetData>
  <mergeCells count="3">
    <mergeCell ref="B6:K6"/>
    <mergeCell ref="B5:K5"/>
    <mergeCell ref="A72:K72"/>
  </mergeCells>
  <phoneticPr fontId="0" type="noConversion"/>
  <pageMargins left="0.75" right="0.75" top="1" bottom="1" header="0.5" footer="0.5"/>
  <pageSetup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0353"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00354"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00355"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00356"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100357" r:id="rId7" name="Button 5">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00358" r:id="rId8"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00359" r:id="rId9"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00360" r:id="rId10"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5" enableFormatConditionsCalculation="0"/>
  <dimension ref="A1:N56"/>
  <sheetViews>
    <sheetView workbookViewId="0"/>
  </sheetViews>
  <sheetFormatPr baseColWidth="10" defaultColWidth="8.83203125" defaultRowHeight="12" x14ac:dyDescent="0"/>
  <cols>
    <col min="1" max="1" width="11.5" customWidth="1"/>
    <col min="4" max="4" width="13" customWidth="1"/>
    <col min="5" max="5" width="12.33203125" customWidth="1"/>
    <col min="6" max="6" width="12"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249</v>
      </c>
      <c r="C3" s="21"/>
      <c r="D3" s="21"/>
      <c r="E3" s="21"/>
      <c r="F3" s="21"/>
      <c r="G3" s="21"/>
      <c r="H3" s="21"/>
      <c r="I3" s="21"/>
      <c r="J3" s="21"/>
      <c r="K3" s="21"/>
    </row>
    <row r="4" spans="1:14">
      <c r="A4" s="19" t="s">
        <v>774</v>
      </c>
      <c r="B4" s="20" t="s">
        <v>437</v>
      </c>
      <c r="C4" s="21"/>
      <c r="D4" s="21"/>
      <c r="E4" s="21"/>
      <c r="F4" s="21"/>
      <c r="G4" s="21"/>
      <c r="H4" s="21"/>
      <c r="I4" s="21"/>
      <c r="J4" s="21"/>
      <c r="K4" s="21"/>
    </row>
    <row r="5" spans="1:14" ht="30.75" customHeight="1">
      <c r="A5" s="118" t="s">
        <v>779</v>
      </c>
      <c r="B5" s="446" t="s">
        <v>664</v>
      </c>
      <c r="C5" s="446"/>
      <c r="D5" s="446"/>
      <c r="E5" s="446"/>
      <c r="F5" s="446"/>
      <c r="G5" s="446"/>
      <c r="H5" s="446"/>
      <c r="I5" s="446"/>
      <c r="J5" s="446"/>
      <c r="K5" s="446"/>
      <c r="L5" s="241"/>
    </row>
    <row r="6" spans="1:14" ht="50.25" customHeight="1">
      <c r="A6" s="21"/>
      <c r="B6" s="21"/>
      <c r="C6" s="21"/>
      <c r="D6" s="21"/>
      <c r="E6" s="21"/>
      <c r="F6" s="21"/>
      <c r="G6" s="21"/>
      <c r="H6" s="21"/>
      <c r="I6" s="21"/>
      <c r="J6" s="21"/>
      <c r="K6" s="21"/>
      <c r="L6" s="241"/>
    </row>
    <row r="7" spans="1:14" ht="49.5" customHeight="1">
      <c r="A7" s="22" t="s">
        <v>1090</v>
      </c>
      <c r="B7" s="22" t="s">
        <v>1096</v>
      </c>
      <c r="C7" s="22" t="s">
        <v>1097</v>
      </c>
      <c r="D7" s="22" t="s">
        <v>1098</v>
      </c>
      <c r="E7" s="31" t="s">
        <v>665</v>
      </c>
      <c r="F7" s="31" t="s">
        <v>666</v>
      </c>
      <c r="G7" s="22"/>
      <c r="H7" s="22"/>
      <c r="I7" s="22"/>
      <c r="J7" s="22"/>
      <c r="K7" s="22"/>
    </row>
    <row r="8" spans="1:14">
      <c r="A8" s="26">
        <v>36039</v>
      </c>
      <c r="B8" s="112">
        <v>10.125</v>
      </c>
      <c r="C8" s="112">
        <v>8.375</v>
      </c>
      <c r="D8" s="112">
        <v>10.125</v>
      </c>
      <c r="E8" s="112">
        <f>B8+C8+D8</f>
        <v>28.625</v>
      </c>
      <c r="F8" s="112">
        <f>E8/3</f>
        <v>9.5416666666666661</v>
      </c>
      <c r="G8" s="28"/>
      <c r="H8" s="28"/>
      <c r="I8" s="28"/>
      <c r="J8" s="28"/>
      <c r="K8" s="54"/>
    </row>
    <row r="9" spans="1:14">
      <c r="A9" s="26">
        <v>36040</v>
      </c>
      <c r="B9" s="112">
        <v>10.875</v>
      </c>
      <c r="C9" s="112">
        <v>10</v>
      </c>
      <c r="D9" s="112">
        <v>10</v>
      </c>
      <c r="E9" s="112">
        <f t="shared" ref="E9:E52" si="0">B9+C9+D9</f>
        <v>30.875</v>
      </c>
      <c r="F9" s="112">
        <f t="shared" ref="F9:F52" si="1">E9/3</f>
        <v>10.291666666666666</v>
      </c>
      <c r="G9" s="28"/>
      <c r="H9" s="28"/>
      <c r="I9" s="28"/>
      <c r="J9" s="28"/>
      <c r="K9" s="54"/>
    </row>
    <row r="10" spans="1:14">
      <c r="A10" s="27">
        <v>36041</v>
      </c>
      <c r="B10" s="111">
        <v>10.1875</v>
      </c>
      <c r="C10" s="111">
        <v>9.25</v>
      </c>
      <c r="D10" s="111">
        <v>10.125</v>
      </c>
      <c r="E10" s="111">
        <f t="shared" si="0"/>
        <v>29.5625</v>
      </c>
      <c r="F10" s="111">
        <f t="shared" si="1"/>
        <v>9.8541666666666661</v>
      </c>
      <c r="G10" s="29"/>
      <c r="H10" s="29"/>
      <c r="I10" s="29"/>
      <c r="J10" s="29"/>
      <c r="K10" s="57"/>
    </row>
    <row r="11" spans="1:14">
      <c r="A11" s="27">
        <v>36042</v>
      </c>
      <c r="B11" s="111">
        <v>10.25</v>
      </c>
      <c r="C11" s="111">
        <v>9.875</v>
      </c>
      <c r="D11" s="111">
        <v>10.25</v>
      </c>
      <c r="E11" s="111">
        <f t="shared" si="0"/>
        <v>30.375</v>
      </c>
      <c r="F11" s="111">
        <f t="shared" si="1"/>
        <v>10.125</v>
      </c>
      <c r="G11" s="29"/>
      <c r="H11" s="29"/>
      <c r="I11" s="29"/>
      <c r="J11" s="29"/>
      <c r="K11" s="57"/>
    </row>
    <row r="12" spans="1:14">
      <c r="A12" s="26">
        <v>36046</v>
      </c>
      <c r="B12" s="112">
        <v>11</v>
      </c>
      <c r="C12" s="112">
        <v>9.75</v>
      </c>
      <c r="D12" s="112">
        <v>9.9375</v>
      </c>
      <c r="E12" s="112">
        <f t="shared" si="0"/>
        <v>30.6875</v>
      </c>
      <c r="F12" s="112">
        <f t="shared" si="1"/>
        <v>10.229166666666666</v>
      </c>
      <c r="G12" s="28"/>
      <c r="H12" s="28"/>
      <c r="I12" s="28"/>
      <c r="J12" s="28"/>
      <c r="K12" s="54"/>
    </row>
    <row r="13" spans="1:14">
      <c r="A13" s="26">
        <v>36047</v>
      </c>
      <c r="B13" s="112">
        <v>12.5</v>
      </c>
      <c r="C13" s="112">
        <v>9.75</v>
      </c>
      <c r="D13" s="112">
        <v>11.5625</v>
      </c>
      <c r="E13" s="112">
        <f t="shared" si="0"/>
        <v>33.8125</v>
      </c>
      <c r="F13" s="112">
        <f t="shared" si="1"/>
        <v>11.270833333333334</v>
      </c>
      <c r="G13" s="28"/>
      <c r="H13" s="28"/>
      <c r="I13" s="28"/>
      <c r="J13" s="28"/>
      <c r="K13" s="54"/>
    </row>
    <row r="14" spans="1:14">
      <c r="A14" s="27">
        <v>36048</v>
      </c>
      <c r="B14" s="111">
        <v>11.75</v>
      </c>
      <c r="C14" s="111">
        <v>10.625</v>
      </c>
      <c r="D14" s="111">
        <v>11.0625</v>
      </c>
      <c r="E14" s="111">
        <f t="shared" si="0"/>
        <v>33.4375</v>
      </c>
      <c r="F14" s="111">
        <f t="shared" si="1"/>
        <v>11.145833333333334</v>
      </c>
      <c r="G14" s="29"/>
      <c r="H14" s="29"/>
      <c r="I14" s="29"/>
      <c r="J14" s="29"/>
      <c r="K14" s="57"/>
    </row>
    <row r="15" spans="1:14">
      <c r="A15" s="27">
        <v>36049</v>
      </c>
      <c r="B15" s="111">
        <v>11.625</v>
      </c>
      <c r="C15" s="111">
        <v>10.5</v>
      </c>
      <c r="D15" s="111">
        <v>10.75</v>
      </c>
      <c r="E15" s="111">
        <f t="shared" si="0"/>
        <v>32.875</v>
      </c>
      <c r="F15" s="111">
        <f t="shared" si="1"/>
        <v>10.958333333333334</v>
      </c>
      <c r="G15" s="29"/>
      <c r="H15" s="29"/>
      <c r="I15" s="29"/>
      <c r="J15" s="29"/>
      <c r="K15" s="57"/>
    </row>
    <row r="16" spans="1:14">
      <c r="A16" s="26">
        <v>36052</v>
      </c>
      <c r="B16" s="112">
        <v>12</v>
      </c>
      <c r="C16" s="112">
        <v>10.875</v>
      </c>
      <c r="D16" s="112">
        <v>11.75</v>
      </c>
      <c r="E16" s="112">
        <f t="shared" si="0"/>
        <v>34.625</v>
      </c>
      <c r="F16" s="112">
        <f t="shared" si="1"/>
        <v>11.541666666666666</v>
      </c>
      <c r="G16" s="28"/>
      <c r="H16" s="28"/>
      <c r="I16" s="28"/>
      <c r="J16" s="28"/>
      <c r="K16" s="54"/>
    </row>
    <row r="17" spans="1:11">
      <c r="A17" s="26">
        <v>36053</v>
      </c>
      <c r="B17" s="112">
        <v>11.9375</v>
      </c>
      <c r="C17" s="112">
        <v>11.25</v>
      </c>
      <c r="D17" s="112">
        <v>11.4375</v>
      </c>
      <c r="E17" s="112">
        <f t="shared" si="0"/>
        <v>34.625</v>
      </c>
      <c r="F17" s="112">
        <f t="shared" si="1"/>
        <v>11.541666666666666</v>
      </c>
      <c r="G17" s="28"/>
      <c r="H17" s="28"/>
      <c r="I17" s="28"/>
      <c r="J17" s="28"/>
      <c r="K17" s="54"/>
    </row>
    <row r="18" spans="1:11">
      <c r="A18" s="27">
        <v>36054</v>
      </c>
      <c r="B18" s="111">
        <v>11.75</v>
      </c>
      <c r="C18" s="111">
        <v>11</v>
      </c>
      <c r="D18" s="111">
        <v>11.125</v>
      </c>
      <c r="E18" s="111">
        <f t="shared" si="0"/>
        <v>33.875</v>
      </c>
      <c r="F18" s="111">
        <f t="shared" si="1"/>
        <v>11.291666666666666</v>
      </c>
      <c r="G18" s="29"/>
      <c r="H18" s="29"/>
      <c r="I18" s="29"/>
      <c r="J18" s="29"/>
      <c r="K18" s="57"/>
    </row>
    <row r="19" spans="1:11">
      <c r="A19" s="27">
        <v>36055</v>
      </c>
      <c r="B19" s="111">
        <v>11.125</v>
      </c>
      <c r="C19" s="111">
        <v>10.375</v>
      </c>
      <c r="D19" s="111">
        <v>10.875</v>
      </c>
      <c r="E19" s="111">
        <f t="shared" si="0"/>
        <v>32.375</v>
      </c>
      <c r="F19" s="111">
        <f t="shared" si="1"/>
        <v>10.791666666666666</v>
      </c>
      <c r="G19" s="29"/>
      <c r="H19" s="29"/>
      <c r="I19" s="29"/>
      <c r="J19" s="29"/>
      <c r="K19" s="57"/>
    </row>
    <row r="20" spans="1:11">
      <c r="A20" s="26">
        <v>36056</v>
      </c>
      <c r="B20" s="112">
        <v>11.375</v>
      </c>
      <c r="C20" s="112">
        <v>10.4375</v>
      </c>
      <c r="D20" s="112">
        <v>10.4375</v>
      </c>
      <c r="E20" s="112">
        <f t="shared" si="0"/>
        <v>32.25</v>
      </c>
      <c r="F20" s="112">
        <f t="shared" si="1"/>
        <v>10.75</v>
      </c>
      <c r="G20" s="28"/>
      <c r="H20" s="28"/>
      <c r="I20" s="28"/>
      <c r="J20" s="28"/>
      <c r="K20" s="54"/>
    </row>
    <row r="21" spans="1:11">
      <c r="A21" s="26">
        <v>36059</v>
      </c>
      <c r="B21" s="112">
        <v>10.25</v>
      </c>
      <c r="C21" s="112">
        <v>9.6875</v>
      </c>
      <c r="D21" s="112">
        <v>9.75</v>
      </c>
      <c r="E21" s="112">
        <f t="shared" si="0"/>
        <v>29.6875</v>
      </c>
      <c r="F21" s="112">
        <f t="shared" si="1"/>
        <v>9.8958333333333339</v>
      </c>
      <c r="G21" s="28"/>
      <c r="H21" s="28"/>
      <c r="I21" s="28"/>
      <c r="J21" s="28"/>
      <c r="K21" s="54"/>
    </row>
    <row r="22" spans="1:11">
      <c r="A22" s="27">
        <v>36060</v>
      </c>
      <c r="B22" s="111">
        <v>10.25</v>
      </c>
      <c r="C22" s="111">
        <v>9.75</v>
      </c>
      <c r="D22" s="111">
        <v>9.9375</v>
      </c>
      <c r="E22" s="111">
        <f t="shared" si="0"/>
        <v>29.9375</v>
      </c>
      <c r="F22" s="111">
        <f t="shared" si="1"/>
        <v>9.9791666666666661</v>
      </c>
      <c r="G22" s="29"/>
      <c r="H22" s="29"/>
      <c r="I22" s="29"/>
      <c r="J22" s="29"/>
      <c r="K22" s="57"/>
    </row>
    <row r="23" spans="1:11">
      <c r="A23" s="27">
        <v>36061</v>
      </c>
      <c r="B23" s="111">
        <v>10.4375</v>
      </c>
      <c r="C23" s="111">
        <v>10.125</v>
      </c>
      <c r="D23" s="111">
        <v>10.3125</v>
      </c>
      <c r="E23" s="111">
        <f t="shared" si="0"/>
        <v>30.875</v>
      </c>
      <c r="F23" s="111">
        <f t="shared" si="1"/>
        <v>10.291666666666666</v>
      </c>
      <c r="G23" s="29"/>
      <c r="H23" s="29"/>
      <c r="I23" s="29"/>
      <c r="J23" s="29"/>
      <c r="K23" s="57"/>
    </row>
    <row r="24" spans="1:11">
      <c r="A24" s="26">
        <v>36062</v>
      </c>
      <c r="B24" s="112">
        <v>10.375</v>
      </c>
      <c r="C24" s="112">
        <v>9.75</v>
      </c>
      <c r="D24" s="112">
        <v>9.9375</v>
      </c>
      <c r="E24" s="112">
        <f t="shared" si="0"/>
        <v>30.0625</v>
      </c>
      <c r="F24" s="112">
        <f t="shared" si="1"/>
        <v>10.020833333333334</v>
      </c>
      <c r="G24" s="28"/>
      <c r="H24" s="28"/>
      <c r="I24" s="28"/>
      <c r="J24" s="28"/>
      <c r="K24" s="54"/>
    </row>
    <row r="25" spans="1:11">
      <c r="A25" s="26">
        <v>36063</v>
      </c>
      <c r="B25" s="112">
        <v>10.375</v>
      </c>
      <c r="C25" s="112">
        <v>9.875</v>
      </c>
      <c r="D25" s="112">
        <v>10.125</v>
      </c>
      <c r="E25" s="112">
        <f t="shared" si="0"/>
        <v>30.375</v>
      </c>
      <c r="F25" s="112">
        <f t="shared" si="1"/>
        <v>10.125</v>
      </c>
      <c r="G25" s="28"/>
      <c r="H25" s="28"/>
      <c r="I25" s="28"/>
      <c r="J25" s="28"/>
      <c r="K25" s="54"/>
    </row>
    <row r="26" spans="1:11">
      <c r="A26" s="27">
        <v>36066</v>
      </c>
      <c r="B26" s="111">
        <v>10.625</v>
      </c>
      <c r="C26" s="111">
        <v>9.9375</v>
      </c>
      <c r="D26" s="111">
        <v>10.125</v>
      </c>
      <c r="E26" s="111">
        <f t="shared" si="0"/>
        <v>30.6875</v>
      </c>
      <c r="F26" s="111">
        <f t="shared" si="1"/>
        <v>10.229166666666666</v>
      </c>
      <c r="G26" s="29"/>
      <c r="H26" s="29"/>
      <c r="I26" s="29"/>
      <c r="J26" s="29"/>
      <c r="K26" s="57"/>
    </row>
    <row r="27" spans="1:11">
      <c r="A27" s="27">
        <v>36067</v>
      </c>
      <c r="B27" s="111">
        <v>10.25</v>
      </c>
      <c r="C27" s="111">
        <v>9</v>
      </c>
      <c r="D27" s="111">
        <v>9.0625</v>
      </c>
      <c r="E27" s="111">
        <f t="shared" si="0"/>
        <v>28.3125</v>
      </c>
      <c r="F27" s="111">
        <f t="shared" si="1"/>
        <v>9.4375</v>
      </c>
      <c r="G27" s="29"/>
      <c r="H27" s="29"/>
      <c r="I27" s="29"/>
      <c r="J27" s="29"/>
      <c r="K27" s="57"/>
    </row>
    <row r="28" spans="1:11">
      <c r="A28" s="26">
        <v>36068</v>
      </c>
      <c r="B28" s="112">
        <v>9.0625</v>
      </c>
      <c r="C28" s="112">
        <v>8.25</v>
      </c>
      <c r="D28" s="112">
        <v>8.75</v>
      </c>
      <c r="E28" s="112">
        <f t="shared" si="0"/>
        <v>26.0625</v>
      </c>
      <c r="F28" s="112">
        <f t="shared" si="1"/>
        <v>8.6875</v>
      </c>
      <c r="G28" s="28"/>
      <c r="H28" s="28"/>
      <c r="I28" s="28"/>
      <c r="J28" s="28"/>
      <c r="K28" s="54"/>
    </row>
    <row r="29" spans="1:11">
      <c r="A29" s="26">
        <v>36069</v>
      </c>
      <c r="B29" s="112">
        <v>8.75</v>
      </c>
      <c r="C29" s="112">
        <v>6.75</v>
      </c>
      <c r="D29" s="112">
        <v>7.125</v>
      </c>
      <c r="E29" s="112">
        <f t="shared" si="0"/>
        <v>22.625</v>
      </c>
      <c r="F29" s="112">
        <f t="shared" si="1"/>
        <v>7.541666666666667</v>
      </c>
      <c r="G29" s="28"/>
      <c r="H29" s="28"/>
      <c r="I29" s="28"/>
      <c r="J29" s="28"/>
      <c r="K29" s="54"/>
    </row>
    <row r="30" spans="1:11">
      <c r="A30" s="27">
        <v>36070</v>
      </c>
      <c r="B30" s="111">
        <v>7.5</v>
      </c>
      <c r="C30" s="111">
        <v>6.375</v>
      </c>
      <c r="D30" s="111">
        <v>6.5</v>
      </c>
      <c r="E30" s="111">
        <f t="shared" si="0"/>
        <v>20.375</v>
      </c>
      <c r="F30" s="111">
        <f t="shared" si="1"/>
        <v>6.791666666666667</v>
      </c>
      <c r="G30" s="29"/>
      <c r="H30" s="29"/>
      <c r="I30" s="29"/>
      <c r="J30" s="29"/>
      <c r="K30" s="57"/>
    </row>
    <row r="31" spans="1:11">
      <c r="A31" s="27">
        <v>36073</v>
      </c>
      <c r="B31" s="111">
        <v>6.8125</v>
      </c>
      <c r="C31" s="111">
        <v>5.5625</v>
      </c>
      <c r="D31" s="111">
        <v>6</v>
      </c>
      <c r="E31" s="111">
        <f t="shared" si="0"/>
        <v>18.375</v>
      </c>
      <c r="F31" s="111">
        <f t="shared" si="1"/>
        <v>6.125</v>
      </c>
      <c r="G31" s="29"/>
      <c r="H31" s="29"/>
      <c r="I31" s="29"/>
      <c r="J31" s="29"/>
      <c r="K31" s="57"/>
    </row>
    <row r="32" spans="1:11">
      <c r="A32" s="26">
        <v>36074</v>
      </c>
      <c r="B32" s="112">
        <v>6.875</v>
      </c>
      <c r="C32" s="112">
        <v>5.8125</v>
      </c>
      <c r="D32" s="112">
        <v>5.9375</v>
      </c>
      <c r="E32" s="112">
        <f t="shared" si="0"/>
        <v>18.625</v>
      </c>
      <c r="F32" s="112">
        <f t="shared" si="1"/>
        <v>6.208333333333333</v>
      </c>
      <c r="G32" s="28"/>
      <c r="H32" s="28"/>
      <c r="I32" s="28"/>
      <c r="J32" s="28"/>
      <c r="K32" s="54"/>
    </row>
    <row r="33" spans="1:11">
      <c r="A33" s="26">
        <v>36075</v>
      </c>
      <c r="B33" s="112">
        <v>6.25</v>
      </c>
      <c r="C33" s="112">
        <v>5.9375</v>
      </c>
      <c r="D33" s="112">
        <v>6.1875</v>
      </c>
      <c r="E33" s="112">
        <f t="shared" si="0"/>
        <v>18.375</v>
      </c>
      <c r="F33" s="112">
        <f t="shared" si="1"/>
        <v>6.125</v>
      </c>
      <c r="G33" s="28"/>
      <c r="H33" s="28"/>
      <c r="I33" s="28"/>
      <c r="J33" s="28"/>
      <c r="K33" s="54"/>
    </row>
    <row r="34" spans="1:11">
      <c r="A34" s="27">
        <v>36076</v>
      </c>
      <c r="B34" s="111">
        <v>6.4375</v>
      </c>
      <c r="C34" s="111">
        <v>5.75</v>
      </c>
      <c r="D34" s="111">
        <v>6.4375</v>
      </c>
      <c r="E34" s="111">
        <f t="shared" si="0"/>
        <v>18.625</v>
      </c>
      <c r="F34" s="111">
        <f t="shared" si="1"/>
        <v>6.208333333333333</v>
      </c>
      <c r="G34" s="29"/>
      <c r="H34" s="29"/>
      <c r="I34" s="29"/>
      <c r="J34" s="29"/>
      <c r="K34" s="57"/>
    </row>
    <row r="35" spans="1:11">
      <c r="A35" s="27">
        <v>36077</v>
      </c>
      <c r="B35" s="111">
        <v>7.875</v>
      </c>
      <c r="C35" s="111">
        <v>6.75</v>
      </c>
      <c r="D35" s="111">
        <v>7.375</v>
      </c>
      <c r="E35" s="111">
        <f t="shared" si="0"/>
        <v>22</v>
      </c>
      <c r="F35" s="111">
        <f t="shared" si="1"/>
        <v>7.333333333333333</v>
      </c>
      <c r="G35" s="29"/>
      <c r="H35" s="29"/>
      <c r="I35" s="29"/>
      <c r="J35" s="29"/>
      <c r="K35" s="57"/>
    </row>
    <row r="36" spans="1:11">
      <c r="A36" s="26">
        <v>36080</v>
      </c>
      <c r="B36" s="112">
        <v>7.875</v>
      </c>
      <c r="C36" s="112">
        <v>7.125</v>
      </c>
      <c r="D36" s="112">
        <v>7.25</v>
      </c>
      <c r="E36" s="112">
        <f t="shared" si="0"/>
        <v>22.25</v>
      </c>
      <c r="F36" s="112">
        <f t="shared" si="1"/>
        <v>7.416666666666667</v>
      </c>
      <c r="G36" s="28"/>
      <c r="H36" s="28"/>
      <c r="I36" s="28"/>
      <c r="J36" s="28"/>
      <c r="K36" s="54"/>
    </row>
    <row r="37" spans="1:11">
      <c r="A37" s="26">
        <v>36081</v>
      </c>
      <c r="B37" s="112">
        <v>7.25</v>
      </c>
      <c r="C37" s="112">
        <v>6.625</v>
      </c>
      <c r="D37" s="112">
        <v>6.8125</v>
      </c>
      <c r="E37" s="112">
        <f t="shared" si="0"/>
        <v>20.6875</v>
      </c>
      <c r="F37" s="112">
        <f t="shared" si="1"/>
        <v>6.895833333333333</v>
      </c>
      <c r="G37" s="28"/>
      <c r="H37" s="28"/>
      <c r="I37" s="28"/>
      <c r="J37" s="28"/>
      <c r="K37" s="54"/>
    </row>
    <row r="38" spans="1:11">
      <c r="A38" s="27">
        <v>36082</v>
      </c>
      <c r="B38" s="111">
        <v>7.125</v>
      </c>
      <c r="C38" s="111">
        <v>6.75</v>
      </c>
      <c r="D38" s="111">
        <v>6.9375</v>
      </c>
      <c r="E38" s="111">
        <f t="shared" si="0"/>
        <v>20.8125</v>
      </c>
      <c r="F38" s="111">
        <f t="shared" si="1"/>
        <v>6.9375</v>
      </c>
      <c r="G38" s="29"/>
      <c r="H38" s="29"/>
      <c r="I38" s="29"/>
      <c r="J38" s="29"/>
      <c r="K38" s="57"/>
    </row>
    <row r="39" spans="1:11">
      <c r="A39" s="27">
        <v>36083</v>
      </c>
      <c r="B39" s="111">
        <v>7.125</v>
      </c>
      <c r="C39" s="111">
        <v>6.625</v>
      </c>
      <c r="D39" s="111">
        <v>7.0625</v>
      </c>
      <c r="E39" s="111">
        <f t="shared" si="0"/>
        <v>20.8125</v>
      </c>
      <c r="F39" s="111">
        <f t="shared" si="1"/>
        <v>6.9375</v>
      </c>
      <c r="G39" s="29"/>
      <c r="H39" s="29"/>
      <c r="I39" s="29"/>
      <c r="J39" s="29"/>
      <c r="K39" s="57"/>
    </row>
    <row r="40" spans="1:11">
      <c r="A40" s="26">
        <v>36084</v>
      </c>
      <c r="B40" s="112">
        <v>7.25</v>
      </c>
      <c r="C40" s="112">
        <v>6.875</v>
      </c>
      <c r="D40" s="112">
        <v>7</v>
      </c>
      <c r="E40" s="112">
        <f t="shared" si="0"/>
        <v>21.125</v>
      </c>
      <c r="F40" s="112">
        <f t="shared" si="1"/>
        <v>7.041666666666667</v>
      </c>
      <c r="G40" s="28"/>
      <c r="H40" s="28"/>
      <c r="I40" s="28"/>
      <c r="J40" s="28"/>
      <c r="K40" s="54"/>
    </row>
    <row r="41" spans="1:11">
      <c r="A41" s="26">
        <v>36087</v>
      </c>
      <c r="B41" s="112">
        <v>7.0625</v>
      </c>
      <c r="C41" s="112">
        <v>6.5</v>
      </c>
      <c r="D41" s="112">
        <v>7.0625</v>
      </c>
      <c r="E41" s="112">
        <f t="shared" si="0"/>
        <v>20.625</v>
      </c>
      <c r="F41" s="112">
        <f t="shared" si="1"/>
        <v>6.875</v>
      </c>
      <c r="G41" s="28"/>
      <c r="H41" s="28"/>
      <c r="I41" s="28"/>
      <c r="J41" s="28"/>
      <c r="K41" s="54"/>
    </row>
    <row r="42" spans="1:11">
      <c r="A42" s="27">
        <v>36088</v>
      </c>
      <c r="B42" s="111">
        <v>7.6875</v>
      </c>
      <c r="C42" s="111">
        <v>7</v>
      </c>
      <c r="D42" s="111">
        <v>7.0625</v>
      </c>
      <c r="E42" s="111">
        <f t="shared" si="0"/>
        <v>21.75</v>
      </c>
      <c r="F42" s="111">
        <f t="shared" si="1"/>
        <v>7.25</v>
      </c>
      <c r="G42" s="29"/>
      <c r="H42" s="29"/>
      <c r="I42" s="29"/>
      <c r="J42" s="29"/>
      <c r="K42" s="57"/>
    </row>
    <row r="43" spans="1:11">
      <c r="A43" s="27">
        <v>36089</v>
      </c>
      <c r="B43" s="111">
        <v>7.5</v>
      </c>
      <c r="C43" s="111">
        <v>6.9375</v>
      </c>
      <c r="D43" s="111">
        <v>7.375</v>
      </c>
      <c r="E43" s="111">
        <f t="shared" si="0"/>
        <v>21.8125</v>
      </c>
      <c r="F43" s="111">
        <f t="shared" si="1"/>
        <v>7.270833333333333</v>
      </c>
      <c r="G43" s="29"/>
      <c r="H43" s="29"/>
      <c r="I43" s="29"/>
      <c r="J43" s="29"/>
      <c r="K43" s="57"/>
    </row>
    <row r="44" spans="1:11">
      <c r="A44" s="26">
        <v>36090</v>
      </c>
      <c r="B44" s="112">
        <v>7.5</v>
      </c>
      <c r="C44" s="112">
        <v>6.875</v>
      </c>
      <c r="D44" s="112">
        <v>7</v>
      </c>
      <c r="E44" s="112">
        <f t="shared" si="0"/>
        <v>21.375</v>
      </c>
      <c r="F44" s="112">
        <f t="shared" si="1"/>
        <v>7.125</v>
      </c>
      <c r="G44" s="28"/>
      <c r="H44" s="28"/>
      <c r="I44" s="28"/>
      <c r="J44" s="28"/>
      <c r="K44" s="54"/>
    </row>
    <row r="45" spans="1:11">
      <c r="A45" s="26">
        <v>36091</v>
      </c>
      <c r="B45" s="112">
        <v>7.25</v>
      </c>
      <c r="C45" s="112">
        <v>6.75</v>
      </c>
      <c r="D45" s="112">
        <v>7.125</v>
      </c>
      <c r="E45" s="112">
        <f t="shared" si="0"/>
        <v>21.125</v>
      </c>
      <c r="F45" s="112">
        <f t="shared" si="1"/>
        <v>7.041666666666667</v>
      </c>
      <c r="G45" s="28"/>
      <c r="H45" s="28"/>
      <c r="I45" s="28"/>
      <c r="J45" s="28"/>
      <c r="K45" s="54"/>
    </row>
    <row r="46" spans="1:11">
      <c r="A46" s="27">
        <v>36094</v>
      </c>
      <c r="B46" s="111">
        <v>8.25</v>
      </c>
      <c r="C46" s="111">
        <v>7.1875</v>
      </c>
      <c r="D46" s="111">
        <v>8.1875</v>
      </c>
      <c r="E46" s="111">
        <f t="shared" si="0"/>
        <v>23.625</v>
      </c>
      <c r="F46" s="111">
        <f t="shared" si="1"/>
        <v>7.875</v>
      </c>
      <c r="G46" s="29"/>
      <c r="H46" s="29"/>
      <c r="I46" s="29"/>
      <c r="J46" s="29"/>
      <c r="K46" s="57"/>
    </row>
    <row r="47" spans="1:11">
      <c r="A47" s="27">
        <v>36095</v>
      </c>
      <c r="B47" s="111">
        <v>9.25</v>
      </c>
      <c r="C47" s="111">
        <v>8.3437999999999999</v>
      </c>
      <c r="D47" s="111">
        <v>8.4375</v>
      </c>
      <c r="E47" s="111">
        <f t="shared" si="0"/>
        <v>26.031300000000002</v>
      </c>
      <c r="F47" s="111">
        <f t="shared" si="1"/>
        <v>8.6771000000000011</v>
      </c>
      <c r="G47" s="29"/>
      <c r="H47" s="29"/>
      <c r="I47" s="29"/>
      <c r="J47" s="29"/>
      <c r="K47" s="57"/>
    </row>
    <row r="48" spans="1:11">
      <c r="A48" s="26">
        <v>36096</v>
      </c>
      <c r="B48" s="112">
        <v>8.9375</v>
      </c>
      <c r="C48" s="112">
        <v>8.4687999999999999</v>
      </c>
      <c r="D48" s="112">
        <v>8.875</v>
      </c>
      <c r="E48" s="112">
        <f t="shared" si="0"/>
        <v>26.281300000000002</v>
      </c>
      <c r="F48" s="112">
        <f t="shared" si="1"/>
        <v>8.7604333333333333</v>
      </c>
      <c r="G48" s="28"/>
      <c r="H48" s="28"/>
      <c r="I48" s="28"/>
      <c r="J48" s="28"/>
      <c r="K48" s="54"/>
    </row>
    <row r="49" spans="1:11">
      <c r="A49" s="26">
        <v>36097</v>
      </c>
      <c r="B49" s="112">
        <v>9</v>
      </c>
      <c r="C49" s="112">
        <v>8.375</v>
      </c>
      <c r="D49" s="112">
        <v>8.75</v>
      </c>
      <c r="E49" s="112">
        <f t="shared" si="0"/>
        <v>26.125</v>
      </c>
      <c r="F49" s="112">
        <f t="shared" si="1"/>
        <v>8.7083333333333339</v>
      </c>
      <c r="G49" s="28"/>
      <c r="H49" s="28"/>
      <c r="I49" s="28"/>
      <c r="J49" s="28"/>
      <c r="K49" s="54"/>
    </row>
    <row r="50" spans="1:11">
      <c r="A50" s="27">
        <v>36098</v>
      </c>
      <c r="B50" s="111">
        <v>9</v>
      </c>
      <c r="C50" s="111">
        <v>8.625</v>
      </c>
      <c r="D50" s="111">
        <v>8.875</v>
      </c>
      <c r="E50" s="111">
        <f t="shared" si="0"/>
        <v>26.5</v>
      </c>
      <c r="F50" s="111">
        <f t="shared" si="1"/>
        <v>8.8333333333333339</v>
      </c>
      <c r="G50" s="29"/>
      <c r="H50" s="29"/>
      <c r="I50" s="29"/>
      <c r="J50" s="29"/>
      <c r="K50" s="57"/>
    </row>
    <row r="51" spans="1:11">
      <c r="A51" s="27">
        <v>36101</v>
      </c>
      <c r="B51" s="111">
        <v>8.9375</v>
      </c>
      <c r="C51" s="111">
        <v>8.375</v>
      </c>
      <c r="D51" s="111">
        <v>8.75</v>
      </c>
      <c r="E51" s="111">
        <f t="shared" si="0"/>
        <v>26.0625</v>
      </c>
      <c r="F51" s="111">
        <f t="shared" si="1"/>
        <v>8.6875</v>
      </c>
      <c r="G51" s="29"/>
      <c r="H51" s="29"/>
      <c r="I51" s="29"/>
      <c r="J51" s="29"/>
      <c r="K51" s="57"/>
    </row>
    <row r="52" spans="1:11">
      <c r="A52" s="26">
        <v>36102</v>
      </c>
      <c r="B52" s="112">
        <v>8.6875</v>
      </c>
      <c r="C52" s="112">
        <v>8.4062999999999999</v>
      </c>
      <c r="D52" s="112">
        <v>8.5</v>
      </c>
      <c r="E52" s="112">
        <f t="shared" si="0"/>
        <v>25.593800000000002</v>
      </c>
      <c r="F52" s="112">
        <f t="shared" si="1"/>
        <v>8.5312666666666672</v>
      </c>
      <c r="G52" s="28"/>
      <c r="H52" s="28"/>
      <c r="I52" s="28"/>
      <c r="J52" s="28"/>
      <c r="K52" s="54"/>
    </row>
    <row r="55" spans="1:11">
      <c r="A55" t="s">
        <v>668</v>
      </c>
    </row>
    <row r="56" spans="1:11">
      <c r="A56" t="s">
        <v>667</v>
      </c>
    </row>
  </sheetData>
  <mergeCells count="1">
    <mergeCell ref="B5:K5"/>
  </mergeCells>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3795"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33796"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33797"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33798"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33799" r:id="rId7" name="Button 7">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33800" r:id="rId8" name="Button 8">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33801" r:id="rId9" name="Button 9">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33802" r:id="rId10" name="Button 10">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3" enableFormatConditionsCalculation="0"/>
  <dimension ref="A1:R123"/>
  <sheetViews>
    <sheetView workbookViewId="0"/>
  </sheetViews>
  <sheetFormatPr baseColWidth="10" defaultColWidth="8.83203125" defaultRowHeight="12" x14ac:dyDescent="0"/>
  <cols>
    <col min="1" max="1" width="12.83203125" customWidth="1"/>
    <col min="4" max="4" width="11.5" customWidth="1"/>
    <col min="5" max="7" width="12.33203125" customWidth="1"/>
    <col min="8" max="8" width="16.5" customWidth="1"/>
    <col min="9" max="9" width="16.83203125" customWidth="1"/>
    <col min="10" max="10" width="23.5" customWidth="1"/>
    <col min="11" max="11" width="17" customWidth="1"/>
    <col min="12" max="18" width="12.33203125" customWidth="1"/>
  </cols>
  <sheetData>
    <row r="1" spans="1:18">
      <c r="A1" s="21"/>
      <c r="B1" s="21"/>
      <c r="C1" s="21" t="s">
        <v>846</v>
      </c>
      <c r="D1" s="21"/>
      <c r="E1" s="21"/>
      <c r="F1" s="21"/>
      <c r="G1" s="21"/>
      <c r="H1" s="21"/>
      <c r="I1" s="21"/>
      <c r="J1" s="21"/>
      <c r="K1" s="21"/>
      <c r="L1" s="21"/>
      <c r="M1" s="21"/>
      <c r="N1" s="21"/>
      <c r="O1" s="21"/>
      <c r="P1" s="21"/>
      <c r="Q1" s="21"/>
      <c r="R1" s="21"/>
    </row>
    <row r="2" spans="1:18" ht="21" customHeight="1">
      <c r="A2" s="21"/>
      <c r="B2" s="21"/>
      <c r="C2" s="21"/>
      <c r="D2" s="374"/>
      <c r="E2" s="374"/>
      <c r="F2" s="374"/>
      <c r="G2" s="374"/>
      <c r="H2" s="374"/>
      <c r="I2" s="374"/>
      <c r="J2" s="374"/>
      <c r="K2" s="374"/>
      <c r="L2" s="374"/>
      <c r="M2" s="374"/>
      <c r="N2" s="374"/>
      <c r="O2" s="21"/>
      <c r="P2" s="21"/>
      <c r="Q2" s="21"/>
      <c r="R2" s="21"/>
    </row>
    <row r="3" spans="1:18">
      <c r="A3" s="19" t="s">
        <v>1046</v>
      </c>
      <c r="B3" s="20" t="s">
        <v>391</v>
      </c>
      <c r="C3" s="21"/>
      <c r="D3" s="21"/>
      <c r="E3" s="21"/>
      <c r="F3" s="21"/>
      <c r="G3" s="21"/>
      <c r="H3" s="21"/>
      <c r="I3" s="21"/>
      <c r="J3" s="21"/>
      <c r="K3" s="21"/>
      <c r="L3" s="21"/>
      <c r="M3" s="21"/>
      <c r="N3" s="21"/>
      <c r="O3" s="21"/>
      <c r="P3" s="21"/>
      <c r="Q3" s="21"/>
      <c r="R3" s="21"/>
    </row>
    <row r="4" spans="1:18">
      <c r="A4" s="19" t="s">
        <v>1047</v>
      </c>
      <c r="B4" s="20"/>
      <c r="C4" s="21"/>
      <c r="D4" s="19"/>
      <c r="E4" s="24"/>
      <c r="F4" s="19"/>
      <c r="G4" s="20"/>
      <c r="H4" s="21"/>
      <c r="I4" s="19"/>
      <c r="J4" s="24"/>
      <c r="K4" s="21"/>
      <c r="L4" s="19"/>
      <c r="M4" s="24"/>
      <c r="N4" s="19"/>
      <c r="O4" s="20"/>
      <c r="P4" s="21"/>
      <c r="Q4" s="19"/>
      <c r="R4" s="24"/>
    </row>
    <row r="5" spans="1:18" ht="27" customHeight="1">
      <c r="A5" s="19"/>
      <c r="B5" s="115"/>
      <c r="C5" s="21"/>
      <c r="D5" s="19"/>
      <c r="E5" s="24"/>
      <c r="F5" s="19"/>
      <c r="G5" s="115"/>
      <c r="H5" s="21"/>
      <c r="I5" s="19"/>
      <c r="J5" s="24"/>
      <c r="K5" s="21"/>
      <c r="L5" s="19"/>
      <c r="M5" s="24"/>
      <c r="N5" s="19"/>
      <c r="O5" s="115"/>
      <c r="P5" s="21"/>
      <c r="Q5" s="19"/>
      <c r="R5" s="24"/>
    </row>
    <row r="6" spans="1:18" ht="45.75" customHeight="1">
      <c r="A6" s="19"/>
      <c r="B6" s="115"/>
      <c r="C6" s="21"/>
      <c r="D6" s="19"/>
      <c r="E6" s="24"/>
      <c r="F6" s="19"/>
      <c r="G6" s="115"/>
      <c r="H6" s="21"/>
      <c r="I6" s="19"/>
      <c r="J6" s="24"/>
      <c r="K6" s="21"/>
      <c r="L6" s="19"/>
      <c r="M6" s="24"/>
      <c r="N6" s="19"/>
      <c r="O6" s="115"/>
      <c r="P6" s="21"/>
      <c r="Q6" s="19"/>
      <c r="R6" s="24"/>
    </row>
    <row r="7" spans="1:18" ht="15.75" customHeight="1">
      <c r="A7" s="21"/>
      <c r="B7" s="19" t="s">
        <v>1205</v>
      </c>
      <c r="C7" s="115" t="s">
        <v>1246</v>
      </c>
      <c r="D7" s="19"/>
      <c r="E7" s="24"/>
      <c r="F7" s="19"/>
      <c r="G7" s="115"/>
      <c r="H7" s="21"/>
      <c r="I7" s="19"/>
      <c r="J7" s="24"/>
      <c r="K7" s="21"/>
      <c r="L7" s="19"/>
      <c r="M7" s="24"/>
      <c r="N7" s="19"/>
      <c r="O7" s="115"/>
      <c r="P7" s="21"/>
      <c r="Q7" s="19"/>
      <c r="R7" s="24"/>
    </row>
    <row r="8" spans="1:18" ht="12.75" customHeight="1">
      <c r="A8" s="21"/>
      <c r="B8" s="19"/>
      <c r="C8" s="115" t="s">
        <v>1247</v>
      </c>
      <c r="D8" s="19"/>
      <c r="E8" s="24"/>
      <c r="F8" s="19"/>
      <c r="G8" s="115"/>
      <c r="H8" s="21"/>
      <c r="I8" s="19"/>
      <c r="J8" s="24"/>
      <c r="K8" s="21"/>
      <c r="L8" s="19"/>
      <c r="M8" s="24"/>
      <c r="N8" s="19"/>
      <c r="O8" s="115"/>
      <c r="P8" s="21"/>
      <c r="Q8" s="19"/>
      <c r="R8" s="24"/>
    </row>
    <row r="9" spans="1:18" ht="14.25" customHeight="1">
      <c r="A9" s="21"/>
      <c r="B9" s="19"/>
      <c r="C9" s="115" t="s">
        <v>1248</v>
      </c>
      <c r="D9" s="19"/>
      <c r="E9" s="24"/>
      <c r="F9" s="19"/>
      <c r="G9" s="115"/>
      <c r="H9" s="21"/>
      <c r="I9" s="19"/>
      <c r="J9" s="24"/>
      <c r="K9" s="21"/>
      <c r="L9" s="19"/>
      <c r="M9" s="24"/>
      <c r="N9" s="19"/>
      <c r="O9" s="115"/>
      <c r="P9" s="21"/>
      <c r="Q9" s="19"/>
      <c r="R9" s="24"/>
    </row>
    <row r="10" spans="1:18" ht="14.25" customHeight="1">
      <c r="A10" s="21"/>
      <c r="B10" s="19"/>
      <c r="C10" s="115" t="s">
        <v>1249</v>
      </c>
      <c r="D10" s="19"/>
      <c r="E10" s="24"/>
      <c r="F10" s="19"/>
      <c r="G10" s="115"/>
      <c r="H10" s="21"/>
      <c r="I10" s="19"/>
      <c r="J10" s="24"/>
      <c r="K10" s="21"/>
      <c r="L10" s="19"/>
      <c r="M10" s="24"/>
      <c r="N10" s="19"/>
      <c r="O10" s="115"/>
      <c r="P10" s="21"/>
      <c r="Q10" s="19"/>
      <c r="R10" s="24"/>
    </row>
    <row r="11" spans="1:18" s="1" customFormat="1" ht="36">
      <c r="A11" s="22" t="s">
        <v>1090</v>
      </c>
      <c r="B11" s="23" t="s">
        <v>1096</v>
      </c>
      <c r="C11" s="23" t="s">
        <v>1097</v>
      </c>
      <c r="D11" s="23" t="s">
        <v>1098</v>
      </c>
      <c r="E11" s="23" t="s">
        <v>392</v>
      </c>
      <c r="F11" s="22" t="s">
        <v>393</v>
      </c>
      <c r="G11" s="23" t="s">
        <v>394</v>
      </c>
      <c r="H11" s="23" t="s">
        <v>1237</v>
      </c>
      <c r="I11" s="23" t="s">
        <v>1238</v>
      </c>
      <c r="J11" s="23" t="s">
        <v>1239</v>
      </c>
      <c r="K11" s="23" t="s">
        <v>1240</v>
      </c>
      <c r="L11" s="23" t="s">
        <v>1241</v>
      </c>
      <c r="M11" s="23" t="s">
        <v>1242</v>
      </c>
      <c r="N11" s="22" t="s">
        <v>1243</v>
      </c>
      <c r="O11" s="23" t="s">
        <v>1244</v>
      </c>
      <c r="P11" s="23" t="s">
        <v>1245</v>
      </c>
      <c r="Q11" s="184" t="s">
        <v>1038</v>
      </c>
      <c r="R11" s="23" t="s">
        <v>391</v>
      </c>
    </row>
    <row r="12" spans="1:18">
      <c r="A12" s="34">
        <v>36399</v>
      </c>
      <c r="B12" s="313">
        <v>24.4375</v>
      </c>
      <c r="C12" s="313">
        <v>23.75</v>
      </c>
      <c r="D12" s="313">
        <v>23.875</v>
      </c>
      <c r="E12" s="313"/>
      <c r="F12" s="314"/>
      <c r="G12" s="314"/>
      <c r="H12" s="314"/>
      <c r="I12" s="314"/>
      <c r="J12" s="314"/>
      <c r="K12" s="315"/>
      <c r="L12" s="315"/>
      <c r="M12" s="316"/>
      <c r="N12" s="317"/>
      <c r="O12" s="317"/>
      <c r="P12" s="317"/>
      <c r="Q12" s="317"/>
      <c r="R12" s="315"/>
    </row>
    <row r="13" spans="1:18">
      <c r="A13" s="34">
        <v>36402</v>
      </c>
      <c r="B13" s="313">
        <v>24.3125</v>
      </c>
      <c r="C13" s="313">
        <v>23.25</v>
      </c>
      <c r="D13" s="313">
        <v>23.8125</v>
      </c>
      <c r="E13" s="313">
        <f>MAX(B13,D12)</f>
        <v>24.3125</v>
      </c>
      <c r="F13" s="314">
        <f>MIN(C13,D12)</f>
        <v>23.25</v>
      </c>
      <c r="G13" s="314">
        <f>E13-F13</f>
        <v>1.0625</v>
      </c>
      <c r="H13" s="314"/>
      <c r="I13" s="314">
        <f t="shared" ref="I13:I51" si="0">D13-F13</f>
        <v>0.5625</v>
      </c>
      <c r="J13" s="314"/>
      <c r="K13" s="315"/>
      <c r="L13" s="315"/>
      <c r="M13" s="316"/>
      <c r="N13" s="317"/>
      <c r="O13" s="317"/>
      <c r="P13" s="317"/>
      <c r="Q13" s="317"/>
      <c r="R13" s="315"/>
    </row>
    <row r="14" spans="1:18">
      <c r="A14" s="27">
        <v>36403</v>
      </c>
      <c r="B14" s="318">
        <v>24.8125</v>
      </c>
      <c r="C14" s="318">
        <v>23.625</v>
      </c>
      <c r="D14" s="318">
        <v>24.625</v>
      </c>
      <c r="E14" s="99">
        <f t="shared" ref="E14:E51" si="1">MAX(B14,D13)</f>
        <v>24.8125</v>
      </c>
      <c r="F14" s="172">
        <f t="shared" ref="F14:F51" si="2">MIN(C14,D13)</f>
        <v>23.625</v>
      </c>
      <c r="G14" s="172">
        <f t="shared" ref="G14:G51" si="3">E14-F14</f>
        <v>1.1875</v>
      </c>
      <c r="H14" s="172"/>
      <c r="I14" s="172">
        <f t="shared" si="0"/>
        <v>1</v>
      </c>
      <c r="J14" s="172"/>
      <c r="K14" s="172"/>
      <c r="L14" s="172"/>
      <c r="M14" s="319"/>
      <c r="N14" s="99"/>
      <c r="O14" s="99"/>
      <c r="P14" s="99"/>
      <c r="Q14" s="99"/>
      <c r="R14" s="172"/>
    </row>
    <row r="15" spans="1:18">
      <c r="A15" s="27">
        <v>36404</v>
      </c>
      <c r="B15" s="318">
        <v>24.875</v>
      </c>
      <c r="C15" s="318">
        <v>24.125</v>
      </c>
      <c r="D15" s="318">
        <v>24.3125</v>
      </c>
      <c r="E15" s="99">
        <f t="shared" si="1"/>
        <v>24.875</v>
      </c>
      <c r="F15" s="172">
        <f t="shared" si="2"/>
        <v>24.125</v>
      </c>
      <c r="G15" s="172">
        <f t="shared" si="3"/>
        <v>0.75</v>
      </c>
      <c r="H15" s="172"/>
      <c r="I15" s="172">
        <f t="shared" si="0"/>
        <v>0.1875</v>
      </c>
      <c r="J15" s="172"/>
      <c r="K15" s="172"/>
      <c r="L15" s="172"/>
      <c r="M15" s="319"/>
      <c r="N15" s="99"/>
      <c r="O15" s="99"/>
      <c r="P15" s="99"/>
      <c r="Q15" s="99"/>
      <c r="R15" s="172"/>
    </row>
    <row r="16" spans="1:18">
      <c r="A16" s="34">
        <v>36405</v>
      </c>
      <c r="B16" s="313">
        <v>24.3125</v>
      </c>
      <c r="C16" s="313">
        <v>23.8125</v>
      </c>
      <c r="D16" s="313">
        <v>23.9375</v>
      </c>
      <c r="E16" s="313">
        <f t="shared" si="1"/>
        <v>24.3125</v>
      </c>
      <c r="F16" s="314">
        <f t="shared" si="2"/>
        <v>23.8125</v>
      </c>
      <c r="G16" s="314">
        <f t="shared" si="3"/>
        <v>0.5</v>
      </c>
      <c r="H16" s="314"/>
      <c r="I16" s="314">
        <f t="shared" si="0"/>
        <v>0.125</v>
      </c>
      <c r="J16" s="314"/>
      <c r="K16" s="315"/>
      <c r="L16" s="315"/>
      <c r="M16" s="316"/>
      <c r="N16" s="317"/>
      <c r="O16" s="317"/>
      <c r="P16" s="317"/>
      <c r="Q16" s="317"/>
      <c r="R16" s="315"/>
    </row>
    <row r="17" spans="1:18">
      <c r="A17" s="34">
        <v>36406</v>
      </c>
      <c r="B17" s="313">
        <v>24.5</v>
      </c>
      <c r="C17" s="313">
        <v>23.75</v>
      </c>
      <c r="D17" s="313">
        <v>24.4375</v>
      </c>
      <c r="E17" s="313">
        <f t="shared" si="1"/>
        <v>24.5</v>
      </c>
      <c r="F17" s="314">
        <f t="shared" si="2"/>
        <v>23.75</v>
      </c>
      <c r="G17" s="314">
        <f t="shared" si="3"/>
        <v>0.75</v>
      </c>
      <c r="H17" s="314"/>
      <c r="I17" s="314">
        <f t="shared" si="0"/>
        <v>0.6875</v>
      </c>
      <c r="J17" s="314"/>
      <c r="K17" s="315"/>
      <c r="L17" s="315"/>
      <c r="M17" s="316"/>
      <c r="N17" s="317"/>
      <c r="O17" s="317"/>
      <c r="P17" s="317"/>
      <c r="Q17" s="317"/>
      <c r="R17" s="315"/>
    </row>
    <row r="18" spans="1:18">
      <c r="A18" s="27">
        <v>36410</v>
      </c>
      <c r="B18" s="318">
        <v>25.75</v>
      </c>
      <c r="C18" s="318">
        <v>24.4375</v>
      </c>
      <c r="D18" s="318">
        <v>25</v>
      </c>
      <c r="E18" s="99">
        <f t="shared" si="1"/>
        <v>25.75</v>
      </c>
      <c r="F18" s="172">
        <f t="shared" si="2"/>
        <v>24.4375</v>
      </c>
      <c r="G18" s="172">
        <f t="shared" si="3"/>
        <v>1.3125</v>
      </c>
      <c r="H18" s="172"/>
      <c r="I18" s="172">
        <f t="shared" si="0"/>
        <v>0.5625</v>
      </c>
      <c r="J18" s="172"/>
      <c r="K18" s="172"/>
      <c r="L18" s="172"/>
      <c r="M18" s="319"/>
      <c r="N18" s="99"/>
      <c r="O18" s="99"/>
      <c r="P18" s="99"/>
      <c r="Q18" s="99"/>
      <c r="R18" s="172"/>
    </row>
    <row r="19" spans="1:18">
      <c r="A19" s="27">
        <v>36411</v>
      </c>
      <c r="B19" s="318">
        <v>25.5</v>
      </c>
      <c r="C19" s="318">
        <v>24.5625</v>
      </c>
      <c r="D19" s="318">
        <v>24.875</v>
      </c>
      <c r="E19" s="99">
        <f t="shared" si="1"/>
        <v>25.5</v>
      </c>
      <c r="F19" s="172">
        <f t="shared" si="2"/>
        <v>24.5625</v>
      </c>
      <c r="G19" s="172">
        <f t="shared" si="3"/>
        <v>0.9375</v>
      </c>
      <c r="H19" s="172">
        <f t="shared" ref="H19:H51" si="4">SUM(G13:G19)</f>
        <v>6.5</v>
      </c>
      <c r="I19" s="172">
        <f t="shared" si="0"/>
        <v>0.3125</v>
      </c>
      <c r="J19" s="172">
        <f>SUM(I13:I19)</f>
        <v>3.4375</v>
      </c>
      <c r="K19" s="172">
        <f t="shared" ref="K19:K51" si="5">J19/H19</f>
        <v>0.52884615384615385</v>
      </c>
      <c r="L19" s="172"/>
      <c r="M19" s="319"/>
      <c r="N19" s="99"/>
      <c r="O19" s="99"/>
      <c r="P19" s="99"/>
      <c r="Q19" s="99"/>
      <c r="R19" s="172"/>
    </row>
    <row r="20" spans="1:18">
      <c r="A20" s="34">
        <v>36412</v>
      </c>
      <c r="B20" s="313">
        <v>26.375</v>
      </c>
      <c r="C20" s="313">
        <v>25.375</v>
      </c>
      <c r="D20" s="313">
        <v>26.375</v>
      </c>
      <c r="E20" s="313">
        <f t="shared" si="1"/>
        <v>26.375</v>
      </c>
      <c r="F20" s="314">
        <f t="shared" si="2"/>
        <v>24.875</v>
      </c>
      <c r="G20" s="314">
        <f t="shared" si="3"/>
        <v>1.5</v>
      </c>
      <c r="H20" s="314">
        <f t="shared" si="4"/>
        <v>6.9375</v>
      </c>
      <c r="I20" s="314">
        <f t="shared" si="0"/>
        <v>1.5</v>
      </c>
      <c r="J20" s="314">
        <f t="shared" ref="J20:J51" si="6">SUM(I14:I20)</f>
        <v>4.375</v>
      </c>
      <c r="K20" s="315">
        <f t="shared" si="5"/>
        <v>0.63063063063063063</v>
      </c>
      <c r="L20" s="315"/>
      <c r="M20" s="316"/>
      <c r="N20" s="317"/>
      <c r="O20" s="317"/>
      <c r="P20" s="317"/>
      <c r="Q20" s="317"/>
      <c r="R20" s="315"/>
    </row>
    <row r="21" spans="1:18">
      <c r="A21" s="34">
        <v>36413</v>
      </c>
      <c r="B21" s="313">
        <v>26.875</v>
      </c>
      <c r="C21" s="313">
        <v>26.0625</v>
      </c>
      <c r="D21" s="313">
        <v>26.1875</v>
      </c>
      <c r="E21" s="313">
        <f t="shared" si="1"/>
        <v>26.875</v>
      </c>
      <c r="F21" s="314">
        <f t="shared" si="2"/>
        <v>26.0625</v>
      </c>
      <c r="G21" s="314">
        <f t="shared" si="3"/>
        <v>0.8125</v>
      </c>
      <c r="H21" s="314">
        <f t="shared" si="4"/>
        <v>6.5625</v>
      </c>
      <c r="I21" s="314">
        <f t="shared" si="0"/>
        <v>0.125</v>
      </c>
      <c r="J21" s="314">
        <f t="shared" si="6"/>
        <v>3.5</v>
      </c>
      <c r="K21" s="315">
        <f t="shared" si="5"/>
        <v>0.53333333333333333</v>
      </c>
      <c r="L21" s="315"/>
      <c r="M21" s="316"/>
      <c r="N21" s="317"/>
      <c r="O21" s="317"/>
      <c r="P21" s="317"/>
      <c r="Q21" s="317"/>
      <c r="R21" s="315"/>
    </row>
    <row r="22" spans="1:18">
      <c r="A22" s="27">
        <v>36416</v>
      </c>
      <c r="B22" s="318">
        <v>26.25</v>
      </c>
      <c r="C22" s="318">
        <v>25.6875</v>
      </c>
      <c r="D22" s="318">
        <v>25.9375</v>
      </c>
      <c r="E22" s="99">
        <f t="shared" si="1"/>
        <v>26.25</v>
      </c>
      <c r="F22" s="172">
        <f t="shared" si="2"/>
        <v>25.6875</v>
      </c>
      <c r="G22" s="172">
        <f t="shared" si="3"/>
        <v>0.5625</v>
      </c>
      <c r="H22" s="172">
        <f t="shared" si="4"/>
        <v>6.375</v>
      </c>
      <c r="I22" s="172">
        <f t="shared" si="0"/>
        <v>0.25</v>
      </c>
      <c r="J22" s="172">
        <f t="shared" si="6"/>
        <v>3.5625</v>
      </c>
      <c r="K22" s="172">
        <f t="shared" si="5"/>
        <v>0.55882352941176472</v>
      </c>
      <c r="L22" s="172"/>
      <c r="M22" s="319"/>
      <c r="N22" s="99"/>
      <c r="O22" s="99"/>
      <c r="P22" s="99"/>
      <c r="Q22" s="99"/>
      <c r="R22" s="172"/>
    </row>
    <row r="23" spans="1:18">
      <c r="A23" s="27">
        <v>36417</v>
      </c>
      <c r="B23" s="318">
        <v>26.125</v>
      </c>
      <c r="C23" s="318">
        <v>24.5625</v>
      </c>
      <c r="D23" s="318">
        <v>24.6875</v>
      </c>
      <c r="E23" s="99">
        <f t="shared" si="1"/>
        <v>26.125</v>
      </c>
      <c r="F23" s="172">
        <f t="shared" si="2"/>
        <v>24.5625</v>
      </c>
      <c r="G23" s="172">
        <f t="shared" si="3"/>
        <v>1.5625</v>
      </c>
      <c r="H23" s="172">
        <f t="shared" si="4"/>
        <v>7.4375</v>
      </c>
      <c r="I23" s="172">
        <f t="shared" si="0"/>
        <v>0.125</v>
      </c>
      <c r="J23" s="172">
        <f t="shared" si="6"/>
        <v>3.5625</v>
      </c>
      <c r="K23" s="172">
        <f t="shared" si="5"/>
        <v>0.47899159663865548</v>
      </c>
      <c r="L23" s="172"/>
      <c r="M23" s="319"/>
      <c r="N23" s="99"/>
      <c r="O23" s="99"/>
      <c r="P23" s="99"/>
      <c r="Q23" s="99"/>
      <c r="R23" s="172"/>
    </row>
    <row r="24" spans="1:18">
      <c r="A24" s="34">
        <v>36418</v>
      </c>
      <c r="B24" s="313">
        <v>25.25</v>
      </c>
      <c r="C24" s="313">
        <v>23.875</v>
      </c>
      <c r="D24" s="313">
        <v>24.75</v>
      </c>
      <c r="E24" s="313">
        <f t="shared" si="1"/>
        <v>25.25</v>
      </c>
      <c r="F24" s="314">
        <f t="shared" si="2"/>
        <v>23.875</v>
      </c>
      <c r="G24" s="314">
        <f t="shared" si="3"/>
        <v>1.375</v>
      </c>
      <c r="H24" s="314">
        <f t="shared" si="4"/>
        <v>8.0625</v>
      </c>
      <c r="I24" s="314">
        <f t="shared" si="0"/>
        <v>0.875</v>
      </c>
      <c r="J24" s="314">
        <f t="shared" si="6"/>
        <v>3.75</v>
      </c>
      <c r="K24" s="315">
        <f t="shared" si="5"/>
        <v>0.46511627906976744</v>
      </c>
      <c r="L24" s="315"/>
      <c r="M24" s="316"/>
      <c r="N24" s="317"/>
      <c r="O24" s="317"/>
      <c r="P24" s="317"/>
      <c r="Q24" s="317"/>
      <c r="R24" s="315"/>
    </row>
    <row r="25" spans="1:18">
      <c r="A25" s="34">
        <v>36419</v>
      </c>
      <c r="B25" s="313">
        <v>25.625</v>
      </c>
      <c r="C25" s="313">
        <v>24.75</v>
      </c>
      <c r="D25" s="313">
        <v>25.3125</v>
      </c>
      <c r="E25" s="313">
        <f t="shared" si="1"/>
        <v>25.625</v>
      </c>
      <c r="F25" s="314">
        <f t="shared" si="2"/>
        <v>24.75</v>
      </c>
      <c r="G25" s="314">
        <f t="shared" si="3"/>
        <v>0.875</v>
      </c>
      <c r="H25" s="314">
        <f t="shared" si="4"/>
        <v>7.625</v>
      </c>
      <c r="I25" s="314">
        <f t="shared" si="0"/>
        <v>0.5625</v>
      </c>
      <c r="J25" s="314">
        <f t="shared" si="6"/>
        <v>3.75</v>
      </c>
      <c r="K25" s="315">
        <f t="shared" si="5"/>
        <v>0.49180327868852458</v>
      </c>
      <c r="L25" s="315"/>
      <c r="M25" s="316"/>
      <c r="N25" s="317"/>
      <c r="O25" s="317"/>
      <c r="P25" s="317"/>
      <c r="Q25" s="317"/>
      <c r="R25" s="315"/>
    </row>
    <row r="26" spans="1:18">
      <c r="A26" s="27">
        <v>36420</v>
      </c>
      <c r="B26" s="318">
        <v>25.75</v>
      </c>
      <c r="C26" s="318">
        <v>25.25</v>
      </c>
      <c r="D26" s="318">
        <v>25.4375</v>
      </c>
      <c r="E26" s="99">
        <f t="shared" si="1"/>
        <v>25.75</v>
      </c>
      <c r="F26" s="172">
        <f t="shared" si="2"/>
        <v>25.25</v>
      </c>
      <c r="G26" s="172">
        <f t="shared" si="3"/>
        <v>0.5</v>
      </c>
      <c r="H26" s="172">
        <f t="shared" si="4"/>
        <v>7.1875</v>
      </c>
      <c r="I26" s="172">
        <f t="shared" si="0"/>
        <v>0.1875</v>
      </c>
      <c r="J26" s="172">
        <f t="shared" si="6"/>
        <v>3.625</v>
      </c>
      <c r="K26" s="172">
        <f t="shared" si="5"/>
        <v>0.5043478260869565</v>
      </c>
      <c r="L26" s="172">
        <f t="shared" ref="L26:L51" si="7">SUM(G13:G26)</f>
        <v>13.6875</v>
      </c>
      <c r="M26" s="319">
        <f>SUM(I13:I26)</f>
        <v>7.0625</v>
      </c>
      <c r="N26" s="99">
        <f t="shared" ref="N26:N51" si="8">M26/L26</f>
        <v>0.51598173515981738</v>
      </c>
      <c r="O26" s="99"/>
      <c r="P26" s="99"/>
      <c r="Q26" s="99"/>
      <c r="R26" s="172"/>
    </row>
    <row r="27" spans="1:18">
      <c r="A27" s="27">
        <v>36423</v>
      </c>
      <c r="B27" s="318">
        <v>25.6875</v>
      </c>
      <c r="C27" s="318">
        <v>24.5</v>
      </c>
      <c r="D27" s="318">
        <v>24.5625</v>
      </c>
      <c r="E27" s="99">
        <f t="shared" si="1"/>
        <v>25.6875</v>
      </c>
      <c r="F27" s="172">
        <f t="shared" si="2"/>
        <v>24.5</v>
      </c>
      <c r="G27" s="172">
        <f t="shared" si="3"/>
        <v>1.1875</v>
      </c>
      <c r="H27" s="172">
        <f t="shared" si="4"/>
        <v>6.875</v>
      </c>
      <c r="I27" s="172">
        <f t="shared" si="0"/>
        <v>6.25E-2</v>
      </c>
      <c r="J27" s="172">
        <f t="shared" si="6"/>
        <v>2.1875</v>
      </c>
      <c r="K27" s="172">
        <f t="shared" si="5"/>
        <v>0.31818181818181818</v>
      </c>
      <c r="L27" s="172">
        <f t="shared" si="7"/>
        <v>13.8125</v>
      </c>
      <c r="M27" s="319">
        <f t="shared" ref="M27:M51" si="9">SUM(I14:I27)</f>
        <v>6.5625</v>
      </c>
      <c r="N27" s="99">
        <f t="shared" si="8"/>
        <v>0.47511312217194568</v>
      </c>
      <c r="O27" s="99"/>
      <c r="P27" s="99"/>
      <c r="Q27" s="99"/>
      <c r="R27" s="172"/>
    </row>
    <row r="28" spans="1:18">
      <c r="A28" s="34">
        <v>36424</v>
      </c>
      <c r="B28" s="313">
        <v>24.6875</v>
      </c>
      <c r="C28" s="313">
        <v>23.125</v>
      </c>
      <c r="D28" s="313">
        <v>23.6875</v>
      </c>
      <c r="E28" s="313">
        <f t="shared" si="1"/>
        <v>24.6875</v>
      </c>
      <c r="F28" s="314">
        <f t="shared" si="2"/>
        <v>23.125</v>
      </c>
      <c r="G28" s="314">
        <f t="shared" si="3"/>
        <v>1.5625</v>
      </c>
      <c r="H28" s="314">
        <f t="shared" si="4"/>
        <v>7.625</v>
      </c>
      <c r="I28" s="314">
        <f t="shared" si="0"/>
        <v>0.5625</v>
      </c>
      <c r="J28" s="314">
        <f t="shared" si="6"/>
        <v>2.625</v>
      </c>
      <c r="K28" s="315">
        <f t="shared" si="5"/>
        <v>0.34426229508196721</v>
      </c>
      <c r="L28" s="315">
        <f t="shared" si="7"/>
        <v>14.1875</v>
      </c>
      <c r="M28" s="316">
        <f t="shared" si="9"/>
        <v>6.125</v>
      </c>
      <c r="N28" s="317">
        <f t="shared" si="8"/>
        <v>0.43171806167400884</v>
      </c>
      <c r="O28" s="317"/>
      <c r="P28" s="317"/>
      <c r="Q28" s="317"/>
      <c r="R28" s="315"/>
    </row>
    <row r="29" spans="1:18">
      <c r="A29" s="34">
        <v>36425</v>
      </c>
      <c r="B29" s="313">
        <v>24.3125</v>
      </c>
      <c r="C29" s="313">
        <v>23.0625</v>
      </c>
      <c r="D29" s="313">
        <v>23.25</v>
      </c>
      <c r="E29" s="313">
        <f t="shared" si="1"/>
        <v>24.3125</v>
      </c>
      <c r="F29" s="314">
        <f t="shared" si="2"/>
        <v>23.0625</v>
      </c>
      <c r="G29" s="314">
        <f t="shared" si="3"/>
        <v>1.25</v>
      </c>
      <c r="H29" s="314">
        <f t="shared" si="4"/>
        <v>8.3125</v>
      </c>
      <c r="I29" s="314">
        <f t="shared" si="0"/>
        <v>0.1875</v>
      </c>
      <c r="J29" s="314">
        <f t="shared" si="6"/>
        <v>2.5625</v>
      </c>
      <c r="K29" s="315">
        <f t="shared" si="5"/>
        <v>0.30827067669172931</v>
      </c>
      <c r="L29" s="315">
        <f t="shared" si="7"/>
        <v>14.6875</v>
      </c>
      <c r="M29" s="316">
        <f t="shared" si="9"/>
        <v>6.125</v>
      </c>
      <c r="N29" s="317">
        <f t="shared" si="8"/>
        <v>0.41702127659574467</v>
      </c>
      <c r="O29" s="317"/>
      <c r="P29" s="317"/>
      <c r="Q29" s="317"/>
      <c r="R29" s="315"/>
    </row>
    <row r="30" spans="1:18">
      <c r="A30" s="27">
        <v>36426</v>
      </c>
      <c r="B30" s="318">
        <v>24</v>
      </c>
      <c r="C30" s="318">
        <v>23</v>
      </c>
      <c r="D30" s="318">
        <v>23</v>
      </c>
      <c r="E30" s="99">
        <f t="shared" si="1"/>
        <v>24</v>
      </c>
      <c r="F30" s="172">
        <f t="shared" si="2"/>
        <v>23</v>
      </c>
      <c r="G30" s="172">
        <f t="shared" si="3"/>
        <v>1</v>
      </c>
      <c r="H30" s="172">
        <f t="shared" si="4"/>
        <v>7.75</v>
      </c>
      <c r="I30" s="172">
        <f t="shared" si="0"/>
        <v>0</v>
      </c>
      <c r="J30" s="172">
        <f t="shared" si="6"/>
        <v>2.4375</v>
      </c>
      <c r="K30" s="172">
        <f t="shared" si="5"/>
        <v>0.31451612903225806</v>
      </c>
      <c r="L30" s="172">
        <f t="shared" si="7"/>
        <v>15.1875</v>
      </c>
      <c r="M30" s="319">
        <f t="shared" si="9"/>
        <v>6</v>
      </c>
      <c r="N30" s="99">
        <f t="shared" si="8"/>
        <v>0.39506172839506171</v>
      </c>
      <c r="O30" s="99"/>
      <c r="P30" s="99"/>
      <c r="Q30" s="99"/>
      <c r="R30" s="172"/>
    </row>
    <row r="31" spans="1:18">
      <c r="A31" s="27">
        <v>36427</v>
      </c>
      <c r="B31" s="318">
        <v>23</v>
      </c>
      <c r="C31" s="318">
        <v>21.25</v>
      </c>
      <c r="D31" s="318">
        <v>22.25</v>
      </c>
      <c r="E31" s="99">
        <f t="shared" si="1"/>
        <v>23</v>
      </c>
      <c r="F31" s="172">
        <f t="shared" si="2"/>
        <v>21.25</v>
      </c>
      <c r="G31" s="172">
        <f t="shared" si="3"/>
        <v>1.75</v>
      </c>
      <c r="H31" s="172">
        <f t="shared" si="4"/>
        <v>8.125</v>
      </c>
      <c r="I31" s="172">
        <f t="shared" si="0"/>
        <v>1</v>
      </c>
      <c r="J31" s="172">
        <f t="shared" si="6"/>
        <v>2.5625</v>
      </c>
      <c r="K31" s="172">
        <f t="shared" si="5"/>
        <v>0.31538461538461537</v>
      </c>
      <c r="L31" s="172">
        <f t="shared" si="7"/>
        <v>16.1875</v>
      </c>
      <c r="M31" s="319">
        <f t="shared" si="9"/>
        <v>6.3125</v>
      </c>
      <c r="N31" s="99">
        <f t="shared" si="8"/>
        <v>0.38996138996138996</v>
      </c>
      <c r="O31" s="99"/>
      <c r="P31" s="99"/>
      <c r="Q31" s="99"/>
      <c r="R31" s="172"/>
    </row>
    <row r="32" spans="1:18">
      <c r="A32" s="34">
        <v>36430</v>
      </c>
      <c r="B32" s="313">
        <v>23.25</v>
      </c>
      <c r="C32" s="313">
        <v>22.125</v>
      </c>
      <c r="D32" s="313">
        <v>22.75</v>
      </c>
      <c r="E32" s="313">
        <f t="shared" si="1"/>
        <v>23.25</v>
      </c>
      <c r="F32" s="314">
        <f t="shared" si="2"/>
        <v>22.125</v>
      </c>
      <c r="G32" s="314">
        <f t="shared" si="3"/>
        <v>1.125</v>
      </c>
      <c r="H32" s="314">
        <f t="shared" si="4"/>
        <v>8.375</v>
      </c>
      <c r="I32" s="314">
        <f t="shared" si="0"/>
        <v>0.625</v>
      </c>
      <c r="J32" s="314">
        <f t="shared" si="6"/>
        <v>2.625</v>
      </c>
      <c r="K32" s="315">
        <f t="shared" si="5"/>
        <v>0.31343283582089554</v>
      </c>
      <c r="L32" s="315">
        <f t="shared" si="7"/>
        <v>16</v>
      </c>
      <c r="M32" s="316">
        <f t="shared" si="9"/>
        <v>6.375</v>
      </c>
      <c r="N32" s="317">
        <f t="shared" si="8"/>
        <v>0.3984375</v>
      </c>
      <c r="O32" s="317"/>
      <c r="P32" s="317"/>
      <c r="Q32" s="317"/>
      <c r="R32" s="315"/>
    </row>
    <row r="33" spans="1:18">
      <c r="A33" s="34">
        <v>36431</v>
      </c>
      <c r="B33" s="313">
        <v>22.625</v>
      </c>
      <c r="C33" s="313">
        <v>20.5625</v>
      </c>
      <c r="D33" s="313">
        <v>21.25</v>
      </c>
      <c r="E33" s="313">
        <f t="shared" si="1"/>
        <v>22.75</v>
      </c>
      <c r="F33" s="314">
        <f t="shared" si="2"/>
        <v>20.5625</v>
      </c>
      <c r="G33" s="314">
        <f t="shared" si="3"/>
        <v>2.1875</v>
      </c>
      <c r="H33" s="314">
        <f t="shared" si="4"/>
        <v>10.0625</v>
      </c>
      <c r="I33" s="314">
        <f t="shared" si="0"/>
        <v>0.6875</v>
      </c>
      <c r="J33" s="314">
        <f t="shared" si="6"/>
        <v>3.125</v>
      </c>
      <c r="K33" s="315">
        <f t="shared" si="5"/>
        <v>0.3105590062111801</v>
      </c>
      <c r="L33" s="315">
        <f t="shared" si="7"/>
        <v>17.25</v>
      </c>
      <c r="M33" s="316">
        <f t="shared" si="9"/>
        <v>6.75</v>
      </c>
      <c r="N33" s="317">
        <f t="shared" si="8"/>
        <v>0.39130434782608697</v>
      </c>
      <c r="O33" s="317"/>
      <c r="P33" s="317"/>
      <c r="Q33" s="317"/>
      <c r="R33" s="315"/>
    </row>
    <row r="34" spans="1:18">
      <c r="A34" s="27">
        <v>36432</v>
      </c>
      <c r="B34" s="318">
        <v>23.1875</v>
      </c>
      <c r="C34" s="318">
        <v>21.75</v>
      </c>
      <c r="D34" s="318">
        <v>22.4375</v>
      </c>
      <c r="E34" s="99">
        <f t="shared" si="1"/>
        <v>23.1875</v>
      </c>
      <c r="F34" s="172">
        <f t="shared" si="2"/>
        <v>21.25</v>
      </c>
      <c r="G34" s="172">
        <f t="shared" si="3"/>
        <v>1.9375</v>
      </c>
      <c r="H34" s="172">
        <f t="shared" si="4"/>
        <v>10.8125</v>
      </c>
      <c r="I34" s="172">
        <f t="shared" si="0"/>
        <v>1.1875</v>
      </c>
      <c r="J34" s="172">
        <f t="shared" si="6"/>
        <v>4.25</v>
      </c>
      <c r="K34" s="172">
        <f t="shared" si="5"/>
        <v>0.39306358381502893</v>
      </c>
      <c r="L34" s="172">
        <f t="shared" si="7"/>
        <v>17.6875</v>
      </c>
      <c r="M34" s="319">
        <f t="shared" si="9"/>
        <v>6.4375</v>
      </c>
      <c r="N34" s="99">
        <f t="shared" si="8"/>
        <v>0.36395759717314485</v>
      </c>
      <c r="O34" s="99"/>
      <c r="P34" s="99"/>
      <c r="Q34" s="99"/>
      <c r="R34" s="172"/>
    </row>
    <row r="35" spans="1:18">
      <c r="A35" s="27">
        <v>36433</v>
      </c>
      <c r="B35" s="318">
        <v>22.5</v>
      </c>
      <c r="C35" s="318">
        <v>21.4375</v>
      </c>
      <c r="D35" s="318">
        <v>21.875</v>
      </c>
      <c r="E35" s="99">
        <f t="shared" si="1"/>
        <v>22.5</v>
      </c>
      <c r="F35" s="172">
        <f t="shared" si="2"/>
        <v>21.4375</v>
      </c>
      <c r="G35" s="172">
        <f t="shared" si="3"/>
        <v>1.0625</v>
      </c>
      <c r="H35" s="172">
        <f t="shared" si="4"/>
        <v>10.3125</v>
      </c>
      <c r="I35" s="172">
        <f t="shared" si="0"/>
        <v>0.4375</v>
      </c>
      <c r="J35" s="172">
        <f t="shared" si="6"/>
        <v>4.125</v>
      </c>
      <c r="K35" s="172">
        <f t="shared" si="5"/>
        <v>0.4</v>
      </c>
      <c r="L35" s="172">
        <f t="shared" si="7"/>
        <v>17.9375</v>
      </c>
      <c r="M35" s="319">
        <f t="shared" si="9"/>
        <v>6.75</v>
      </c>
      <c r="N35" s="99">
        <f t="shared" si="8"/>
        <v>0.37630662020905925</v>
      </c>
      <c r="O35" s="99"/>
      <c r="P35" s="99"/>
      <c r="Q35" s="99"/>
      <c r="R35" s="172"/>
    </row>
    <row r="36" spans="1:18">
      <c r="A36" s="34">
        <v>36434</v>
      </c>
      <c r="B36" s="313">
        <v>22.5</v>
      </c>
      <c r="C36" s="313">
        <v>21.875</v>
      </c>
      <c r="D36" s="313">
        <v>22.4375</v>
      </c>
      <c r="E36" s="313">
        <f t="shared" si="1"/>
        <v>22.5</v>
      </c>
      <c r="F36" s="314">
        <f t="shared" si="2"/>
        <v>21.875</v>
      </c>
      <c r="G36" s="314">
        <f t="shared" si="3"/>
        <v>0.625</v>
      </c>
      <c r="H36" s="314">
        <f t="shared" si="4"/>
        <v>9.6875</v>
      </c>
      <c r="I36" s="314">
        <f t="shared" si="0"/>
        <v>0.5625</v>
      </c>
      <c r="J36" s="314">
        <f t="shared" si="6"/>
        <v>4.5</v>
      </c>
      <c r="K36" s="315">
        <f t="shared" si="5"/>
        <v>0.46451612903225808</v>
      </c>
      <c r="L36" s="315">
        <f t="shared" si="7"/>
        <v>18</v>
      </c>
      <c r="M36" s="316">
        <f t="shared" si="9"/>
        <v>7.0625</v>
      </c>
      <c r="N36" s="317">
        <f t="shared" si="8"/>
        <v>0.3923611111111111</v>
      </c>
      <c r="O36" s="317"/>
      <c r="P36" s="317"/>
      <c r="Q36" s="317"/>
      <c r="R36" s="315"/>
    </row>
    <row r="37" spans="1:18">
      <c r="A37" s="34">
        <v>36437</v>
      </c>
      <c r="B37" s="313">
        <v>22.375</v>
      </c>
      <c r="C37" s="313">
        <v>21.6875</v>
      </c>
      <c r="D37" s="313">
        <v>22.0625</v>
      </c>
      <c r="E37" s="313">
        <f t="shared" si="1"/>
        <v>22.4375</v>
      </c>
      <c r="F37" s="314">
        <f t="shared" si="2"/>
        <v>21.6875</v>
      </c>
      <c r="G37" s="314">
        <f t="shared" si="3"/>
        <v>0.75</v>
      </c>
      <c r="H37" s="314">
        <f t="shared" si="4"/>
        <v>9.4375</v>
      </c>
      <c r="I37" s="314">
        <f t="shared" si="0"/>
        <v>0.375</v>
      </c>
      <c r="J37" s="314">
        <f t="shared" si="6"/>
        <v>4.875</v>
      </c>
      <c r="K37" s="315">
        <f t="shared" si="5"/>
        <v>0.51655629139072845</v>
      </c>
      <c r="L37" s="315">
        <f t="shared" si="7"/>
        <v>17.1875</v>
      </c>
      <c r="M37" s="316">
        <f t="shared" si="9"/>
        <v>7.3125</v>
      </c>
      <c r="N37" s="317">
        <f t="shared" si="8"/>
        <v>0.42545454545454547</v>
      </c>
      <c r="O37" s="317"/>
      <c r="P37" s="317"/>
      <c r="Q37" s="317"/>
      <c r="R37" s="315"/>
    </row>
    <row r="38" spans="1:18">
      <c r="A38" s="27">
        <v>36438</v>
      </c>
      <c r="B38" s="318">
        <v>21.875</v>
      </c>
      <c r="C38" s="318">
        <v>20.4375</v>
      </c>
      <c r="D38" s="318">
        <v>21.125</v>
      </c>
      <c r="E38" s="99">
        <f t="shared" si="1"/>
        <v>22.0625</v>
      </c>
      <c r="F38" s="172">
        <f t="shared" si="2"/>
        <v>20.4375</v>
      </c>
      <c r="G38" s="172">
        <f t="shared" si="3"/>
        <v>1.625</v>
      </c>
      <c r="H38" s="172">
        <f t="shared" si="4"/>
        <v>9.3125</v>
      </c>
      <c r="I38" s="172">
        <f t="shared" si="0"/>
        <v>0.6875</v>
      </c>
      <c r="J38" s="172">
        <f t="shared" si="6"/>
        <v>4.5625</v>
      </c>
      <c r="K38" s="172">
        <f t="shared" si="5"/>
        <v>0.48993288590604028</v>
      </c>
      <c r="L38" s="172">
        <f t="shared" si="7"/>
        <v>17.4375</v>
      </c>
      <c r="M38" s="319">
        <f t="shared" si="9"/>
        <v>7.125</v>
      </c>
      <c r="N38" s="99">
        <f t="shared" si="8"/>
        <v>0.40860215053763443</v>
      </c>
      <c r="O38" s="99"/>
      <c r="P38" s="99"/>
      <c r="Q38" s="99"/>
      <c r="R38" s="172"/>
    </row>
    <row r="39" spans="1:18">
      <c r="A39" s="27">
        <v>36439</v>
      </c>
      <c r="B39" s="318">
        <v>21.5625</v>
      </c>
      <c r="C39" s="318">
        <v>20.6875</v>
      </c>
      <c r="D39" s="318">
        <v>21</v>
      </c>
      <c r="E39" s="99">
        <f t="shared" si="1"/>
        <v>21.5625</v>
      </c>
      <c r="F39" s="172">
        <f t="shared" si="2"/>
        <v>20.6875</v>
      </c>
      <c r="G39" s="172">
        <f t="shared" si="3"/>
        <v>0.875</v>
      </c>
      <c r="H39" s="172">
        <f t="shared" si="4"/>
        <v>9.0625</v>
      </c>
      <c r="I39" s="172">
        <f t="shared" si="0"/>
        <v>0.3125</v>
      </c>
      <c r="J39" s="172">
        <f t="shared" si="6"/>
        <v>4.25</v>
      </c>
      <c r="K39" s="172">
        <f t="shared" si="5"/>
        <v>0.4689655172413793</v>
      </c>
      <c r="L39" s="172">
        <f t="shared" si="7"/>
        <v>17.4375</v>
      </c>
      <c r="M39" s="319">
        <f t="shared" si="9"/>
        <v>6.875</v>
      </c>
      <c r="N39" s="99">
        <f t="shared" si="8"/>
        <v>0.3942652329749104</v>
      </c>
      <c r="O39" s="99"/>
      <c r="P39" s="99"/>
      <c r="Q39" s="99"/>
      <c r="R39" s="172"/>
    </row>
    <row r="40" spans="1:18">
      <c r="A40" s="34">
        <v>36440</v>
      </c>
      <c r="B40" s="313">
        <v>21</v>
      </c>
      <c r="C40" s="313">
        <v>20.3125</v>
      </c>
      <c r="D40" s="313">
        <v>20.5625</v>
      </c>
      <c r="E40" s="313">
        <f t="shared" si="1"/>
        <v>21</v>
      </c>
      <c r="F40" s="314">
        <f t="shared" si="2"/>
        <v>20.3125</v>
      </c>
      <c r="G40" s="314">
        <f t="shared" si="3"/>
        <v>0.6875</v>
      </c>
      <c r="H40" s="314">
        <f t="shared" si="4"/>
        <v>7.5625</v>
      </c>
      <c r="I40" s="314">
        <f t="shared" si="0"/>
        <v>0.25</v>
      </c>
      <c r="J40" s="314">
        <f t="shared" si="6"/>
        <v>3.8125</v>
      </c>
      <c r="K40" s="315">
        <f t="shared" si="5"/>
        <v>0.50413223140495866</v>
      </c>
      <c r="L40" s="315">
        <f t="shared" si="7"/>
        <v>17.625</v>
      </c>
      <c r="M40" s="316">
        <f t="shared" si="9"/>
        <v>6.9375</v>
      </c>
      <c r="N40" s="317">
        <f t="shared" si="8"/>
        <v>0.39361702127659576</v>
      </c>
      <c r="O40" s="317">
        <f t="shared" ref="O40:O51" si="10">SUM(G13:G40)</f>
        <v>31.3125</v>
      </c>
      <c r="P40" s="317">
        <f>SUM(I13:I40)</f>
        <v>14</v>
      </c>
      <c r="Q40" s="317">
        <f t="shared" ref="Q40:Q51" si="11">P40/O40</f>
        <v>0.44710578842315368</v>
      </c>
      <c r="R40" s="315">
        <f t="shared" ref="R40:R51" si="12">((4*K40)+(2*N40)+Q40)/7*100</f>
        <v>46.440982237088278</v>
      </c>
    </row>
    <row r="41" spans="1:18">
      <c r="A41" s="34">
        <v>36441</v>
      </c>
      <c r="B41" s="313">
        <v>19.75</v>
      </c>
      <c r="C41" s="313">
        <v>18.6875</v>
      </c>
      <c r="D41" s="313">
        <v>19.3125</v>
      </c>
      <c r="E41" s="313">
        <f t="shared" si="1"/>
        <v>20.5625</v>
      </c>
      <c r="F41" s="314">
        <f t="shared" si="2"/>
        <v>18.6875</v>
      </c>
      <c r="G41" s="314">
        <f t="shared" si="3"/>
        <v>1.875</v>
      </c>
      <c r="H41" s="314">
        <f t="shared" si="4"/>
        <v>7.5</v>
      </c>
      <c r="I41" s="314">
        <f t="shared" si="0"/>
        <v>0.625</v>
      </c>
      <c r="J41" s="314">
        <f t="shared" si="6"/>
        <v>3.25</v>
      </c>
      <c r="K41" s="315">
        <f t="shared" si="5"/>
        <v>0.43333333333333335</v>
      </c>
      <c r="L41" s="315">
        <f t="shared" si="7"/>
        <v>18.3125</v>
      </c>
      <c r="M41" s="316">
        <f t="shared" si="9"/>
        <v>7.5</v>
      </c>
      <c r="N41" s="317">
        <f t="shared" si="8"/>
        <v>0.40955631399317405</v>
      </c>
      <c r="O41" s="317">
        <f t="shared" si="10"/>
        <v>32.125</v>
      </c>
      <c r="P41" s="317">
        <f t="shared" ref="P41:P51" si="13">SUM(I14:I41)</f>
        <v>14.0625</v>
      </c>
      <c r="Q41" s="317">
        <f t="shared" si="11"/>
        <v>0.4377431906614786</v>
      </c>
      <c r="R41" s="315">
        <f t="shared" si="12"/>
        <v>42.716987885445143</v>
      </c>
    </row>
    <row r="42" spans="1:18">
      <c r="A42" s="27">
        <v>36444</v>
      </c>
      <c r="B42" s="318">
        <v>21.9375</v>
      </c>
      <c r="C42" s="318">
        <v>19.6875</v>
      </c>
      <c r="D42" s="318">
        <v>21.9375</v>
      </c>
      <c r="E42" s="99">
        <f t="shared" si="1"/>
        <v>21.9375</v>
      </c>
      <c r="F42" s="172">
        <f t="shared" si="2"/>
        <v>19.3125</v>
      </c>
      <c r="G42" s="172">
        <f t="shared" si="3"/>
        <v>2.625</v>
      </c>
      <c r="H42" s="172">
        <f t="shared" si="4"/>
        <v>9.0625</v>
      </c>
      <c r="I42" s="172">
        <f t="shared" si="0"/>
        <v>2.625</v>
      </c>
      <c r="J42" s="172">
        <f t="shared" si="6"/>
        <v>5.4375</v>
      </c>
      <c r="K42" s="172">
        <f t="shared" si="5"/>
        <v>0.6</v>
      </c>
      <c r="L42" s="172">
        <f t="shared" si="7"/>
        <v>19.375</v>
      </c>
      <c r="M42" s="319">
        <f t="shared" si="9"/>
        <v>9.5625</v>
      </c>
      <c r="N42" s="99">
        <f t="shared" si="8"/>
        <v>0.49354838709677418</v>
      </c>
      <c r="O42" s="99">
        <f t="shared" si="10"/>
        <v>33.5625</v>
      </c>
      <c r="P42" s="99">
        <f t="shared" si="13"/>
        <v>15.6875</v>
      </c>
      <c r="Q42" s="99">
        <f t="shared" si="11"/>
        <v>0.46741154562383613</v>
      </c>
      <c r="R42" s="172">
        <f t="shared" si="12"/>
        <v>55.064404568819768</v>
      </c>
    </row>
    <row r="43" spans="1:18">
      <c r="A43" s="27">
        <v>36445</v>
      </c>
      <c r="B43" s="318">
        <v>22.875</v>
      </c>
      <c r="C43" s="318">
        <v>22</v>
      </c>
      <c r="D43" s="318">
        <v>22.125</v>
      </c>
      <c r="E43" s="99">
        <f t="shared" si="1"/>
        <v>22.875</v>
      </c>
      <c r="F43" s="172">
        <f t="shared" si="2"/>
        <v>21.9375</v>
      </c>
      <c r="G43" s="172">
        <f t="shared" si="3"/>
        <v>0.9375</v>
      </c>
      <c r="H43" s="172">
        <f t="shared" si="4"/>
        <v>9.375</v>
      </c>
      <c r="I43" s="172">
        <f t="shared" si="0"/>
        <v>0.1875</v>
      </c>
      <c r="J43" s="172">
        <f t="shared" si="6"/>
        <v>5.0625</v>
      </c>
      <c r="K43" s="172">
        <f t="shared" si="5"/>
        <v>0.54</v>
      </c>
      <c r="L43" s="172">
        <f t="shared" si="7"/>
        <v>19.0625</v>
      </c>
      <c r="M43" s="319">
        <f t="shared" si="9"/>
        <v>9.5625</v>
      </c>
      <c r="N43" s="99">
        <f t="shared" si="8"/>
        <v>0.50163934426229506</v>
      </c>
      <c r="O43" s="99">
        <f t="shared" si="10"/>
        <v>33.75</v>
      </c>
      <c r="P43" s="99">
        <f t="shared" si="13"/>
        <v>15.6875</v>
      </c>
      <c r="Q43" s="99">
        <f t="shared" si="11"/>
        <v>0.46481481481481479</v>
      </c>
      <c r="R43" s="172">
        <f t="shared" si="12"/>
        <v>51.829907190562928</v>
      </c>
    </row>
    <row r="44" spans="1:18">
      <c r="A44" s="34">
        <v>36446</v>
      </c>
      <c r="B44" s="313">
        <v>23.1875</v>
      </c>
      <c r="C44" s="313">
        <v>22.375</v>
      </c>
      <c r="D44" s="313">
        <v>22.875</v>
      </c>
      <c r="E44" s="313">
        <f t="shared" si="1"/>
        <v>23.1875</v>
      </c>
      <c r="F44" s="314">
        <f t="shared" si="2"/>
        <v>22.125</v>
      </c>
      <c r="G44" s="314">
        <f t="shared" si="3"/>
        <v>1.0625</v>
      </c>
      <c r="H44" s="314">
        <f t="shared" si="4"/>
        <v>9.6875</v>
      </c>
      <c r="I44" s="314">
        <f t="shared" si="0"/>
        <v>0.75</v>
      </c>
      <c r="J44" s="314">
        <f t="shared" si="6"/>
        <v>5.4375</v>
      </c>
      <c r="K44" s="315">
        <f t="shared" si="5"/>
        <v>0.56129032258064515</v>
      </c>
      <c r="L44" s="315">
        <f t="shared" si="7"/>
        <v>19.125</v>
      </c>
      <c r="M44" s="316">
        <f t="shared" si="9"/>
        <v>10.3125</v>
      </c>
      <c r="N44" s="317">
        <f t="shared" si="8"/>
        <v>0.53921568627450978</v>
      </c>
      <c r="O44" s="317">
        <f t="shared" si="10"/>
        <v>34.3125</v>
      </c>
      <c r="P44" s="317">
        <f t="shared" si="13"/>
        <v>16.3125</v>
      </c>
      <c r="Q44" s="317">
        <f t="shared" si="11"/>
        <v>0.47540983606557374</v>
      </c>
      <c r="R44" s="315">
        <f t="shared" si="12"/>
        <v>54.271464270531055</v>
      </c>
    </row>
    <row r="45" spans="1:18">
      <c r="A45" s="34">
        <v>36447</v>
      </c>
      <c r="B45" s="313">
        <v>22.75</v>
      </c>
      <c r="C45" s="313">
        <v>22.25</v>
      </c>
      <c r="D45" s="313">
        <v>22.5</v>
      </c>
      <c r="E45" s="313">
        <f t="shared" si="1"/>
        <v>22.875</v>
      </c>
      <c r="F45" s="314">
        <f t="shared" si="2"/>
        <v>22.25</v>
      </c>
      <c r="G45" s="314">
        <f t="shared" si="3"/>
        <v>0.625</v>
      </c>
      <c r="H45" s="314">
        <f t="shared" si="4"/>
        <v>8.6875</v>
      </c>
      <c r="I45" s="314">
        <f t="shared" si="0"/>
        <v>0.25</v>
      </c>
      <c r="J45" s="314">
        <f t="shared" si="6"/>
        <v>5</v>
      </c>
      <c r="K45" s="315">
        <f t="shared" si="5"/>
        <v>0.57553956834532372</v>
      </c>
      <c r="L45" s="315">
        <f t="shared" si="7"/>
        <v>18</v>
      </c>
      <c r="M45" s="316">
        <f t="shared" si="9"/>
        <v>9.5625</v>
      </c>
      <c r="N45" s="317">
        <f t="shared" si="8"/>
        <v>0.53125</v>
      </c>
      <c r="O45" s="317">
        <f t="shared" si="10"/>
        <v>34.1875</v>
      </c>
      <c r="P45" s="317">
        <f t="shared" si="13"/>
        <v>15.875</v>
      </c>
      <c r="Q45" s="317">
        <f t="shared" si="11"/>
        <v>0.46435100548446068</v>
      </c>
      <c r="R45" s="315">
        <f t="shared" si="12"/>
        <v>54.700132555225082</v>
      </c>
    </row>
    <row r="46" spans="1:18">
      <c r="A46" s="27">
        <v>36448</v>
      </c>
      <c r="B46" s="318">
        <v>22.0625</v>
      </c>
      <c r="C46" s="318">
        <v>20.375</v>
      </c>
      <c r="D46" s="318">
        <v>21.9375</v>
      </c>
      <c r="E46" s="99">
        <f t="shared" si="1"/>
        <v>22.5</v>
      </c>
      <c r="F46" s="172">
        <f t="shared" si="2"/>
        <v>20.375</v>
      </c>
      <c r="G46" s="172">
        <f t="shared" si="3"/>
        <v>2.125</v>
      </c>
      <c r="H46" s="172">
        <f t="shared" si="4"/>
        <v>9.9375</v>
      </c>
      <c r="I46" s="172">
        <f t="shared" si="0"/>
        <v>1.5625</v>
      </c>
      <c r="J46" s="172">
        <f t="shared" si="6"/>
        <v>6.25</v>
      </c>
      <c r="K46" s="172">
        <f t="shared" si="5"/>
        <v>0.62893081761006286</v>
      </c>
      <c r="L46" s="172">
        <f t="shared" si="7"/>
        <v>19</v>
      </c>
      <c r="M46" s="319">
        <f t="shared" si="9"/>
        <v>10.5</v>
      </c>
      <c r="N46" s="99">
        <f t="shared" si="8"/>
        <v>0.55263157894736847</v>
      </c>
      <c r="O46" s="99">
        <f t="shared" si="10"/>
        <v>35</v>
      </c>
      <c r="P46" s="99">
        <f t="shared" si="13"/>
        <v>16.875</v>
      </c>
      <c r="Q46" s="99">
        <f t="shared" si="11"/>
        <v>0.48214285714285715</v>
      </c>
      <c r="R46" s="172">
        <f t="shared" si="12"/>
        <v>58.616132649683493</v>
      </c>
    </row>
    <row r="47" spans="1:18">
      <c r="A47" s="27">
        <v>36451</v>
      </c>
      <c r="B47" s="318">
        <v>22.1875</v>
      </c>
      <c r="C47" s="318">
        <v>20.5</v>
      </c>
      <c r="D47" s="318">
        <v>20.75</v>
      </c>
      <c r="E47" s="99">
        <f t="shared" si="1"/>
        <v>22.1875</v>
      </c>
      <c r="F47" s="172">
        <f t="shared" si="2"/>
        <v>20.5</v>
      </c>
      <c r="G47" s="172">
        <f t="shared" si="3"/>
        <v>1.6875</v>
      </c>
      <c r="H47" s="172">
        <f t="shared" si="4"/>
        <v>10.9375</v>
      </c>
      <c r="I47" s="172">
        <f t="shared" si="0"/>
        <v>0.25</v>
      </c>
      <c r="J47" s="172">
        <f t="shared" si="6"/>
        <v>6.25</v>
      </c>
      <c r="K47" s="172">
        <f t="shared" si="5"/>
        <v>0.5714285714285714</v>
      </c>
      <c r="L47" s="172">
        <f t="shared" si="7"/>
        <v>18.5</v>
      </c>
      <c r="M47" s="319">
        <f t="shared" si="9"/>
        <v>10.0625</v>
      </c>
      <c r="N47" s="99">
        <f t="shared" si="8"/>
        <v>0.54391891891891897</v>
      </c>
      <c r="O47" s="99">
        <f t="shared" si="10"/>
        <v>35.75</v>
      </c>
      <c r="P47" s="99">
        <f t="shared" si="13"/>
        <v>16.8125</v>
      </c>
      <c r="Q47" s="99">
        <f t="shared" si="11"/>
        <v>0.47027972027972026</v>
      </c>
      <c r="R47" s="172">
        <f t="shared" si="12"/>
        <v>54.911883483312053</v>
      </c>
    </row>
    <row r="48" spans="1:18">
      <c r="A48" s="34">
        <v>36452</v>
      </c>
      <c r="B48" s="313">
        <v>21.75</v>
      </c>
      <c r="C48" s="313">
        <v>20.8125</v>
      </c>
      <c r="D48" s="313">
        <v>21</v>
      </c>
      <c r="E48" s="313">
        <f t="shared" si="1"/>
        <v>21.75</v>
      </c>
      <c r="F48" s="314">
        <f t="shared" si="2"/>
        <v>20.75</v>
      </c>
      <c r="G48" s="314">
        <f t="shared" si="3"/>
        <v>1</v>
      </c>
      <c r="H48" s="314">
        <f t="shared" si="4"/>
        <v>10.0625</v>
      </c>
      <c r="I48" s="314">
        <f t="shared" si="0"/>
        <v>0.25</v>
      </c>
      <c r="J48" s="314">
        <f t="shared" si="6"/>
        <v>5.875</v>
      </c>
      <c r="K48" s="315">
        <f t="shared" si="5"/>
        <v>0.58385093167701863</v>
      </c>
      <c r="L48" s="315">
        <f t="shared" si="7"/>
        <v>17.5625</v>
      </c>
      <c r="M48" s="316">
        <f t="shared" si="9"/>
        <v>9.125</v>
      </c>
      <c r="N48" s="317">
        <f t="shared" si="8"/>
        <v>0.5195729537366548</v>
      </c>
      <c r="O48" s="317">
        <f t="shared" si="10"/>
        <v>35.25</v>
      </c>
      <c r="P48" s="317">
        <f t="shared" si="13"/>
        <v>15.5625</v>
      </c>
      <c r="Q48" s="317">
        <f t="shared" si="11"/>
        <v>0.44148936170212766</v>
      </c>
      <c r="R48" s="315">
        <f t="shared" si="12"/>
        <v>54.514842798335884</v>
      </c>
    </row>
    <row r="49" spans="1:18">
      <c r="A49" s="34">
        <v>36453</v>
      </c>
      <c r="B49" s="313">
        <v>21.4375</v>
      </c>
      <c r="C49" s="313">
        <v>20.8125</v>
      </c>
      <c r="D49" s="313">
        <v>21.375</v>
      </c>
      <c r="E49" s="313">
        <f t="shared" si="1"/>
        <v>21.4375</v>
      </c>
      <c r="F49" s="314">
        <f t="shared" si="2"/>
        <v>20.8125</v>
      </c>
      <c r="G49" s="314">
        <f t="shared" si="3"/>
        <v>0.625</v>
      </c>
      <c r="H49" s="314">
        <f t="shared" si="4"/>
        <v>8.0625</v>
      </c>
      <c r="I49" s="314">
        <f t="shared" si="0"/>
        <v>0.5625</v>
      </c>
      <c r="J49" s="314">
        <f t="shared" si="6"/>
        <v>3.8125</v>
      </c>
      <c r="K49" s="315">
        <f t="shared" si="5"/>
        <v>0.47286821705426357</v>
      </c>
      <c r="L49" s="315">
        <f t="shared" si="7"/>
        <v>17.125</v>
      </c>
      <c r="M49" s="316">
        <f t="shared" si="9"/>
        <v>9.25</v>
      </c>
      <c r="N49" s="317">
        <f t="shared" si="8"/>
        <v>0.54014598540145986</v>
      </c>
      <c r="O49" s="317">
        <f t="shared" si="10"/>
        <v>35.0625</v>
      </c>
      <c r="P49" s="317">
        <f t="shared" si="13"/>
        <v>16</v>
      </c>
      <c r="Q49" s="317">
        <f t="shared" si="11"/>
        <v>0.45632798573975042</v>
      </c>
      <c r="R49" s="315">
        <f t="shared" si="12"/>
        <v>48.972754639424629</v>
      </c>
    </row>
    <row r="50" spans="1:18">
      <c r="A50" s="27">
        <v>36454</v>
      </c>
      <c r="B50" s="318">
        <v>22.375</v>
      </c>
      <c r="C50" s="318">
        <v>20.875</v>
      </c>
      <c r="D50" s="318">
        <v>22.1875</v>
      </c>
      <c r="E50" s="99">
        <f t="shared" si="1"/>
        <v>22.375</v>
      </c>
      <c r="F50" s="172">
        <f t="shared" si="2"/>
        <v>20.875</v>
      </c>
      <c r="G50" s="172">
        <f t="shared" si="3"/>
        <v>1.5</v>
      </c>
      <c r="H50" s="172">
        <f t="shared" si="4"/>
        <v>8.625</v>
      </c>
      <c r="I50" s="172">
        <f t="shared" si="0"/>
        <v>1.3125</v>
      </c>
      <c r="J50" s="172">
        <f t="shared" si="6"/>
        <v>4.9375</v>
      </c>
      <c r="K50" s="172">
        <f t="shared" si="5"/>
        <v>0.57246376811594202</v>
      </c>
      <c r="L50" s="172">
        <f t="shared" si="7"/>
        <v>18</v>
      </c>
      <c r="M50" s="319">
        <f t="shared" si="9"/>
        <v>10</v>
      </c>
      <c r="N50" s="99">
        <f t="shared" si="8"/>
        <v>0.55555555555555558</v>
      </c>
      <c r="O50" s="99">
        <f t="shared" si="10"/>
        <v>36</v>
      </c>
      <c r="P50" s="99">
        <f t="shared" si="13"/>
        <v>17.0625</v>
      </c>
      <c r="Q50" s="99">
        <f t="shared" si="11"/>
        <v>0.47395833333333331</v>
      </c>
      <c r="R50" s="172">
        <f t="shared" si="12"/>
        <v>55.356064527260187</v>
      </c>
    </row>
    <row r="51" spans="1:18">
      <c r="A51" s="27">
        <v>36455</v>
      </c>
      <c r="B51" s="318">
        <v>23.5</v>
      </c>
      <c r="C51" s="318">
        <v>22.5</v>
      </c>
      <c r="D51" s="318">
        <v>22.8125</v>
      </c>
      <c r="E51" s="99">
        <f t="shared" si="1"/>
        <v>23.5</v>
      </c>
      <c r="F51" s="172">
        <f t="shared" si="2"/>
        <v>22.1875</v>
      </c>
      <c r="G51" s="172">
        <f t="shared" si="3"/>
        <v>1.3125</v>
      </c>
      <c r="H51" s="172">
        <f t="shared" si="4"/>
        <v>8.875</v>
      </c>
      <c r="I51" s="172">
        <f t="shared" si="0"/>
        <v>0.625</v>
      </c>
      <c r="J51" s="172">
        <f t="shared" si="6"/>
        <v>4.8125</v>
      </c>
      <c r="K51" s="172">
        <f t="shared" si="5"/>
        <v>0.54225352112676062</v>
      </c>
      <c r="L51" s="172">
        <f t="shared" si="7"/>
        <v>18.5625</v>
      </c>
      <c r="M51" s="319">
        <f t="shared" si="9"/>
        <v>10.25</v>
      </c>
      <c r="N51" s="99">
        <f t="shared" si="8"/>
        <v>0.55218855218855223</v>
      </c>
      <c r="O51" s="99">
        <f t="shared" si="10"/>
        <v>35.75</v>
      </c>
      <c r="P51" s="99">
        <f t="shared" si="13"/>
        <v>17.5625</v>
      </c>
      <c r="Q51" s="99">
        <f t="shared" si="11"/>
        <v>0.49125874125874125</v>
      </c>
      <c r="R51" s="172">
        <f t="shared" si="12"/>
        <v>53.780713287755546</v>
      </c>
    </row>
    <row r="52" spans="1:18">
      <c r="A52" s="2"/>
      <c r="B52" s="4"/>
      <c r="C52" s="4"/>
      <c r="D52" s="4"/>
      <c r="E52" s="4"/>
      <c r="F52" s="4"/>
      <c r="G52" s="4"/>
      <c r="H52" s="4"/>
      <c r="I52" s="4"/>
      <c r="J52" s="4"/>
      <c r="K52" s="4"/>
      <c r="L52" s="4"/>
      <c r="M52" s="4"/>
      <c r="N52" s="4"/>
      <c r="O52" s="4"/>
      <c r="P52" s="4"/>
      <c r="Q52" s="4"/>
      <c r="R52" s="4"/>
    </row>
    <row r="53" spans="1:18">
      <c r="A53" s="2"/>
      <c r="B53" s="4"/>
      <c r="C53" s="4"/>
      <c r="D53" s="4"/>
      <c r="E53" s="4"/>
      <c r="F53" s="4"/>
      <c r="G53" s="4"/>
      <c r="H53" s="4"/>
      <c r="I53" s="4"/>
      <c r="J53" s="4"/>
      <c r="K53" s="4"/>
      <c r="L53" s="4"/>
      <c r="M53" s="4"/>
      <c r="N53" s="4"/>
      <c r="O53" s="4"/>
      <c r="P53" s="4"/>
      <c r="Q53" s="4"/>
      <c r="R53" s="4"/>
    </row>
    <row r="54" spans="1:18">
      <c r="A54" s="2" t="s">
        <v>967</v>
      </c>
      <c r="B54" s="4"/>
      <c r="C54" s="4"/>
      <c r="D54" s="4"/>
      <c r="E54" s="4"/>
      <c r="F54" s="4"/>
      <c r="G54" s="4"/>
      <c r="H54" s="4"/>
      <c r="I54" s="4"/>
      <c r="J54" s="4"/>
      <c r="K54" s="4"/>
      <c r="L54" s="4"/>
      <c r="M54" s="4"/>
      <c r="N54" s="4"/>
      <c r="O54" s="4"/>
      <c r="P54" s="4"/>
      <c r="Q54" s="4"/>
      <c r="R54" s="4"/>
    </row>
    <row r="55" spans="1:18">
      <c r="A55" s="2" t="s">
        <v>968</v>
      </c>
      <c r="B55" s="4"/>
      <c r="C55" s="4"/>
      <c r="D55" s="4"/>
      <c r="E55" s="4"/>
      <c r="F55" s="4"/>
      <c r="G55" s="4"/>
      <c r="H55" s="4"/>
      <c r="I55" s="4"/>
      <c r="J55" s="4"/>
      <c r="K55" s="4"/>
      <c r="L55" s="4"/>
      <c r="M55" s="4"/>
      <c r="N55" s="4"/>
      <c r="O55" s="4"/>
      <c r="P55" s="4"/>
      <c r="Q55" s="4"/>
      <c r="R55" s="4"/>
    </row>
    <row r="56" spans="1:18">
      <c r="A56" s="2" t="s">
        <v>970</v>
      </c>
      <c r="B56" s="4"/>
      <c r="C56" s="4"/>
      <c r="D56" s="4"/>
      <c r="E56" s="4"/>
      <c r="F56" s="4"/>
      <c r="G56" s="4"/>
      <c r="H56" s="4"/>
      <c r="I56" s="4"/>
      <c r="J56" s="4"/>
      <c r="K56" s="4"/>
      <c r="L56" s="4"/>
      <c r="M56" s="4"/>
      <c r="N56" s="4"/>
      <c r="O56" s="4"/>
      <c r="P56" s="4"/>
      <c r="Q56" s="4"/>
      <c r="R56" s="4"/>
    </row>
    <row r="57" spans="1:18">
      <c r="A57" s="2" t="s">
        <v>969</v>
      </c>
      <c r="B57" s="4"/>
      <c r="C57" s="4"/>
      <c r="D57" s="4"/>
      <c r="E57" s="4"/>
      <c r="F57" s="4"/>
      <c r="G57" s="4"/>
      <c r="H57" s="4"/>
      <c r="I57" s="4"/>
      <c r="J57" s="4"/>
      <c r="K57" s="4"/>
      <c r="L57" s="4"/>
      <c r="M57" s="4"/>
      <c r="N57" s="4"/>
      <c r="O57" s="4"/>
      <c r="P57" s="4"/>
      <c r="Q57" s="4"/>
      <c r="R57" s="4"/>
    </row>
    <row r="58" spans="1:18">
      <c r="A58" s="2" t="s">
        <v>971</v>
      </c>
      <c r="B58" s="4"/>
      <c r="C58" s="4"/>
      <c r="D58" s="4"/>
      <c r="E58" s="4"/>
      <c r="F58" s="4"/>
      <c r="G58" s="4"/>
      <c r="H58" s="4"/>
      <c r="I58" s="4"/>
      <c r="J58" s="4"/>
      <c r="K58" s="4"/>
      <c r="L58" s="4"/>
      <c r="M58" s="4"/>
      <c r="N58" s="4"/>
      <c r="O58" s="4"/>
      <c r="P58" s="4"/>
      <c r="Q58" s="4"/>
      <c r="R58" s="4"/>
    </row>
    <row r="59" spans="1:18">
      <c r="A59" s="2" t="s">
        <v>972</v>
      </c>
      <c r="B59" s="4"/>
      <c r="C59" s="4"/>
      <c r="D59" s="4"/>
      <c r="E59" s="4"/>
      <c r="F59" s="4"/>
      <c r="G59" s="4"/>
      <c r="H59" s="4"/>
      <c r="I59" s="4"/>
      <c r="J59" s="4"/>
      <c r="K59" s="4"/>
      <c r="L59" s="4"/>
      <c r="M59" s="4"/>
      <c r="N59" s="4"/>
      <c r="O59" s="4"/>
      <c r="P59" s="4"/>
      <c r="Q59" s="4"/>
      <c r="R59" s="4"/>
    </row>
    <row r="60" spans="1:18">
      <c r="A60" s="2" t="s">
        <v>973</v>
      </c>
      <c r="B60" s="4"/>
      <c r="C60" s="4"/>
      <c r="D60" s="4"/>
      <c r="E60" s="4"/>
      <c r="F60" s="4"/>
      <c r="G60" s="4"/>
      <c r="H60" s="4"/>
      <c r="I60" s="4"/>
      <c r="J60" s="4"/>
      <c r="K60" s="4"/>
      <c r="L60" s="4"/>
      <c r="M60" s="4"/>
      <c r="N60" s="4"/>
      <c r="O60" s="4"/>
      <c r="P60" s="4"/>
      <c r="Q60" s="4"/>
      <c r="R60" s="4"/>
    </row>
    <row r="61" spans="1:18">
      <c r="A61" s="2" t="s">
        <v>974</v>
      </c>
      <c r="B61" s="4"/>
      <c r="C61" s="4"/>
      <c r="D61" s="4"/>
      <c r="E61" s="4"/>
      <c r="F61" s="4"/>
      <c r="G61" s="4"/>
      <c r="H61" s="4"/>
      <c r="I61" s="4"/>
      <c r="J61" s="4"/>
      <c r="K61" s="4"/>
      <c r="L61" s="4"/>
      <c r="M61" s="4"/>
      <c r="N61" s="4"/>
      <c r="O61" s="4"/>
      <c r="P61" s="4"/>
      <c r="Q61" s="4"/>
      <c r="R61" s="4"/>
    </row>
    <row r="62" spans="1:18">
      <c r="A62" s="2" t="s">
        <v>975</v>
      </c>
      <c r="B62" s="4"/>
      <c r="C62" s="4"/>
      <c r="D62" s="4"/>
      <c r="E62" s="4"/>
      <c r="F62" s="4"/>
      <c r="G62" s="4"/>
      <c r="H62" s="4"/>
      <c r="I62" s="4"/>
      <c r="J62" s="4"/>
      <c r="K62" s="4"/>
      <c r="L62" s="4"/>
      <c r="M62" s="4"/>
      <c r="N62" s="4"/>
      <c r="O62" s="4"/>
      <c r="P62" s="4"/>
      <c r="Q62" s="4"/>
      <c r="R62" s="4"/>
    </row>
    <row r="63" spans="1:18">
      <c r="A63" s="2" t="s">
        <v>977</v>
      </c>
      <c r="B63" s="4"/>
    </row>
    <row r="64" spans="1:18">
      <c r="A64" s="2" t="s">
        <v>976</v>
      </c>
      <c r="B64" s="4"/>
    </row>
    <row r="65" spans="1:9">
      <c r="A65" s="2" t="s">
        <v>978</v>
      </c>
      <c r="B65" s="4"/>
    </row>
    <row r="66" spans="1:9">
      <c r="A66" s="2" t="s">
        <v>979</v>
      </c>
      <c r="B66" s="4"/>
    </row>
    <row r="67" spans="1:9" ht="26.25" customHeight="1">
      <c r="A67" s="468" t="s">
        <v>980</v>
      </c>
      <c r="B67" s="468"/>
      <c r="C67" s="468"/>
      <c r="D67" s="468"/>
      <c r="E67" s="468"/>
      <c r="F67" s="468"/>
      <c r="G67" s="468"/>
      <c r="H67" s="468"/>
      <c r="I67" s="468"/>
    </row>
    <row r="68" spans="1:9">
      <c r="A68" s="2"/>
    </row>
    <row r="69" spans="1:9">
      <c r="A69" s="2"/>
    </row>
    <row r="70" spans="1:9">
      <c r="A70" s="2"/>
    </row>
    <row r="71" spans="1:9">
      <c r="A71" s="2"/>
    </row>
    <row r="72" spans="1:9">
      <c r="A72" s="2"/>
    </row>
    <row r="73" spans="1:9">
      <c r="A73" s="2"/>
    </row>
    <row r="74" spans="1:9">
      <c r="A74" s="2"/>
    </row>
    <row r="75" spans="1:9">
      <c r="A75" s="2"/>
    </row>
    <row r="76" spans="1:9">
      <c r="A76" s="2"/>
    </row>
    <row r="77" spans="1:9">
      <c r="A77" s="2"/>
    </row>
    <row r="78" spans="1:9">
      <c r="A78" s="2"/>
    </row>
    <row r="79" spans="1:9">
      <c r="A79" s="2"/>
    </row>
    <row r="80" spans="1:9">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sheetData>
  <mergeCells count="1">
    <mergeCell ref="A67:I67"/>
  </mergeCells>
  <phoneticPr fontId="0" type="noConversion"/>
  <pageMargins left="0.75" right="0.75" top="1" bottom="1" header="0.5" footer="0.5"/>
  <pageSetup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9394" r:id="rId3" name="Button 2">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59395" r:id="rId4" name="Button 3">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59396" r:id="rId5" name="Button 4">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59397" r:id="rId6" name="Button 5">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59398" r:id="rId7" name="Button 6">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59399" r:id="rId8" name="Button 7">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59400" r:id="rId9" name="Button 8">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59401" r:id="rId10" name="Button 9">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6" enableFormatConditionsCalculation="0"/>
  <dimension ref="A1:N41"/>
  <sheetViews>
    <sheetView workbookViewId="0"/>
  </sheetViews>
  <sheetFormatPr baseColWidth="10" defaultColWidth="8.83203125" defaultRowHeight="12" x14ac:dyDescent="0"/>
  <cols>
    <col min="1" max="1" width="11.83203125" customWidth="1"/>
    <col min="2" max="2" width="10.83203125" customWidth="1"/>
    <col min="3" max="3" width="10.1640625" customWidth="1"/>
    <col min="4" max="4" width="12.83203125"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438</v>
      </c>
      <c r="C3" s="21"/>
      <c r="D3" s="21"/>
      <c r="E3" s="21"/>
      <c r="F3" s="21"/>
      <c r="G3" s="21"/>
      <c r="H3" s="21"/>
      <c r="I3" s="21"/>
      <c r="J3" s="21"/>
    </row>
    <row r="4" spans="1:14" ht="30.75" customHeight="1">
      <c r="A4" s="118" t="s">
        <v>779</v>
      </c>
      <c r="B4" s="446" t="s">
        <v>981</v>
      </c>
      <c r="C4" s="446"/>
      <c r="D4" s="446"/>
      <c r="E4" s="446"/>
      <c r="F4" s="446"/>
      <c r="G4" s="446"/>
      <c r="H4" s="446"/>
      <c r="I4" s="446"/>
      <c r="J4" s="446"/>
    </row>
    <row r="5" spans="1:14" ht="44.25" customHeight="1">
      <c r="A5" s="21"/>
      <c r="B5" s="21"/>
      <c r="C5" s="21"/>
      <c r="D5" s="21"/>
      <c r="E5" s="21"/>
      <c r="F5" s="21"/>
      <c r="G5" s="21"/>
      <c r="H5" s="21"/>
      <c r="I5" s="21"/>
      <c r="J5" s="21"/>
    </row>
    <row r="6" spans="1:14" ht="36">
      <c r="A6" s="22" t="s">
        <v>1090</v>
      </c>
      <c r="B6" s="31" t="s">
        <v>1103</v>
      </c>
      <c r="C6" s="31" t="s">
        <v>1104</v>
      </c>
      <c r="D6" s="31" t="s">
        <v>407</v>
      </c>
      <c r="E6" s="22"/>
      <c r="F6" s="22"/>
      <c r="G6" s="22"/>
      <c r="H6" s="22"/>
      <c r="I6" s="22"/>
      <c r="J6" s="22"/>
    </row>
    <row r="7" spans="1:14">
      <c r="A7" s="26">
        <v>35545</v>
      </c>
      <c r="B7" s="77">
        <v>1097590.375</v>
      </c>
      <c r="C7" s="77">
        <v>2685030</v>
      </c>
      <c r="D7" s="41">
        <f>B7/C7</f>
        <v>0.40878141957445541</v>
      </c>
      <c r="E7" s="28"/>
      <c r="F7" s="28"/>
      <c r="G7" s="28"/>
      <c r="H7" s="28"/>
      <c r="I7" s="28"/>
      <c r="J7" s="54"/>
    </row>
    <row r="8" spans="1:14">
      <c r="A8" s="26">
        <v>35548</v>
      </c>
      <c r="B8" s="77">
        <v>2247369</v>
      </c>
      <c r="C8" s="77">
        <v>1430582.25</v>
      </c>
      <c r="D8" s="41">
        <f t="shared" ref="D8:D23" si="0">B8/C8</f>
        <v>1.5709470741720724</v>
      </c>
      <c r="E8" s="28"/>
      <c r="F8" s="28"/>
      <c r="G8" s="28"/>
      <c r="H8" s="28"/>
      <c r="I8" s="28"/>
      <c r="J8" s="54"/>
    </row>
    <row r="9" spans="1:14">
      <c r="A9" s="27">
        <v>35549</v>
      </c>
      <c r="B9" s="79">
        <v>4617426.5</v>
      </c>
      <c r="C9" s="79">
        <v>527996.625</v>
      </c>
      <c r="D9" s="45">
        <f t="shared" si="0"/>
        <v>8.7451818465695688</v>
      </c>
      <c r="E9" s="29"/>
      <c r="F9" s="29"/>
      <c r="G9" s="29"/>
      <c r="H9" s="29"/>
      <c r="I9" s="29"/>
      <c r="J9" s="57"/>
    </row>
    <row r="10" spans="1:14">
      <c r="A10" s="27">
        <v>35550</v>
      </c>
      <c r="B10" s="79">
        <v>4000088.75</v>
      </c>
      <c r="C10" s="79">
        <v>1163730.5</v>
      </c>
      <c r="D10" s="45">
        <f t="shared" si="0"/>
        <v>3.4372981974778525</v>
      </c>
      <c r="E10" s="29"/>
      <c r="F10" s="29"/>
      <c r="G10" s="29"/>
      <c r="H10" s="29"/>
      <c r="I10" s="29"/>
      <c r="J10" s="57"/>
    </row>
    <row r="11" spans="1:14">
      <c r="A11" s="26">
        <v>35551</v>
      </c>
      <c r="B11" s="77">
        <v>2176503</v>
      </c>
      <c r="C11" s="77">
        <v>1856353.125</v>
      </c>
      <c r="D11" s="41">
        <f t="shared" si="0"/>
        <v>1.1724617319239841</v>
      </c>
      <c r="E11" s="28"/>
      <c r="F11" s="28"/>
      <c r="G11" s="28"/>
      <c r="H11" s="28"/>
      <c r="I11" s="28"/>
      <c r="J11" s="54"/>
    </row>
    <row r="12" spans="1:14">
      <c r="A12" s="26">
        <v>35552</v>
      </c>
      <c r="B12" s="77">
        <v>3918818</v>
      </c>
      <c r="C12" s="77">
        <v>749109.125</v>
      </c>
      <c r="D12" s="41">
        <f t="shared" si="0"/>
        <v>5.2313045846291084</v>
      </c>
      <c r="E12" s="28"/>
      <c r="F12" s="28"/>
      <c r="G12" s="28"/>
      <c r="H12" s="28"/>
      <c r="I12" s="28"/>
      <c r="J12" s="54"/>
    </row>
    <row r="13" spans="1:14">
      <c r="A13" s="27">
        <v>35555</v>
      </c>
      <c r="B13" s="79">
        <v>4554564</v>
      </c>
      <c r="C13" s="79">
        <v>665109.6875</v>
      </c>
      <c r="D13" s="45">
        <f t="shared" si="0"/>
        <v>6.8478389137881859</v>
      </c>
      <c r="E13" s="29"/>
      <c r="F13" s="29"/>
      <c r="G13" s="29"/>
      <c r="H13" s="29"/>
      <c r="I13" s="29"/>
      <c r="J13" s="57"/>
    </row>
    <row r="14" spans="1:14">
      <c r="A14" s="27">
        <v>35556</v>
      </c>
      <c r="B14" s="79">
        <v>2774558.75</v>
      </c>
      <c r="C14" s="79">
        <v>2762761</v>
      </c>
      <c r="D14" s="45">
        <f t="shared" si="0"/>
        <v>1.0042702752789692</v>
      </c>
      <c r="E14" s="29"/>
      <c r="F14" s="29"/>
      <c r="G14" s="29"/>
      <c r="H14" s="29"/>
      <c r="I14" s="29"/>
      <c r="J14" s="57"/>
    </row>
    <row r="15" spans="1:14">
      <c r="A15" s="26">
        <v>35557</v>
      </c>
      <c r="B15" s="77">
        <v>1518034.25</v>
      </c>
      <c r="C15" s="77">
        <v>3128769.5</v>
      </c>
      <c r="D15" s="41">
        <f t="shared" si="0"/>
        <v>0.48518570958966456</v>
      </c>
      <c r="E15" s="28"/>
      <c r="F15" s="28"/>
      <c r="G15" s="28"/>
      <c r="H15" s="28"/>
      <c r="I15" s="28"/>
      <c r="J15" s="54"/>
    </row>
    <row r="16" spans="1:14">
      <c r="A16" s="26">
        <v>35558</v>
      </c>
      <c r="B16" s="77">
        <v>3072179.75</v>
      </c>
      <c r="C16" s="77">
        <v>1743590.5</v>
      </c>
      <c r="D16" s="41">
        <f t="shared" si="0"/>
        <v>1.7619846804625283</v>
      </c>
      <c r="E16" s="28"/>
      <c r="F16" s="28"/>
      <c r="G16" s="28"/>
      <c r="H16" s="28"/>
      <c r="I16" s="28"/>
      <c r="J16" s="54"/>
    </row>
    <row r="17" spans="1:10">
      <c r="A17" s="27">
        <v>35559</v>
      </c>
      <c r="B17" s="79">
        <v>2792524.75</v>
      </c>
      <c r="C17" s="79">
        <v>1218892.75</v>
      </c>
      <c r="D17" s="45">
        <f t="shared" si="0"/>
        <v>2.2910340142723795</v>
      </c>
      <c r="E17" s="29"/>
      <c r="F17" s="29"/>
      <c r="G17" s="29"/>
      <c r="H17" s="29"/>
      <c r="I17" s="29"/>
      <c r="J17" s="57"/>
    </row>
    <row r="18" spans="1:10">
      <c r="A18" s="27">
        <v>35562</v>
      </c>
      <c r="B18" s="79">
        <v>3387345.75</v>
      </c>
      <c r="C18" s="79">
        <v>850940.6875</v>
      </c>
      <c r="D18" s="45">
        <f t="shared" si="0"/>
        <v>3.9807072334874105</v>
      </c>
      <c r="E18" s="29"/>
      <c r="F18" s="29"/>
      <c r="G18" s="29"/>
      <c r="H18" s="29"/>
      <c r="I18" s="29"/>
      <c r="J18" s="57"/>
    </row>
    <row r="19" spans="1:10">
      <c r="A19" s="26">
        <v>35563</v>
      </c>
      <c r="B19" s="77">
        <v>1991714</v>
      </c>
      <c r="C19" s="77">
        <v>2512359.75</v>
      </c>
      <c r="D19" s="41">
        <f t="shared" si="0"/>
        <v>0.79276624297137388</v>
      </c>
      <c r="E19" s="28"/>
      <c r="F19" s="28"/>
      <c r="G19" s="28"/>
      <c r="H19" s="28"/>
      <c r="I19" s="28"/>
      <c r="J19" s="54"/>
    </row>
    <row r="20" spans="1:10">
      <c r="A20" s="26">
        <v>35564</v>
      </c>
      <c r="B20" s="77">
        <v>2877362.5</v>
      </c>
      <c r="C20" s="77">
        <v>1616582.875</v>
      </c>
      <c r="D20" s="41">
        <f t="shared" si="0"/>
        <v>1.7799041079165212</v>
      </c>
      <c r="E20" s="28"/>
      <c r="F20" s="28"/>
      <c r="G20" s="28"/>
      <c r="H20" s="28"/>
      <c r="I20" s="28"/>
      <c r="J20" s="54"/>
    </row>
    <row r="21" spans="1:10">
      <c r="A21" s="27">
        <v>35565</v>
      </c>
      <c r="B21" s="79">
        <v>2658199</v>
      </c>
      <c r="C21" s="79">
        <v>1502646.625</v>
      </c>
      <c r="D21" s="45">
        <f t="shared" si="0"/>
        <v>1.7690113934804865</v>
      </c>
      <c r="E21" s="29"/>
      <c r="F21" s="29"/>
      <c r="G21" s="29"/>
      <c r="H21" s="29"/>
      <c r="I21" s="29"/>
      <c r="J21" s="57"/>
    </row>
    <row r="22" spans="1:10">
      <c r="A22" s="27">
        <v>35566</v>
      </c>
      <c r="B22" s="79">
        <v>1325087.5</v>
      </c>
      <c r="C22" s="79">
        <v>3133338.75</v>
      </c>
      <c r="D22" s="45">
        <f t="shared" si="0"/>
        <v>0.4228995348811232</v>
      </c>
      <c r="E22" s="29"/>
      <c r="F22" s="29"/>
      <c r="G22" s="29"/>
      <c r="H22" s="29"/>
      <c r="I22" s="29"/>
      <c r="J22" s="57"/>
    </row>
    <row r="23" spans="1:10">
      <c r="A23" s="26">
        <v>35569</v>
      </c>
      <c r="B23" s="77">
        <v>1825068.375</v>
      </c>
      <c r="C23" s="77">
        <v>1290328.125</v>
      </c>
      <c r="D23" s="41">
        <f t="shared" si="0"/>
        <v>1.4144219130308424</v>
      </c>
      <c r="E23" s="28"/>
      <c r="F23" s="28"/>
      <c r="G23" s="28"/>
      <c r="H23" s="28"/>
      <c r="I23" s="28"/>
      <c r="J23" s="54"/>
    </row>
    <row r="24" spans="1:10">
      <c r="A24" s="26">
        <v>35570</v>
      </c>
      <c r="B24" s="77">
        <v>2707087</v>
      </c>
      <c r="C24" s="77">
        <v>1284888.125</v>
      </c>
      <c r="D24" s="41">
        <f t="shared" ref="D24:D39" si="1">B24/C24</f>
        <v>2.1068659187740568</v>
      </c>
      <c r="E24" s="28"/>
      <c r="F24" s="28"/>
      <c r="G24" s="28"/>
      <c r="H24" s="28"/>
      <c r="I24" s="28"/>
      <c r="J24" s="54"/>
    </row>
    <row r="25" spans="1:10">
      <c r="A25" s="27">
        <v>35571</v>
      </c>
      <c r="B25" s="79">
        <v>2377201.5</v>
      </c>
      <c r="C25" s="79">
        <v>2563639.5</v>
      </c>
      <c r="D25" s="45">
        <f t="shared" si="1"/>
        <v>0.92727604641760275</v>
      </c>
      <c r="E25" s="29"/>
      <c r="F25" s="29"/>
      <c r="G25" s="29"/>
      <c r="H25" s="29"/>
      <c r="I25" s="29"/>
      <c r="J25" s="57"/>
    </row>
    <row r="26" spans="1:10">
      <c r="A26" s="27">
        <v>35572</v>
      </c>
      <c r="B26" s="79">
        <v>1873511</v>
      </c>
      <c r="C26" s="79">
        <v>1901396.625</v>
      </c>
      <c r="D26" s="45">
        <f t="shared" si="1"/>
        <v>0.98533413563832317</v>
      </c>
      <c r="E26" s="29"/>
      <c r="F26" s="29"/>
      <c r="G26" s="29"/>
      <c r="H26" s="29"/>
      <c r="I26" s="29"/>
      <c r="J26" s="57"/>
    </row>
    <row r="27" spans="1:10">
      <c r="A27" s="26">
        <v>35573</v>
      </c>
      <c r="B27" s="77">
        <v>3065329.5</v>
      </c>
      <c r="C27" s="77">
        <v>707489.3125</v>
      </c>
      <c r="D27" s="41">
        <f t="shared" si="1"/>
        <v>4.3326866510085971</v>
      </c>
      <c r="E27" s="28"/>
      <c r="F27" s="28"/>
      <c r="G27" s="28"/>
      <c r="H27" s="28"/>
      <c r="I27" s="28"/>
      <c r="J27" s="54"/>
    </row>
    <row r="28" spans="1:10">
      <c r="A28" s="26">
        <v>35577</v>
      </c>
      <c r="B28" s="77">
        <v>2378635.75</v>
      </c>
      <c r="C28" s="77">
        <v>1578490.5</v>
      </c>
      <c r="D28" s="41">
        <f t="shared" si="1"/>
        <v>1.5069053313909713</v>
      </c>
      <c r="E28" s="28"/>
      <c r="F28" s="28"/>
      <c r="G28" s="28"/>
      <c r="H28" s="28"/>
      <c r="I28" s="28"/>
      <c r="J28" s="54"/>
    </row>
    <row r="29" spans="1:10">
      <c r="A29" s="27">
        <v>35578</v>
      </c>
      <c r="B29" s="79">
        <v>2266589</v>
      </c>
      <c r="C29" s="79">
        <v>2203339.75</v>
      </c>
      <c r="D29" s="45">
        <f t="shared" si="1"/>
        <v>1.0287060813022595</v>
      </c>
      <c r="E29" s="29"/>
      <c r="F29" s="29"/>
      <c r="G29" s="29"/>
      <c r="H29" s="29"/>
      <c r="I29" s="29"/>
      <c r="J29" s="57"/>
    </row>
    <row r="30" spans="1:10">
      <c r="A30" s="27">
        <v>35579</v>
      </c>
      <c r="B30" s="79">
        <v>2046584.625</v>
      </c>
      <c r="C30" s="79">
        <v>2166829.5</v>
      </c>
      <c r="D30" s="45">
        <f t="shared" si="1"/>
        <v>0.9445065359318765</v>
      </c>
      <c r="E30" s="29"/>
      <c r="F30" s="29"/>
      <c r="G30" s="29"/>
      <c r="H30" s="29"/>
      <c r="I30" s="29"/>
      <c r="J30" s="57"/>
    </row>
    <row r="31" spans="1:10">
      <c r="A31" s="26">
        <v>35580</v>
      </c>
      <c r="B31" s="77">
        <v>3040926.25</v>
      </c>
      <c r="C31" s="77">
        <v>1666566.5</v>
      </c>
      <c r="D31" s="41">
        <f t="shared" si="1"/>
        <v>1.8246654123912847</v>
      </c>
      <c r="E31" s="28"/>
      <c r="F31" s="28"/>
      <c r="G31" s="28"/>
      <c r="H31" s="28"/>
      <c r="I31" s="28"/>
      <c r="J31" s="54"/>
    </row>
    <row r="32" spans="1:10">
      <c r="A32" s="26">
        <v>35583</v>
      </c>
      <c r="B32" s="77">
        <v>2078862.75</v>
      </c>
      <c r="C32" s="77">
        <v>1772313</v>
      </c>
      <c r="D32" s="41">
        <f t="shared" si="1"/>
        <v>1.172965920805185</v>
      </c>
      <c r="E32" s="28"/>
      <c r="F32" s="28"/>
      <c r="G32" s="28"/>
      <c r="H32" s="28"/>
      <c r="I32" s="28"/>
      <c r="J32" s="54"/>
    </row>
    <row r="33" spans="1:10">
      <c r="A33" s="27">
        <v>35584</v>
      </c>
      <c r="B33" s="79">
        <v>2510515.5</v>
      </c>
      <c r="C33" s="79">
        <v>2251208</v>
      </c>
      <c r="D33" s="45">
        <f t="shared" si="1"/>
        <v>1.1151859357287288</v>
      </c>
      <c r="E33" s="29"/>
      <c r="F33" s="29"/>
      <c r="G33" s="29"/>
      <c r="H33" s="29"/>
      <c r="I33" s="29"/>
      <c r="J33" s="57"/>
    </row>
    <row r="34" spans="1:10">
      <c r="A34" s="27">
        <v>35585</v>
      </c>
      <c r="B34" s="79">
        <v>1774308.75</v>
      </c>
      <c r="C34" s="79">
        <v>2416056</v>
      </c>
      <c r="D34" s="45">
        <f t="shared" si="1"/>
        <v>0.73438229494680585</v>
      </c>
      <c r="E34" s="29"/>
      <c r="F34" s="29"/>
      <c r="G34" s="29"/>
      <c r="H34" s="29"/>
      <c r="I34" s="29"/>
      <c r="J34" s="57"/>
    </row>
    <row r="35" spans="1:10">
      <c r="A35" s="26">
        <v>35586</v>
      </c>
      <c r="B35" s="77">
        <v>2702448.25</v>
      </c>
      <c r="C35" s="77">
        <v>1317814.25</v>
      </c>
      <c r="D35" s="41">
        <f t="shared" si="1"/>
        <v>2.05070498365001</v>
      </c>
      <c r="E35" s="28"/>
      <c r="F35" s="28"/>
      <c r="G35" s="28"/>
      <c r="H35" s="28"/>
      <c r="I35" s="28"/>
      <c r="J35" s="54"/>
    </row>
    <row r="36" spans="1:10">
      <c r="A36" s="26">
        <v>35587</v>
      </c>
      <c r="B36" s="77">
        <v>3291001</v>
      </c>
      <c r="C36" s="77">
        <v>999753.8125</v>
      </c>
      <c r="D36" s="41">
        <f t="shared" si="1"/>
        <v>3.2918114028197318</v>
      </c>
      <c r="E36" s="28"/>
      <c r="F36" s="28"/>
      <c r="G36" s="28"/>
      <c r="H36" s="28"/>
      <c r="I36" s="28"/>
      <c r="J36" s="54"/>
    </row>
    <row r="37" spans="1:10">
      <c r="A37" s="27">
        <v>35590</v>
      </c>
      <c r="B37" s="79">
        <v>2837335.5</v>
      </c>
      <c r="C37" s="79">
        <v>1431377.875</v>
      </c>
      <c r="D37" s="45">
        <f t="shared" si="1"/>
        <v>1.9822407133406335</v>
      </c>
      <c r="E37" s="29"/>
      <c r="F37" s="29"/>
      <c r="G37" s="29"/>
      <c r="H37" s="29"/>
      <c r="I37" s="29"/>
      <c r="J37" s="57"/>
    </row>
    <row r="38" spans="1:10">
      <c r="A38" s="27">
        <v>35591</v>
      </c>
      <c r="B38" s="79">
        <v>2831112.25</v>
      </c>
      <c r="C38" s="79">
        <v>1901268.875</v>
      </c>
      <c r="D38" s="45">
        <f t="shared" si="1"/>
        <v>1.4890646384772905</v>
      </c>
      <c r="E38" s="29"/>
      <c r="F38" s="29"/>
      <c r="G38" s="29"/>
      <c r="H38" s="29"/>
      <c r="I38" s="29"/>
      <c r="J38" s="57"/>
    </row>
    <row r="39" spans="1:10">
      <c r="A39" s="26">
        <v>35592</v>
      </c>
      <c r="B39" s="77">
        <v>2843019.5</v>
      </c>
      <c r="C39" s="77">
        <v>1820490.75</v>
      </c>
      <c r="D39" s="41">
        <f t="shared" si="1"/>
        <v>1.5616775311821827</v>
      </c>
      <c r="E39" s="28"/>
      <c r="F39" s="28"/>
      <c r="G39" s="28"/>
      <c r="H39" s="28"/>
      <c r="I39" s="28"/>
      <c r="J39" s="54"/>
    </row>
    <row r="41" spans="1:10">
      <c r="A41" t="s">
        <v>982</v>
      </c>
    </row>
  </sheetData>
  <mergeCells count="1">
    <mergeCell ref="B4:J4"/>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2772" r:id="rId3" name="Button 4">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32773"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32774"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32775"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32776" r:id="rId7" name="Button 8">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32777" r:id="rId8" name="Button 9">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32778" r:id="rId9" name="Button 10">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32779" r:id="rId10" name="Button 11">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7" enableFormatConditionsCalculation="0"/>
  <dimension ref="A1:N43"/>
  <sheetViews>
    <sheetView workbookViewId="0"/>
  </sheetViews>
  <sheetFormatPr baseColWidth="10" defaultColWidth="8.83203125" defaultRowHeight="12" x14ac:dyDescent="0"/>
  <cols>
    <col min="1" max="1" width="10.6640625" customWidth="1"/>
    <col min="2" max="3" width="10.5" customWidth="1"/>
    <col min="4" max="4" width="12.5" customWidth="1"/>
    <col min="5" max="5" width="11.33203125" customWidth="1"/>
    <col min="6" max="6" width="13" customWidth="1"/>
  </cols>
  <sheetData>
    <row r="1" spans="1:14">
      <c r="A1" s="21"/>
      <c r="B1" s="21"/>
      <c r="C1" s="21" t="s">
        <v>846</v>
      </c>
      <c r="D1" s="21"/>
      <c r="E1" s="21"/>
      <c r="F1" s="21"/>
      <c r="G1" s="21"/>
      <c r="H1" s="21"/>
      <c r="I1" s="21"/>
      <c r="J1" s="21"/>
    </row>
    <row r="2" spans="1:14" ht="21" customHeight="1">
      <c r="A2" s="21"/>
      <c r="B2" s="21"/>
      <c r="C2" s="21"/>
      <c r="D2" s="374"/>
      <c r="E2" s="374"/>
      <c r="F2" s="374"/>
      <c r="G2" s="374"/>
      <c r="H2" s="374"/>
      <c r="I2" s="374"/>
      <c r="J2" s="374"/>
      <c r="K2" s="372"/>
      <c r="L2" s="372"/>
      <c r="M2" s="372"/>
      <c r="N2" s="372"/>
    </row>
    <row r="3" spans="1:14">
      <c r="A3" s="19" t="s">
        <v>1045</v>
      </c>
      <c r="B3" s="20" t="s">
        <v>439</v>
      </c>
      <c r="C3" s="21"/>
      <c r="D3" s="21"/>
      <c r="E3" s="21"/>
      <c r="F3" s="21"/>
      <c r="G3" s="21"/>
      <c r="H3" s="21"/>
      <c r="I3" s="21"/>
      <c r="J3" s="21"/>
    </row>
    <row r="4" spans="1:14" ht="30.75" customHeight="1">
      <c r="A4" s="118" t="s">
        <v>779</v>
      </c>
      <c r="B4" s="446" t="s">
        <v>670</v>
      </c>
      <c r="C4" s="446"/>
      <c r="D4" s="446"/>
      <c r="E4" s="446"/>
      <c r="F4" s="446"/>
      <c r="G4" s="446"/>
      <c r="H4" s="446"/>
      <c r="I4" s="446"/>
      <c r="J4" s="446"/>
    </row>
    <row r="5" spans="1:14" ht="15">
      <c r="A5" s="21"/>
      <c r="B5" s="21"/>
      <c r="C5" s="189" t="s">
        <v>669</v>
      </c>
      <c r="D5" s="21"/>
      <c r="E5" s="21"/>
      <c r="F5" s="21"/>
      <c r="G5" s="21"/>
      <c r="H5" s="21"/>
      <c r="I5" s="21"/>
      <c r="J5" s="21"/>
    </row>
    <row r="6" spans="1:14" ht="36">
      <c r="A6" s="22" t="s">
        <v>1090</v>
      </c>
      <c r="B6" s="31" t="s">
        <v>1103</v>
      </c>
      <c r="C6" s="31" t="s">
        <v>1104</v>
      </c>
      <c r="D6" s="31" t="s">
        <v>1202</v>
      </c>
      <c r="E6" s="22"/>
      <c r="F6" s="22"/>
      <c r="G6" s="22"/>
      <c r="H6" s="22"/>
      <c r="I6" s="22"/>
      <c r="J6" s="22"/>
    </row>
    <row r="7" spans="1:14">
      <c r="A7" s="26">
        <v>35545</v>
      </c>
      <c r="B7" s="255">
        <v>1097590.375</v>
      </c>
      <c r="C7" s="255">
        <v>2685030</v>
      </c>
      <c r="D7" s="255">
        <f>B7-C7</f>
        <v>-1587439.625</v>
      </c>
      <c r="E7" s="28"/>
      <c r="F7" s="28"/>
      <c r="G7" s="28"/>
      <c r="H7" s="28"/>
      <c r="I7" s="28"/>
      <c r="J7" s="54"/>
    </row>
    <row r="8" spans="1:14">
      <c r="A8" s="26">
        <v>35548</v>
      </c>
      <c r="B8" s="255">
        <v>2247369</v>
      </c>
      <c r="C8" s="255">
        <v>1430582.25</v>
      </c>
      <c r="D8" s="255">
        <f t="shared" ref="D8:D23" si="0">B8-C8</f>
        <v>816786.75</v>
      </c>
      <c r="E8" s="28"/>
      <c r="F8" s="28"/>
      <c r="G8" s="28"/>
      <c r="H8" s="28"/>
      <c r="I8" s="28"/>
      <c r="J8" s="54"/>
    </row>
    <row r="9" spans="1:14">
      <c r="A9" s="27">
        <v>35549</v>
      </c>
      <c r="B9" s="257">
        <v>4617426.5</v>
      </c>
      <c r="C9" s="257">
        <v>527996.625</v>
      </c>
      <c r="D9" s="257">
        <f t="shared" si="0"/>
        <v>4089429.875</v>
      </c>
      <c r="E9" s="29"/>
      <c r="F9" s="29"/>
      <c r="G9" s="29"/>
      <c r="H9" s="29"/>
      <c r="I9" s="29"/>
      <c r="J9" s="57"/>
    </row>
    <row r="10" spans="1:14">
      <c r="A10" s="27">
        <v>35550</v>
      </c>
      <c r="B10" s="257">
        <v>4000088.75</v>
      </c>
      <c r="C10" s="257">
        <v>1163730.5</v>
      </c>
      <c r="D10" s="257">
        <f t="shared" si="0"/>
        <v>2836358.25</v>
      </c>
      <c r="E10" s="29"/>
      <c r="F10" s="29"/>
      <c r="G10" s="29"/>
      <c r="H10" s="29"/>
      <c r="I10" s="29"/>
      <c r="J10" s="57"/>
    </row>
    <row r="11" spans="1:14">
      <c r="A11" s="26">
        <v>35551</v>
      </c>
      <c r="B11" s="255">
        <v>2176503</v>
      </c>
      <c r="C11" s="255">
        <v>1856353.125</v>
      </c>
      <c r="D11" s="255">
        <f t="shared" si="0"/>
        <v>320149.875</v>
      </c>
      <c r="E11" s="28"/>
      <c r="F11" s="28"/>
      <c r="G11" s="28"/>
      <c r="H11" s="28"/>
      <c r="I11" s="28"/>
      <c r="J11" s="54"/>
    </row>
    <row r="12" spans="1:14">
      <c r="A12" s="26">
        <v>35552</v>
      </c>
      <c r="B12" s="255">
        <v>3918818</v>
      </c>
      <c r="C12" s="255">
        <v>749109.125</v>
      </c>
      <c r="D12" s="255">
        <f t="shared" si="0"/>
        <v>3169708.875</v>
      </c>
      <c r="E12" s="28"/>
      <c r="F12" s="28"/>
      <c r="G12" s="28"/>
      <c r="H12" s="28"/>
      <c r="I12" s="28"/>
      <c r="J12" s="54"/>
    </row>
    <row r="13" spans="1:14">
      <c r="A13" s="27">
        <v>35555</v>
      </c>
      <c r="B13" s="257">
        <v>4554564</v>
      </c>
      <c r="C13" s="257">
        <v>665109.6875</v>
      </c>
      <c r="D13" s="257">
        <f t="shared" si="0"/>
        <v>3889454.3125</v>
      </c>
      <c r="E13" s="29"/>
      <c r="F13" s="29"/>
      <c r="G13" s="29"/>
      <c r="H13" s="29"/>
      <c r="I13" s="29"/>
      <c r="J13" s="57"/>
    </row>
    <row r="14" spans="1:14">
      <c r="A14" s="27">
        <v>35556</v>
      </c>
      <c r="B14" s="257">
        <v>2774558.75</v>
      </c>
      <c r="C14" s="257">
        <v>2762761</v>
      </c>
      <c r="D14" s="257">
        <f t="shared" si="0"/>
        <v>11797.75</v>
      </c>
      <c r="E14" s="29"/>
      <c r="F14" s="29"/>
      <c r="G14" s="29"/>
      <c r="H14" s="29"/>
      <c r="I14" s="29"/>
      <c r="J14" s="57"/>
    </row>
    <row r="15" spans="1:14">
      <c r="A15" s="26">
        <v>35557</v>
      </c>
      <c r="B15" s="255">
        <v>1518034.25</v>
      </c>
      <c r="C15" s="255">
        <v>3128769.5</v>
      </c>
      <c r="D15" s="255">
        <f t="shared" si="0"/>
        <v>-1610735.25</v>
      </c>
      <c r="E15" s="28"/>
      <c r="F15" s="28"/>
      <c r="G15" s="28"/>
      <c r="H15" s="28"/>
      <c r="I15" s="28"/>
      <c r="J15" s="54"/>
    </row>
    <row r="16" spans="1:14">
      <c r="A16" s="26">
        <v>35558</v>
      </c>
      <c r="B16" s="255">
        <v>3072179.75</v>
      </c>
      <c r="C16" s="255">
        <v>1743590.5</v>
      </c>
      <c r="D16" s="255">
        <f t="shared" si="0"/>
        <v>1328589.25</v>
      </c>
      <c r="E16" s="28"/>
      <c r="F16" s="28"/>
      <c r="G16" s="28"/>
      <c r="H16" s="28"/>
      <c r="I16" s="28"/>
      <c r="J16" s="54"/>
    </row>
    <row r="17" spans="1:10">
      <c r="A17" s="27">
        <v>35559</v>
      </c>
      <c r="B17" s="257">
        <v>2792524.75</v>
      </c>
      <c r="C17" s="257">
        <v>1218892.75</v>
      </c>
      <c r="D17" s="257">
        <f t="shared" si="0"/>
        <v>1573632</v>
      </c>
      <c r="E17" s="29"/>
      <c r="F17" s="29"/>
      <c r="G17" s="29"/>
      <c r="H17" s="29"/>
      <c r="I17" s="29"/>
      <c r="J17" s="57"/>
    </row>
    <row r="18" spans="1:10">
      <c r="A18" s="27">
        <v>35562</v>
      </c>
      <c r="B18" s="257">
        <v>3387345.75</v>
      </c>
      <c r="C18" s="257">
        <v>850940.6875</v>
      </c>
      <c r="D18" s="257">
        <f t="shared" si="0"/>
        <v>2536405.0625</v>
      </c>
      <c r="E18" s="29"/>
      <c r="F18" s="29"/>
      <c r="G18" s="29"/>
      <c r="H18" s="29"/>
      <c r="I18" s="29"/>
      <c r="J18" s="57"/>
    </row>
    <row r="19" spans="1:10">
      <c r="A19" s="26">
        <v>35563</v>
      </c>
      <c r="B19" s="255">
        <v>1991714</v>
      </c>
      <c r="C19" s="255">
        <v>2512359.75</v>
      </c>
      <c r="D19" s="255">
        <f t="shared" si="0"/>
        <v>-520645.75</v>
      </c>
      <c r="E19" s="28"/>
      <c r="F19" s="28"/>
      <c r="G19" s="28"/>
      <c r="H19" s="28"/>
      <c r="I19" s="28"/>
      <c r="J19" s="54"/>
    </row>
    <row r="20" spans="1:10">
      <c r="A20" s="26">
        <v>35564</v>
      </c>
      <c r="B20" s="255">
        <v>2877362.5</v>
      </c>
      <c r="C20" s="255">
        <v>1616582.875</v>
      </c>
      <c r="D20" s="255">
        <f t="shared" si="0"/>
        <v>1260779.625</v>
      </c>
      <c r="E20" s="28"/>
      <c r="F20" s="28"/>
      <c r="G20" s="28"/>
      <c r="H20" s="28"/>
      <c r="I20" s="28"/>
      <c r="J20" s="54"/>
    </row>
    <row r="21" spans="1:10">
      <c r="A21" s="27">
        <v>35565</v>
      </c>
      <c r="B21" s="257">
        <v>2658199</v>
      </c>
      <c r="C21" s="257">
        <v>1502646.625</v>
      </c>
      <c r="D21" s="257">
        <f t="shared" si="0"/>
        <v>1155552.375</v>
      </c>
      <c r="E21" s="29"/>
      <c r="F21" s="29"/>
      <c r="G21" s="29"/>
      <c r="H21" s="29"/>
      <c r="I21" s="29"/>
      <c r="J21" s="57"/>
    </row>
    <row r="22" spans="1:10">
      <c r="A22" s="27">
        <v>35566</v>
      </c>
      <c r="B22" s="257">
        <v>1325087.5</v>
      </c>
      <c r="C22" s="257">
        <v>3133338.75</v>
      </c>
      <c r="D22" s="257">
        <f t="shared" si="0"/>
        <v>-1808251.25</v>
      </c>
      <c r="E22" s="29"/>
      <c r="F22" s="29"/>
      <c r="G22" s="29"/>
      <c r="H22" s="29"/>
      <c r="I22" s="29"/>
      <c r="J22" s="57"/>
    </row>
    <row r="23" spans="1:10">
      <c r="A23" s="26">
        <v>35569</v>
      </c>
      <c r="B23" s="255">
        <v>1825068.375</v>
      </c>
      <c r="C23" s="255">
        <v>1290328.125</v>
      </c>
      <c r="D23" s="255">
        <f t="shared" si="0"/>
        <v>534740.25</v>
      </c>
      <c r="E23" s="28"/>
      <c r="F23" s="28"/>
      <c r="G23" s="28"/>
      <c r="H23" s="28"/>
      <c r="I23" s="28"/>
      <c r="J23" s="54"/>
    </row>
    <row r="24" spans="1:10">
      <c r="A24" s="26">
        <v>35570</v>
      </c>
      <c r="B24" s="255">
        <v>2707087</v>
      </c>
      <c r="C24" s="255">
        <v>1284888.125</v>
      </c>
      <c r="D24" s="255">
        <f t="shared" ref="D24:D39" si="1">B24-C24</f>
        <v>1422198.875</v>
      </c>
      <c r="E24" s="28"/>
      <c r="F24" s="28"/>
      <c r="G24" s="28"/>
      <c r="H24" s="28"/>
      <c r="I24" s="28"/>
      <c r="J24" s="54"/>
    </row>
    <row r="25" spans="1:10">
      <c r="A25" s="27">
        <v>35571</v>
      </c>
      <c r="B25" s="257">
        <v>2377201.5</v>
      </c>
      <c r="C25" s="257">
        <v>2563639.5</v>
      </c>
      <c r="D25" s="257">
        <f t="shared" si="1"/>
        <v>-186438</v>
      </c>
      <c r="E25" s="29"/>
      <c r="F25" s="29"/>
      <c r="G25" s="29"/>
      <c r="H25" s="29"/>
      <c r="I25" s="29"/>
      <c r="J25" s="57"/>
    </row>
    <row r="26" spans="1:10">
      <c r="A26" s="27">
        <v>35572</v>
      </c>
      <c r="B26" s="257">
        <v>1873511</v>
      </c>
      <c r="C26" s="257">
        <v>1901396.625</v>
      </c>
      <c r="D26" s="257">
        <f t="shared" si="1"/>
        <v>-27885.625</v>
      </c>
      <c r="E26" s="29"/>
      <c r="F26" s="29"/>
      <c r="G26" s="29"/>
      <c r="H26" s="29"/>
      <c r="I26" s="29"/>
      <c r="J26" s="57"/>
    </row>
    <row r="27" spans="1:10">
      <c r="A27" s="26">
        <v>35573</v>
      </c>
      <c r="B27" s="255">
        <v>3065329.5</v>
      </c>
      <c r="C27" s="255">
        <v>707489.3125</v>
      </c>
      <c r="D27" s="255">
        <f t="shared" si="1"/>
        <v>2357840.1875</v>
      </c>
      <c r="E27" s="28"/>
      <c r="F27" s="28"/>
      <c r="G27" s="28"/>
      <c r="H27" s="28"/>
      <c r="I27" s="28"/>
      <c r="J27" s="54"/>
    </row>
    <row r="28" spans="1:10">
      <c r="A28" s="26">
        <v>35577</v>
      </c>
      <c r="B28" s="255">
        <v>2378635.75</v>
      </c>
      <c r="C28" s="255">
        <v>1578490.5</v>
      </c>
      <c r="D28" s="255">
        <f t="shared" si="1"/>
        <v>800145.25</v>
      </c>
      <c r="E28" s="28"/>
      <c r="F28" s="28"/>
      <c r="G28" s="28"/>
      <c r="H28" s="28"/>
      <c r="I28" s="28"/>
      <c r="J28" s="54"/>
    </row>
    <row r="29" spans="1:10">
      <c r="A29" s="27">
        <v>35578</v>
      </c>
      <c r="B29" s="257">
        <v>2266589</v>
      </c>
      <c r="C29" s="257">
        <v>2203339.75</v>
      </c>
      <c r="D29" s="257">
        <f t="shared" si="1"/>
        <v>63249.25</v>
      </c>
      <c r="E29" s="29"/>
      <c r="F29" s="29"/>
      <c r="G29" s="29"/>
      <c r="H29" s="29"/>
      <c r="I29" s="29"/>
      <c r="J29" s="57"/>
    </row>
    <row r="30" spans="1:10">
      <c r="A30" s="27">
        <v>35579</v>
      </c>
      <c r="B30" s="257">
        <v>2046584.625</v>
      </c>
      <c r="C30" s="257">
        <v>2166829.5</v>
      </c>
      <c r="D30" s="257">
        <f t="shared" si="1"/>
        <v>-120244.875</v>
      </c>
      <c r="E30" s="29"/>
      <c r="F30" s="29"/>
      <c r="G30" s="29"/>
      <c r="H30" s="29"/>
      <c r="I30" s="29"/>
      <c r="J30" s="57"/>
    </row>
    <row r="31" spans="1:10">
      <c r="A31" s="26">
        <v>35580</v>
      </c>
      <c r="B31" s="255">
        <v>3040926.25</v>
      </c>
      <c r="C31" s="255">
        <v>1666566.5</v>
      </c>
      <c r="D31" s="255">
        <f t="shared" si="1"/>
        <v>1374359.75</v>
      </c>
      <c r="E31" s="28"/>
      <c r="F31" s="28"/>
      <c r="G31" s="28"/>
      <c r="H31" s="28"/>
      <c r="I31" s="28"/>
      <c r="J31" s="54"/>
    </row>
    <row r="32" spans="1:10">
      <c r="A32" s="26">
        <v>35583</v>
      </c>
      <c r="B32" s="255">
        <v>2078862.75</v>
      </c>
      <c r="C32" s="255">
        <v>1772313</v>
      </c>
      <c r="D32" s="255">
        <f t="shared" si="1"/>
        <v>306549.75</v>
      </c>
      <c r="E32" s="28"/>
      <c r="F32" s="28"/>
      <c r="G32" s="28"/>
      <c r="H32" s="28"/>
      <c r="I32" s="28"/>
      <c r="J32" s="54"/>
    </row>
    <row r="33" spans="1:10">
      <c r="A33" s="27">
        <v>35584</v>
      </c>
      <c r="B33" s="257">
        <v>2510515.5</v>
      </c>
      <c r="C33" s="257">
        <v>2251208</v>
      </c>
      <c r="D33" s="257">
        <f t="shared" si="1"/>
        <v>259307.5</v>
      </c>
      <c r="E33" s="29"/>
      <c r="F33" s="29"/>
      <c r="G33" s="29"/>
      <c r="H33" s="29"/>
      <c r="I33" s="29"/>
      <c r="J33" s="57"/>
    </row>
    <row r="34" spans="1:10">
      <c r="A34" s="27">
        <v>35585</v>
      </c>
      <c r="B34" s="257">
        <v>1774308.75</v>
      </c>
      <c r="C34" s="257">
        <v>2416056</v>
      </c>
      <c r="D34" s="257">
        <f t="shared" si="1"/>
        <v>-641747.25</v>
      </c>
      <c r="E34" s="29"/>
      <c r="F34" s="29"/>
      <c r="G34" s="29"/>
      <c r="H34" s="29"/>
      <c r="I34" s="29"/>
      <c r="J34" s="57"/>
    </row>
    <row r="35" spans="1:10">
      <c r="A35" s="26">
        <v>35586</v>
      </c>
      <c r="B35" s="255">
        <v>2702448.25</v>
      </c>
      <c r="C35" s="255">
        <v>1317814.25</v>
      </c>
      <c r="D35" s="255">
        <f t="shared" si="1"/>
        <v>1384634</v>
      </c>
      <c r="E35" s="28"/>
      <c r="F35" s="28"/>
      <c r="G35" s="28"/>
      <c r="H35" s="28"/>
      <c r="I35" s="28"/>
      <c r="J35" s="54"/>
    </row>
    <row r="36" spans="1:10">
      <c r="A36" s="26">
        <v>35587</v>
      </c>
      <c r="B36" s="255">
        <v>3291001</v>
      </c>
      <c r="C36" s="255">
        <v>999753.8125</v>
      </c>
      <c r="D36" s="255">
        <f t="shared" si="1"/>
        <v>2291247.1875</v>
      </c>
      <c r="E36" s="28"/>
      <c r="F36" s="28"/>
      <c r="G36" s="28"/>
      <c r="H36" s="28"/>
      <c r="I36" s="28"/>
      <c r="J36" s="54"/>
    </row>
    <row r="37" spans="1:10">
      <c r="A37" s="27">
        <v>35590</v>
      </c>
      <c r="B37" s="257">
        <v>2837335.5</v>
      </c>
      <c r="C37" s="257">
        <v>1431377.875</v>
      </c>
      <c r="D37" s="257">
        <f t="shared" si="1"/>
        <v>1405957.625</v>
      </c>
      <c r="E37" s="29"/>
      <c r="F37" s="29"/>
      <c r="G37" s="29"/>
      <c r="H37" s="29"/>
      <c r="I37" s="29"/>
      <c r="J37" s="57"/>
    </row>
    <row r="38" spans="1:10">
      <c r="A38" s="27">
        <v>35591</v>
      </c>
      <c r="B38" s="257">
        <v>2831112.25</v>
      </c>
      <c r="C38" s="257">
        <v>1901268.875</v>
      </c>
      <c r="D38" s="257">
        <f t="shared" si="1"/>
        <v>929843.375</v>
      </c>
      <c r="E38" s="29"/>
      <c r="F38" s="29"/>
      <c r="G38" s="29"/>
      <c r="H38" s="29"/>
      <c r="I38" s="29"/>
      <c r="J38" s="57"/>
    </row>
    <row r="39" spans="1:10">
      <c r="A39" s="26">
        <v>35592</v>
      </c>
      <c r="B39" s="255">
        <v>2843019.5</v>
      </c>
      <c r="C39" s="255">
        <v>1820490.75</v>
      </c>
      <c r="D39" s="255">
        <f t="shared" si="1"/>
        <v>1022528.75</v>
      </c>
      <c r="E39" s="28"/>
      <c r="F39" s="28"/>
      <c r="G39" s="28"/>
      <c r="H39" s="28"/>
      <c r="I39" s="28"/>
      <c r="J39" s="54"/>
    </row>
    <row r="40" spans="1:10">
      <c r="A40" s="71"/>
      <c r="B40" s="29"/>
      <c r="C40" s="29"/>
      <c r="D40" s="29"/>
      <c r="E40" s="29"/>
      <c r="F40" s="29"/>
      <c r="G40" s="29"/>
      <c r="H40" s="29"/>
      <c r="I40" s="29"/>
      <c r="J40" s="57"/>
    </row>
    <row r="41" spans="1:10">
      <c r="A41" s="71"/>
      <c r="B41" s="29"/>
      <c r="C41" s="29"/>
      <c r="D41" s="29"/>
      <c r="E41" s="29"/>
      <c r="F41" s="29"/>
      <c r="G41" s="29"/>
      <c r="H41" s="29"/>
      <c r="I41" s="29"/>
      <c r="J41" s="57"/>
    </row>
    <row r="43" spans="1:10">
      <c r="A43" t="s">
        <v>983</v>
      </c>
    </row>
  </sheetData>
  <mergeCells count="1">
    <mergeCell ref="B4:J4"/>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1377"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01378"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01379"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01380"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101381" r:id="rId7" name="Button 5">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01382" r:id="rId8"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01383" r:id="rId9"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01384" r:id="rId10"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enableFormatConditionsCalculation="0"/>
  <dimension ref="A1:N170"/>
  <sheetViews>
    <sheetView workbookViewId="0"/>
  </sheetViews>
  <sheetFormatPr baseColWidth="10" defaultColWidth="8.83203125" defaultRowHeight="12" x14ac:dyDescent="0"/>
  <cols>
    <col min="1" max="1" width="10.6640625" customWidth="1"/>
    <col min="3" max="3" width="10.1640625" customWidth="1"/>
    <col min="4" max="4" width="11.5" customWidth="1"/>
    <col min="5" max="7" width="10.83203125" customWidth="1"/>
    <col min="8" max="8" width="12.83203125" customWidth="1"/>
    <col min="9" max="9" width="11.3320312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791</v>
      </c>
      <c r="C3" s="21"/>
      <c r="D3" s="21"/>
      <c r="E3" s="21"/>
      <c r="F3" s="21"/>
      <c r="G3" s="21"/>
      <c r="H3" s="21"/>
      <c r="I3" s="21"/>
      <c r="J3" s="21"/>
      <c r="K3" s="21"/>
    </row>
    <row r="4" spans="1:14">
      <c r="A4" s="19" t="s">
        <v>774</v>
      </c>
      <c r="B4" s="20" t="s">
        <v>792</v>
      </c>
      <c r="C4" s="21"/>
      <c r="D4" s="21"/>
      <c r="E4" s="21"/>
      <c r="F4" s="21"/>
      <c r="G4" s="21"/>
      <c r="H4" s="21"/>
      <c r="I4" s="21"/>
      <c r="J4" s="21"/>
      <c r="K4" s="21"/>
    </row>
    <row r="5" spans="1:14" ht="27" customHeight="1">
      <c r="A5" s="118" t="s">
        <v>779</v>
      </c>
      <c r="B5" s="462" t="s">
        <v>671</v>
      </c>
      <c r="C5" s="462"/>
      <c r="D5" s="462"/>
      <c r="E5" s="462"/>
      <c r="F5" s="462"/>
      <c r="G5" s="462"/>
      <c r="H5" s="462"/>
      <c r="I5" s="462"/>
      <c r="J5" s="462"/>
      <c r="K5" s="462"/>
      <c r="L5" s="241"/>
    </row>
    <row r="6" spans="1:14" ht="16.5" customHeight="1">
      <c r="A6" s="19"/>
      <c r="B6" s="152"/>
      <c r="C6" s="98"/>
      <c r="D6" s="149" t="s">
        <v>672</v>
      </c>
      <c r="E6" s="98"/>
      <c r="F6" s="98"/>
      <c r="G6" s="98"/>
      <c r="H6" s="98"/>
      <c r="I6" s="98"/>
      <c r="J6" s="98"/>
      <c r="K6" s="98"/>
      <c r="L6" s="241"/>
    </row>
    <row r="7" spans="1:14" ht="16.5" customHeight="1">
      <c r="A7" s="19"/>
      <c r="B7" s="152"/>
      <c r="C7" s="21"/>
      <c r="D7" s="149" t="s">
        <v>673</v>
      </c>
      <c r="E7" s="98"/>
      <c r="F7" s="98"/>
      <c r="G7" s="98"/>
      <c r="H7" s="98"/>
      <c r="I7" s="98"/>
      <c r="J7" s="98"/>
      <c r="K7" s="98"/>
    </row>
    <row r="8" spans="1:14" ht="51" customHeight="1">
      <c r="A8" s="19"/>
      <c r="B8" s="446" t="s">
        <v>675</v>
      </c>
      <c r="C8" s="462"/>
      <c r="D8" s="462"/>
      <c r="E8" s="462"/>
      <c r="F8" s="462"/>
      <c r="G8" s="462"/>
      <c r="H8" s="462"/>
      <c r="I8" s="462"/>
      <c r="J8" s="462"/>
      <c r="K8" s="462"/>
    </row>
    <row r="9" spans="1:14" ht="16.5" customHeight="1">
      <c r="A9" s="19"/>
      <c r="B9" s="152"/>
      <c r="C9" s="98"/>
      <c r="D9" s="149" t="s">
        <v>674</v>
      </c>
      <c r="E9" s="98"/>
      <c r="F9" s="98"/>
      <c r="G9" s="98"/>
      <c r="H9" s="98"/>
      <c r="I9" s="98"/>
      <c r="J9" s="98"/>
      <c r="K9" s="98"/>
      <c r="L9" s="241"/>
    </row>
    <row r="10" spans="1:14" ht="33" customHeight="1">
      <c r="A10" s="19"/>
      <c r="B10" s="446" t="s">
        <v>789</v>
      </c>
      <c r="C10" s="462"/>
      <c r="D10" s="462"/>
      <c r="E10" s="462"/>
      <c r="F10" s="462"/>
      <c r="G10" s="462"/>
      <c r="H10" s="462"/>
      <c r="I10" s="462"/>
      <c r="J10" s="462"/>
      <c r="K10" s="462"/>
      <c r="L10" s="241"/>
    </row>
    <row r="11" spans="1:14" ht="42" customHeight="1">
      <c r="A11" s="19"/>
      <c r="B11" s="125"/>
      <c r="C11" s="98"/>
      <c r="D11" s="98"/>
      <c r="E11" s="98"/>
      <c r="F11" s="98"/>
      <c r="G11" s="98"/>
      <c r="H11" s="98"/>
      <c r="I11" s="98"/>
      <c r="J11" s="98"/>
      <c r="K11" s="98"/>
    </row>
    <row r="12" spans="1:14" ht="16.5" customHeight="1">
      <c r="A12" s="19"/>
      <c r="B12" s="124" t="s">
        <v>790</v>
      </c>
      <c r="C12" s="98"/>
      <c r="D12" s="98"/>
      <c r="E12" s="98"/>
      <c r="F12" s="98"/>
      <c r="G12" s="98"/>
      <c r="H12" s="98"/>
      <c r="I12" s="98"/>
      <c r="J12" s="98"/>
      <c r="K12" s="98"/>
      <c r="L12" s="241"/>
    </row>
    <row r="13" spans="1:14" ht="43.5" customHeight="1">
      <c r="A13" s="19"/>
      <c r="B13" s="125"/>
      <c r="C13" s="98"/>
      <c r="D13" s="98"/>
      <c r="E13" s="98"/>
      <c r="F13" s="98"/>
      <c r="G13" s="98"/>
      <c r="H13" s="98"/>
      <c r="I13" s="98"/>
      <c r="J13" s="98"/>
      <c r="K13" s="98"/>
      <c r="L13" s="241"/>
    </row>
    <row r="14" spans="1:14">
      <c r="A14" s="19" t="s">
        <v>635</v>
      </c>
      <c r="B14" s="21" t="s">
        <v>750</v>
      </c>
      <c r="C14" s="21"/>
      <c r="D14" s="21"/>
      <c r="E14" s="21"/>
      <c r="F14" s="21"/>
      <c r="G14" s="21"/>
      <c r="H14" s="21"/>
      <c r="I14" s="21"/>
      <c r="J14" s="21"/>
      <c r="K14" s="21"/>
    </row>
    <row r="15" spans="1:14" ht="45.75" customHeight="1">
      <c r="A15" s="22" t="s">
        <v>1090</v>
      </c>
      <c r="B15" s="22" t="s">
        <v>1098</v>
      </c>
      <c r="C15" s="31" t="s">
        <v>684</v>
      </c>
      <c r="D15" s="31" t="s">
        <v>685</v>
      </c>
      <c r="E15" s="31" t="s">
        <v>686</v>
      </c>
      <c r="F15" s="31" t="s">
        <v>687</v>
      </c>
      <c r="G15" s="22" t="s">
        <v>683</v>
      </c>
      <c r="H15" s="31" t="s">
        <v>688</v>
      </c>
      <c r="I15" s="31" t="s">
        <v>689</v>
      </c>
      <c r="J15" s="22"/>
      <c r="K15" s="22"/>
      <c r="L15" s="241"/>
    </row>
    <row r="16" spans="1:14" ht="15">
      <c r="A16" s="26">
        <v>34337</v>
      </c>
      <c r="B16" s="52">
        <v>44.3125</v>
      </c>
      <c r="C16" s="52"/>
      <c r="D16" s="52"/>
      <c r="E16" s="52"/>
      <c r="F16" s="52"/>
      <c r="G16" s="52"/>
      <c r="H16" s="52"/>
      <c r="I16" s="52"/>
      <c r="J16" s="72"/>
      <c r="K16" s="54"/>
      <c r="L16" s="241"/>
    </row>
    <row r="17" spans="1:12">
      <c r="A17" s="26">
        <v>34338</v>
      </c>
      <c r="B17" s="52">
        <v>44.125</v>
      </c>
      <c r="C17" s="52"/>
      <c r="D17" s="52"/>
      <c r="E17" s="52"/>
      <c r="F17" s="52">
        <f>B17-B16</f>
        <v>-0.1875</v>
      </c>
      <c r="G17" s="52">
        <f>ABS(F17)</f>
        <v>0.1875</v>
      </c>
      <c r="H17" s="52"/>
      <c r="I17" s="52"/>
      <c r="J17" s="72"/>
      <c r="K17" s="54"/>
      <c r="L17" s="2"/>
    </row>
    <row r="18" spans="1:12">
      <c r="A18" s="27">
        <v>34339</v>
      </c>
      <c r="B18" s="55">
        <v>45.0625</v>
      </c>
      <c r="C18" s="55"/>
      <c r="D18" s="55"/>
      <c r="E18" s="55"/>
      <c r="F18" s="55">
        <f t="shared" ref="F18:F69" si="0">B18-B17</f>
        <v>0.9375</v>
      </c>
      <c r="G18" s="55">
        <f t="shared" ref="G18:G69" si="1">ABS(F18)</f>
        <v>0.9375</v>
      </c>
      <c r="H18" s="55"/>
      <c r="I18" s="55"/>
      <c r="J18" s="73"/>
      <c r="K18" s="57"/>
      <c r="L18" s="2"/>
    </row>
    <row r="19" spans="1:12">
      <c r="A19" s="27">
        <v>34340</v>
      </c>
      <c r="B19" s="55">
        <v>44.8125</v>
      </c>
      <c r="C19" s="55"/>
      <c r="D19" s="55"/>
      <c r="E19" s="55"/>
      <c r="F19" s="55">
        <f t="shared" si="0"/>
        <v>-0.25</v>
      </c>
      <c r="G19" s="55">
        <f t="shared" si="1"/>
        <v>0.25</v>
      </c>
      <c r="H19" s="55"/>
      <c r="I19" s="55"/>
      <c r="J19" s="73"/>
      <c r="K19" s="57"/>
      <c r="L19" s="2"/>
    </row>
    <row r="20" spans="1:12">
      <c r="A20" s="26">
        <v>34341</v>
      </c>
      <c r="B20" s="52">
        <v>44.8125</v>
      </c>
      <c r="C20" s="52"/>
      <c r="D20" s="52"/>
      <c r="E20" s="52"/>
      <c r="F20" s="52">
        <f t="shared" si="0"/>
        <v>0</v>
      </c>
      <c r="G20" s="52">
        <f t="shared" si="1"/>
        <v>0</v>
      </c>
      <c r="H20" s="52"/>
      <c r="I20" s="52"/>
      <c r="J20" s="72"/>
      <c r="K20" s="54"/>
      <c r="L20" s="2"/>
    </row>
    <row r="21" spans="1:12">
      <c r="A21" s="26">
        <v>34344</v>
      </c>
      <c r="B21" s="52">
        <v>45.25</v>
      </c>
      <c r="C21" s="52">
        <f>MAX(B17:B21)</f>
        <v>45.25</v>
      </c>
      <c r="D21" s="52">
        <f>MIN(B17:B21)</f>
        <v>44.125</v>
      </c>
      <c r="E21" s="52">
        <f>ABS(C21-D21)</f>
        <v>1.125</v>
      </c>
      <c r="F21" s="52">
        <f t="shared" si="0"/>
        <v>0.4375</v>
      </c>
      <c r="G21" s="52">
        <f t="shared" si="1"/>
        <v>0.4375</v>
      </c>
      <c r="H21" s="52">
        <f>SUM(G17:G21)</f>
        <v>1.8125</v>
      </c>
      <c r="I21" s="52">
        <f>E21/H21</f>
        <v>0.62068965517241381</v>
      </c>
      <c r="J21" s="72"/>
      <c r="K21" s="54"/>
      <c r="L21" s="2"/>
    </row>
    <row r="22" spans="1:12">
      <c r="A22" s="27">
        <v>34345</v>
      </c>
      <c r="B22" s="55">
        <v>46.125</v>
      </c>
      <c r="C22" s="55">
        <f t="shared" ref="C22:C69" si="2">MAX(B18:B22)</f>
        <v>46.125</v>
      </c>
      <c r="D22" s="55">
        <f t="shared" ref="D22:D69" si="3">MIN(B18:B22)</f>
        <v>44.8125</v>
      </c>
      <c r="E22" s="55">
        <f t="shared" ref="E22:E69" si="4">ABS(C22-D22)</f>
        <v>1.3125</v>
      </c>
      <c r="F22" s="55">
        <f t="shared" si="0"/>
        <v>0.875</v>
      </c>
      <c r="G22" s="55">
        <f t="shared" si="1"/>
        <v>0.875</v>
      </c>
      <c r="H22" s="55">
        <f t="shared" ref="H22:H69" si="5">SUM(G18:G22)</f>
        <v>2.5</v>
      </c>
      <c r="I22" s="55">
        <f t="shared" ref="I22:I69" si="6">E22/H22</f>
        <v>0.52500000000000002</v>
      </c>
      <c r="J22" s="73"/>
      <c r="K22" s="57"/>
      <c r="L22" s="2"/>
    </row>
    <row r="23" spans="1:12">
      <c r="A23" s="27">
        <v>34346</v>
      </c>
      <c r="B23" s="55">
        <v>47.375</v>
      </c>
      <c r="C23" s="55">
        <f t="shared" si="2"/>
        <v>47.375</v>
      </c>
      <c r="D23" s="55">
        <f t="shared" si="3"/>
        <v>44.8125</v>
      </c>
      <c r="E23" s="55">
        <f t="shared" si="4"/>
        <v>2.5625</v>
      </c>
      <c r="F23" s="55">
        <f t="shared" si="0"/>
        <v>1.25</v>
      </c>
      <c r="G23" s="55">
        <f t="shared" si="1"/>
        <v>1.25</v>
      </c>
      <c r="H23" s="55">
        <f t="shared" si="5"/>
        <v>2.8125</v>
      </c>
      <c r="I23" s="55">
        <f t="shared" si="6"/>
        <v>0.91111111111111109</v>
      </c>
      <c r="J23" s="73"/>
      <c r="K23" s="57"/>
      <c r="L23" s="2"/>
    </row>
    <row r="24" spans="1:12">
      <c r="A24" s="26">
        <v>34347</v>
      </c>
      <c r="B24" s="52">
        <v>49</v>
      </c>
      <c r="C24" s="52">
        <f t="shared" si="2"/>
        <v>49</v>
      </c>
      <c r="D24" s="52">
        <f t="shared" si="3"/>
        <v>44.8125</v>
      </c>
      <c r="E24" s="52">
        <f t="shared" si="4"/>
        <v>4.1875</v>
      </c>
      <c r="F24" s="52">
        <f t="shared" si="0"/>
        <v>1.625</v>
      </c>
      <c r="G24" s="52">
        <f t="shared" si="1"/>
        <v>1.625</v>
      </c>
      <c r="H24" s="52">
        <f t="shared" si="5"/>
        <v>4.1875</v>
      </c>
      <c r="I24" s="52">
        <f t="shared" si="6"/>
        <v>1</v>
      </c>
      <c r="J24" s="72"/>
      <c r="K24" s="54"/>
      <c r="L24" s="2"/>
    </row>
    <row r="25" spans="1:12">
      <c r="A25" s="26">
        <v>34348</v>
      </c>
      <c r="B25" s="52">
        <v>49.5</v>
      </c>
      <c r="C25" s="52">
        <f t="shared" si="2"/>
        <v>49.5</v>
      </c>
      <c r="D25" s="52">
        <f t="shared" si="3"/>
        <v>45.25</v>
      </c>
      <c r="E25" s="52">
        <f t="shared" si="4"/>
        <v>4.25</v>
      </c>
      <c r="F25" s="52">
        <f t="shared" si="0"/>
        <v>0.5</v>
      </c>
      <c r="G25" s="52">
        <f t="shared" si="1"/>
        <v>0.5</v>
      </c>
      <c r="H25" s="52">
        <f t="shared" si="5"/>
        <v>4.6875</v>
      </c>
      <c r="I25" s="52">
        <f t="shared" si="6"/>
        <v>0.90666666666666662</v>
      </c>
      <c r="J25" s="72"/>
      <c r="K25" s="54"/>
      <c r="L25" s="2"/>
    </row>
    <row r="26" spans="1:12">
      <c r="A26" s="27">
        <v>34351</v>
      </c>
      <c r="B26" s="55">
        <v>49.5</v>
      </c>
      <c r="C26" s="55">
        <f t="shared" si="2"/>
        <v>49.5</v>
      </c>
      <c r="D26" s="55">
        <f t="shared" si="3"/>
        <v>46.125</v>
      </c>
      <c r="E26" s="55">
        <f t="shared" si="4"/>
        <v>3.375</v>
      </c>
      <c r="F26" s="55">
        <f t="shared" si="0"/>
        <v>0</v>
      </c>
      <c r="G26" s="55">
        <f t="shared" si="1"/>
        <v>0</v>
      </c>
      <c r="H26" s="55">
        <f t="shared" si="5"/>
        <v>4.25</v>
      </c>
      <c r="I26" s="55">
        <f t="shared" si="6"/>
        <v>0.79411764705882348</v>
      </c>
      <c r="J26" s="73"/>
      <c r="K26" s="57"/>
      <c r="L26" s="2"/>
    </row>
    <row r="27" spans="1:12">
      <c r="A27" s="27">
        <v>34352</v>
      </c>
      <c r="B27" s="55">
        <v>50.375</v>
      </c>
      <c r="C27" s="55">
        <f t="shared" si="2"/>
        <v>50.375</v>
      </c>
      <c r="D27" s="55">
        <f t="shared" si="3"/>
        <v>47.375</v>
      </c>
      <c r="E27" s="55">
        <f t="shared" si="4"/>
        <v>3</v>
      </c>
      <c r="F27" s="55">
        <f t="shared" si="0"/>
        <v>0.875</v>
      </c>
      <c r="G27" s="55">
        <f t="shared" si="1"/>
        <v>0.875</v>
      </c>
      <c r="H27" s="55">
        <f t="shared" si="5"/>
        <v>4.25</v>
      </c>
      <c r="I27" s="55">
        <f t="shared" si="6"/>
        <v>0.70588235294117652</v>
      </c>
      <c r="J27" s="73"/>
      <c r="K27" s="57"/>
      <c r="L27" s="2"/>
    </row>
    <row r="28" spans="1:12">
      <c r="A28" s="26">
        <v>34353</v>
      </c>
      <c r="B28" s="52">
        <v>50.8125</v>
      </c>
      <c r="C28" s="52">
        <f t="shared" si="2"/>
        <v>50.8125</v>
      </c>
      <c r="D28" s="52">
        <f t="shared" si="3"/>
        <v>49</v>
      </c>
      <c r="E28" s="52">
        <f t="shared" si="4"/>
        <v>1.8125</v>
      </c>
      <c r="F28" s="52">
        <f t="shared" si="0"/>
        <v>0.4375</v>
      </c>
      <c r="G28" s="52">
        <f t="shared" si="1"/>
        <v>0.4375</v>
      </c>
      <c r="H28" s="52">
        <f t="shared" si="5"/>
        <v>3.4375</v>
      </c>
      <c r="I28" s="52">
        <f t="shared" si="6"/>
        <v>0.52727272727272723</v>
      </c>
      <c r="J28" s="72"/>
      <c r="K28" s="54"/>
      <c r="L28" s="2"/>
    </row>
    <row r="29" spans="1:12">
      <c r="A29" s="26">
        <v>34354</v>
      </c>
      <c r="B29" s="52">
        <v>51.3125</v>
      </c>
      <c r="C29" s="52">
        <f t="shared" si="2"/>
        <v>51.3125</v>
      </c>
      <c r="D29" s="52">
        <f t="shared" si="3"/>
        <v>49.5</v>
      </c>
      <c r="E29" s="52">
        <f t="shared" si="4"/>
        <v>1.8125</v>
      </c>
      <c r="F29" s="52">
        <f t="shared" si="0"/>
        <v>0.5</v>
      </c>
      <c r="G29" s="52">
        <f t="shared" si="1"/>
        <v>0.5</v>
      </c>
      <c r="H29" s="52">
        <f t="shared" si="5"/>
        <v>2.3125</v>
      </c>
      <c r="I29" s="52">
        <f t="shared" si="6"/>
        <v>0.78378378378378377</v>
      </c>
      <c r="J29" s="72"/>
      <c r="K29" s="54"/>
      <c r="L29" s="2"/>
    </row>
    <row r="30" spans="1:12">
      <c r="A30" s="27">
        <v>34355</v>
      </c>
      <c r="B30" s="55">
        <v>50.625</v>
      </c>
      <c r="C30" s="55">
        <f t="shared" si="2"/>
        <v>51.3125</v>
      </c>
      <c r="D30" s="55">
        <f t="shared" si="3"/>
        <v>49.5</v>
      </c>
      <c r="E30" s="55">
        <f t="shared" si="4"/>
        <v>1.8125</v>
      </c>
      <c r="F30" s="55">
        <f t="shared" si="0"/>
        <v>-0.6875</v>
      </c>
      <c r="G30" s="55">
        <f t="shared" si="1"/>
        <v>0.6875</v>
      </c>
      <c r="H30" s="55">
        <f t="shared" si="5"/>
        <v>2.5</v>
      </c>
      <c r="I30" s="55">
        <f t="shared" si="6"/>
        <v>0.72499999999999998</v>
      </c>
      <c r="J30" s="73"/>
      <c r="K30" s="57"/>
      <c r="L30" s="2"/>
    </row>
    <row r="31" spans="1:12">
      <c r="A31" s="27">
        <v>34358</v>
      </c>
      <c r="B31" s="55">
        <v>50.875</v>
      </c>
      <c r="C31" s="55">
        <f t="shared" si="2"/>
        <v>51.3125</v>
      </c>
      <c r="D31" s="55">
        <f t="shared" si="3"/>
        <v>50.375</v>
      </c>
      <c r="E31" s="55">
        <f t="shared" si="4"/>
        <v>0.9375</v>
      </c>
      <c r="F31" s="55">
        <f t="shared" si="0"/>
        <v>0.25</v>
      </c>
      <c r="G31" s="55">
        <f t="shared" si="1"/>
        <v>0.25</v>
      </c>
      <c r="H31" s="55">
        <f t="shared" si="5"/>
        <v>2.75</v>
      </c>
      <c r="I31" s="55">
        <f t="shared" si="6"/>
        <v>0.34090909090909088</v>
      </c>
      <c r="J31" s="73"/>
      <c r="K31" s="57"/>
      <c r="L31" s="2"/>
    </row>
    <row r="32" spans="1:12">
      <c r="A32" s="26">
        <v>34359</v>
      </c>
      <c r="B32" s="52">
        <v>50.875</v>
      </c>
      <c r="C32" s="52">
        <f t="shared" si="2"/>
        <v>51.3125</v>
      </c>
      <c r="D32" s="52">
        <f t="shared" si="3"/>
        <v>50.625</v>
      </c>
      <c r="E32" s="52">
        <f t="shared" si="4"/>
        <v>0.6875</v>
      </c>
      <c r="F32" s="52">
        <f t="shared" si="0"/>
        <v>0</v>
      </c>
      <c r="G32" s="52">
        <f t="shared" si="1"/>
        <v>0</v>
      </c>
      <c r="H32" s="52">
        <f t="shared" si="5"/>
        <v>1.875</v>
      </c>
      <c r="I32" s="52">
        <f t="shared" si="6"/>
        <v>0.36666666666666664</v>
      </c>
      <c r="J32" s="72"/>
      <c r="K32" s="54"/>
      <c r="L32" s="2"/>
    </row>
    <row r="33" spans="1:12">
      <c r="A33" s="26">
        <v>34360</v>
      </c>
      <c r="B33" s="52">
        <v>50.75</v>
      </c>
      <c r="C33" s="52">
        <f t="shared" si="2"/>
        <v>51.3125</v>
      </c>
      <c r="D33" s="52">
        <f t="shared" si="3"/>
        <v>50.625</v>
      </c>
      <c r="E33" s="52">
        <f t="shared" si="4"/>
        <v>0.6875</v>
      </c>
      <c r="F33" s="52">
        <f t="shared" si="0"/>
        <v>-0.125</v>
      </c>
      <c r="G33" s="52">
        <f t="shared" si="1"/>
        <v>0.125</v>
      </c>
      <c r="H33" s="52">
        <f t="shared" si="5"/>
        <v>1.5625</v>
      </c>
      <c r="I33" s="52">
        <f t="shared" si="6"/>
        <v>0.44</v>
      </c>
      <c r="J33" s="72"/>
      <c r="K33" s="54"/>
      <c r="L33" s="2"/>
    </row>
    <row r="34" spans="1:12">
      <c r="A34" s="27">
        <v>34361</v>
      </c>
      <c r="B34" s="55">
        <v>50.5625</v>
      </c>
      <c r="C34" s="55">
        <f t="shared" si="2"/>
        <v>50.875</v>
      </c>
      <c r="D34" s="55">
        <f t="shared" si="3"/>
        <v>50.5625</v>
      </c>
      <c r="E34" s="55">
        <f t="shared" si="4"/>
        <v>0.3125</v>
      </c>
      <c r="F34" s="55">
        <f t="shared" si="0"/>
        <v>-0.1875</v>
      </c>
      <c r="G34" s="55">
        <f t="shared" si="1"/>
        <v>0.1875</v>
      </c>
      <c r="H34" s="55">
        <f t="shared" si="5"/>
        <v>1.25</v>
      </c>
      <c r="I34" s="55">
        <f t="shared" si="6"/>
        <v>0.25</v>
      </c>
      <c r="J34" s="73"/>
      <c r="K34" s="57"/>
      <c r="L34" s="2"/>
    </row>
    <row r="35" spans="1:12">
      <c r="A35" s="27">
        <v>34362</v>
      </c>
      <c r="B35" s="55">
        <v>50.0625</v>
      </c>
      <c r="C35" s="55">
        <f t="shared" si="2"/>
        <v>50.875</v>
      </c>
      <c r="D35" s="55">
        <f t="shared" si="3"/>
        <v>50.0625</v>
      </c>
      <c r="E35" s="55">
        <f t="shared" si="4"/>
        <v>0.8125</v>
      </c>
      <c r="F35" s="55">
        <f t="shared" si="0"/>
        <v>-0.5</v>
      </c>
      <c r="G35" s="55">
        <f t="shared" si="1"/>
        <v>0.5</v>
      </c>
      <c r="H35" s="55">
        <f t="shared" si="5"/>
        <v>1.0625</v>
      </c>
      <c r="I35" s="55">
        <f t="shared" si="6"/>
        <v>0.76470588235294112</v>
      </c>
      <c r="J35" s="73"/>
      <c r="K35" s="57"/>
      <c r="L35" s="2"/>
    </row>
    <row r="36" spans="1:12">
      <c r="A36" s="26">
        <v>34365</v>
      </c>
      <c r="B36" s="52">
        <v>49.25</v>
      </c>
      <c r="C36" s="52">
        <f t="shared" si="2"/>
        <v>50.875</v>
      </c>
      <c r="D36" s="52">
        <f t="shared" si="3"/>
        <v>49.25</v>
      </c>
      <c r="E36" s="52">
        <f t="shared" si="4"/>
        <v>1.625</v>
      </c>
      <c r="F36" s="52">
        <f t="shared" si="0"/>
        <v>-0.8125</v>
      </c>
      <c r="G36" s="52">
        <f t="shared" si="1"/>
        <v>0.8125</v>
      </c>
      <c r="H36" s="52">
        <f t="shared" si="5"/>
        <v>1.625</v>
      </c>
      <c r="I36" s="52">
        <f t="shared" si="6"/>
        <v>1</v>
      </c>
      <c r="J36" s="72"/>
      <c r="K36" s="54"/>
      <c r="L36" s="2"/>
    </row>
    <row r="37" spans="1:12">
      <c r="A37" s="26">
        <v>34366</v>
      </c>
      <c r="B37" s="52">
        <v>50.5</v>
      </c>
      <c r="C37" s="52">
        <f t="shared" si="2"/>
        <v>50.75</v>
      </c>
      <c r="D37" s="52">
        <f t="shared" si="3"/>
        <v>49.25</v>
      </c>
      <c r="E37" s="52">
        <f t="shared" si="4"/>
        <v>1.5</v>
      </c>
      <c r="F37" s="52">
        <f t="shared" si="0"/>
        <v>1.25</v>
      </c>
      <c r="G37" s="52">
        <f t="shared" si="1"/>
        <v>1.25</v>
      </c>
      <c r="H37" s="52">
        <f t="shared" si="5"/>
        <v>2.875</v>
      </c>
      <c r="I37" s="52">
        <f t="shared" si="6"/>
        <v>0.52173913043478259</v>
      </c>
      <c r="J37" s="72"/>
      <c r="K37" s="54"/>
      <c r="L37" s="2"/>
    </row>
    <row r="38" spans="1:12">
      <c r="A38" s="27">
        <v>34367</v>
      </c>
      <c r="B38" s="55">
        <v>50.5625</v>
      </c>
      <c r="C38" s="55">
        <f t="shared" si="2"/>
        <v>50.5625</v>
      </c>
      <c r="D38" s="55">
        <f t="shared" si="3"/>
        <v>49.25</v>
      </c>
      <c r="E38" s="55">
        <f t="shared" si="4"/>
        <v>1.3125</v>
      </c>
      <c r="F38" s="55">
        <f t="shared" si="0"/>
        <v>6.25E-2</v>
      </c>
      <c r="G38" s="55">
        <f t="shared" si="1"/>
        <v>6.25E-2</v>
      </c>
      <c r="H38" s="55">
        <f t="shared" si="5"/>
        <v>2.8125</v>
      </c>
      <c r="I38" s="55">
        <f t="shared" si="6"/>
        <v>0.46666666666666667</v>
      </c>
      <c r="J38" s="73"/>
      <c r="K38" s="57"/>
      <c r="L38" s="2"/>
    </row>
    <row r="39" spans="1:12">
      <c r="A39" s="27">
        <v>34368</v>
      </c>
      <c r="B39" s="55">
        <v>49.625</v>
      </c>
      <c r="C39" s="55">
        <f t="shared" si="2"/>
        <v>50.5625</v>
      </c>
      <c r="D39" s="55">
        <f t="shared" si="3"/>
        <v>49.25</v>
      </c>
      <c r="E39" s="55">
        <f t="shared" si="4"/>
        <v>1.3125</v>
      </c>
      <c r="F39" s="55">
        <f t="shared" si="0"/>
        <v>-0.9375</v>
      </c>
      <c r="G39" s="55">
        <f t="shared" si="1"/>
        <v>0.9375</v>
      </c>
      <c r="H39" s="55">
        <f t="shared" si="5"/>
        <v>3.5625</v>
      </c>
      <c r="I39" s="55">
        <f t="shared" si="6"/>
        <v>0.36842105263157893</v>
      </c>
      <c r="J39" s="73"/>
      <c r="K39" s="57"/>
      <c r="L39" s="2"/>
    </row>
    <row r="40" spans="1:12">
      <c r="A40" s="26">
        <v>34369</v>
      </c>
      <c r="B40" s="52">
        <v>47.625</v>
      </c>
      <c r="C40" s="52">
        <f t="shared" si="2"/>
        <v>50.5625</v>
      </c>
      <c r="D40" s="52">
        <f t="shared" si="3"/>
        <v>47.625</v>
      </c>
      <c r="E40" s="52">
        <f t="shared" si="4"/>
        <v>2.9375</v>
      </c>
      <c r="F40" s="52">
        <f t="shared" si="0"/>
        <v>-2</v>
      </c>
      <c r="G40" s="52">
        <f t="shared" si="1"/>
        <v>2</v>
      </c>
      <c r="H40" s="52">
        <f t="shared" si="5"/>
        <v>5.0625</v>
      </c>
      <c r="I40" s="52">
        <f t="shared" si="6"/>
        <v>0.58024691358024694</v>
      </c>
      <c r="J40" s="72"/>
      <c r="K40" s="54"/>
      <c r="L40" s="2"/>
    </row>
    <row r="41" spans="1:12">
      <c r="A41" s="26">
        <v>34372</v>
      </c>
      <c r="B41" s="52">
        <v>48.125</v>
      </c>
      <c r="C41" s="52">
        <f t="shared" si="2"/>
        <v>50.5625</v>
      </c>
      <c r="D41" s="52">
        <f t="shared" si="3"/>
        <v>47.625</v>
      </c>
      <c r="E41" s="52">
        <f t="shared" si="4"/>
        <v>2.9375</v>
      </c>
      <c r="F41" s="52">
        <f t="shared" si="0"/>
        <v>0.5</v>
      </c>
      <c r="G41" s="52">
        <f t="shared" si="1"/>
        <v>0.5</v>
      </c>
      <c r="H41" s="52">
        <f t="shared" si="5"/>
        <v>4.75</v>
      </c>
      <c r="I41" s="52">
        <f t="shared" si="6"/>
        <v>0.61842105263157898</v>
      </c>
      <c r="J41" s="72"/>
      <c r="K41" s="54"/>
      <c r="L41" s="2"/>
    </row>
    <row r="42" spans="1:12">
      <c r="A42" s="27">
        <v>34373</v>
      </c>
      <c r="B42" s="55">
        <v>50.125</v>
      </c>
      <c r="C42" s="55">
        <f t="shared" si="2"/>
        <v>50.5625</v>
      </c>
      <c r="D42" s="55">
        <f t="shared" si="3"/>
        <v>47.625</v>
      </c>
      <c r="E42" s="55">
        <f t="shared" si="4"/>
        <v>2.9375</v>
      </c>
      <c r="F42" s="55">
        <f t="shared" si="0"/>
        <v>2</v>
      </c>
      <c r="G42" s="55">
        <f t="shared" si="1"/>
        <v>2</v>
      </c>
      <c r="H42" s="55">
        <f t="shared" si="5"/>
        <v>5.5</v>
      </c>
      <c r="I42" s="55">
        <f t="shared" si="6"/>
        <v>0.53409090909090906</v>
      </c>
      <c r="J42" s="73"/>
      <c r="K42" s="57"/>
      <c r="L42" s="2"/>
    </row>
    <row r="43" spans="1:12">
      <c r="A43" s="27">
        <v>34374</v>
      </c>
      <c r="B43" s="55">
        <v>50.0625</v>
      </c>
      <c r="C43" s="55">
        <f t="shared" si="2"/>
        <v>50.125</v>
      </c>
      <c r="D43" s="55">
        <f t="shared" si="3"/>
        <v>47.625</v>
      </c>
      <c r="E43" s="55">
        <f t="shared" si="4"/>
        <v>2.5</v>
      </c>
      <c r="F43" s="55">
        <f t="shared" si="0"/>
        <v>-6.25E-2</v>
      </c>
      <c r="G43" s="55">
        <f t="shared" si="1"/>
        <v>6.25E-2</v>
      </c>
      <c r="H43" s="55">
        <f t="shared" si="5"/>
        <v>5.5</v>
      </c>
      <c r="I43" s="55">
        <f t="shared" si="6"/>
        <v>0.45454545454545453</v>
      </c>
      <c r="J43" s="73"/>
      <c r="K43" s="57"/>
      <c r="L43" s="2"/>
    </row>
    <row r="44" spans="1:12">
      <c r="A44" s="26">
        <v>34375</v>
      </c>
      <c r="B44" s="52">
        <v>49.625</v>
      </c>
      <c r="C44" s="52">
        <f t="shared" si="2"/>
        <v>50.125</v>
      </c>
      <c r="D44" s="52">
        <f t="shared" si="3"/>
        <v>47.625</v>
      </c>
      <c r="E44" s="52">
        <f t="shared" si="4"/>
        <v>2.5</v>
      </c>
      <c r="F44" s="52">
        <f t="shared" si="0"/>
        <v>-0.4375</v>
      </c>
      <c r="G44" s="52">
        <f t="shared" si="1"/>
        <v>0.4375</v>
      </c>
      <c r="H44" s="52">
        <f t="shared" si="5"/>
        <v>5</v>
      </c>
      <c r="I44" s="52">
        <f t="shared" si="6"/>
        <v>0.5</v>
      </c>
      <c r="J44" s="72"/>
      <c r="K44" s="54"/>
      <c r="L44" s="2"/>
    </row>
    <row r="45" spans="1:12">
      <c r="A45" s="26">
        <v>34376</v>
      </c>
      <c r="B45" s="52">
        <v>49.25</v>
      </c>
      <c r="C45" s="52">
        <f t="shared" si="2"/>
        <v>50.125</v>
      </c>
      <c r="D45" s="52">
        <f t="shared" si="3"/>
        <v>48.125</v>
      </c>
      <c r="E45" s="52">
        <f t="shared" si="4"/>
        <v>2</v>
      </c>
      <c r="F45" s="52">
        <f t="shared" si="0"/>
        <v>-0.375</v>
      </c>
      <c r="G45" s="52">
        <f t="shared" si="1"/>
        <v>0.375</v>
      </c>
      <c r="H45" s="52">
        <f t="shared" si="5"/>
        <v>3.375</v>
      </c>
      <c r="I45" s="52">
        <f t="shared" si="6"/>
        <v>0.59259259259259256</v>
      </c>
      <c r="J45" s="72"/>
      <c r="K45" s="54"/>
      <c r="L45" s="2"/>
    </row>
    <row r="46" spans="1:12">
      <c r="A46" s="27">
        <v>34379</v>
      </c>
      <c r="B46" s="55">
        <v>49.625</v>
      </c>
      <c r="C46" s="55">
        <f t="shared" si="2"/>
        <v>50.125</v>
      </c>
      <c r="D46" s="55">
        <f t="shared" si="3"/>
        <v>49.25</v>
      </c>
      <c r="E46" s="55">
        <f t="shared" si="4"/>
        <v>0.875</v>
      </c>
      <c r="F46" s="55">
        <f t="shared" si="0"/>
        <v>0.375</v>
      </c>
      <c r="G46" s="55">
        <f t="shared" si="1"/>
        <v>0.375</v>
      </c>
      <c r="H46" s="55">
        <f t="shared" si="5"/>
        <v>3.25</v>
      </c>
      <c r="I46" s="55">
        <f t="shared" si="6"/>
        <v>0.26923076923076922</v>
      </c>
      <c r="J46" s="73"/>
      <c r="K46" s="57"/>
      <c r="L46" s="2"/>
    </row>
    <row r="47" spans="1:12">
      <c r="A47" s="27">
        <v>34380</v>
      </c>
      <c r="B47" s="55">
        <v>50.6875</v>
      </c>
      <c r="C47" s="55">
        <f t="shared" si="2"/>
        <v>50.6875</v>
      </c>
      <c r="D47" s="55">
        <f t="shared" si="3"/>
        <v>49.25</v>
      </c>
      <c r="E47" s="55">
        <f t="shared" si="4"/>
        <v>1.4375</v>
      </c>
      <c r="F47" s="55">
        <f t="shared" si="0"/>
        <v>1.0625</v>
      </c>
      <c r="G47" s="55">
        <f t="shared" si="1"/>
        <v>1.0625</v>
      </c>
      <c r="H47" s="55">
        <f t="shared" si="5"/>
        <v>2.3125</v>
      </c>
      <c r="I47" s="55">
        <f t="shared" si="6"/>
        <v>0.6216216216216216</v>
      </c>
      <c r="J47" s="73"/>
      <c r="K47" s="57"/>
      <c r="L47" s="2"/>
    </row>
    <row r="48" spans="1:12">
      <c r="A48" s="26">
        <v>34381</v>
      </c>
      <c r="B48" s="52">
        <v>52.25</v>
      </c>
      <c r="C48" s="52">
        <f t="shared" si="2"/>
        <v>52.25</v>
      </c>
      <c r="D48" s="52">
        <f t="shared" si="3"/>
        <v>49.25</v>
      </c>
      <c r="E48" s="52">
        <f t="shared" si="4"/>
        <v>3</v>
      </c>
      <c r="F48" s="52">
        <f t="shared" si="0"/>
        <v>1.5625</v>
      </c>
      <c r="G48" s="52">
        <f t="shared" si="1"/>
        <v>1.5625</v>
      </c>
      <c r="H48" s="52">
        <f t="shared" si="5"/>
        <v>3.8125</v>
      </c>
      <c r="I48" s="52">
        <f t="shared" si="6"/>
        <v>0.78688524590163933</v>
      </c>
      <c r="J48" s="72"/>
      <c r="K48" s="54"/>
      <c r="L48" s="2"/>
    </row>
    <row r="49" spans="1:12">
      <c r="A49" s="26">
        <v>34382</v>
      </c>
      <c r="B49" s="52">
        <v>51.5625</v>
      </c>
      <c r="C49" s="52">
        <f t="shared" si="2"/>
        <v>52.25</v>
      </c>
      <c r="D49" s="52">
        <f t="shared" si="3"/>
        <v>49.25</v>
      </c>
      <c r="E49" s="52">
        <f t="shared" si="4"/>
        <v>3</v>
      </c>
      <c r="F49" s="52">
        <f t="shared" si="0"/>
        <v>-0.6875</v>
      </c>
      <c r="G49" s="52">
        <f t="shared" si="1"/>
        <v>0.6875</v>
      </c>
      <c r="H49" s="52">
        <f t="shared" si="5"/>
        <v>4.0625</v>
      </c>
      <c r="I49" s="52">
        <f t="shared" si="6"/>
        <v>0.7384615384615385</v>
      </c>
      <c r="J49" s="72"/>
      <c r="K49" s="54"/>
      <c r="L49" s="2"/>
    </row>
    <row r="50" spans="1:12">
      <c r="A50" s="27">
        <v>34383</v>
      </c>
      <c r="B50" s="55">
        <v>51.875</v>
      </c>
      <c r="C50" s="55">
        <f t="shared" si="2"/>
        <v>52.25</v>
      </c>
      <c r="D50" s="55">
        <f t="shared" si="3"/>
        <v>49.625</v>
      </c>
      <c r="E50" s="55">
        <f t="shared" si="4"/>
        <v>2.625</v>
      </c>
      <c r="F50" s="55">
        <f t="shared" si="0"/>
        <v>0.3125</v>
      </c>
      <c r="G50" s="55">
        <f t="shared" si="1"/>
        <v>0.3125</v>
      </c>
      <c r="H50" s="55">
        <f t="shared" si="5"/>
        <v>4</v>
      </c>
      <c r="I50" s="55">
        <f t="shared" si="6"/>
        <v>0.65625</v>
      </c>
      <c r="J50" s="73"/>
      <c r="K50" s="57"/>
      <c r="L50" s="2"/>
    </row>
    <row r="51" spans="1:12">
      <c r="A51" s="27">
        <v>34387</v>
      </c>
      <c r="B51" s="55">
        <v>53.5</v>
      </c>
      <c r="C51" s="55">
        <f t="shared" si="2"/>
        <v>53.5</v>
      </c>
      <c r="D51" s="55">
        <f t="shared" si="3"/>
        <v>50.6875</v>
      </c>
      <c r="E51" s="55">
        <f t="shared" si="4"/>
        <v>2.8125</v>
      </c>
      <c r="F51" s="55">
        <f t="shared" si="0"/>
        <v>1.625</v>
      </c>
      <c r="G51" s="55">
        <f t="shared" si="1"/>
        <v>1.625</v>
      </c>
      <c r="H51" s="55">
        <f t="shared" si="5"/>
        <v>5.25</v>
      </c>
      <c r="I51" s="55">
        <f t="shared" si="6"/>
        <v>0.5357142857142857</v>
      </c>
      <c r="J51" s="73"/>
      <c r="K51" s="57"/>
      <c r="L51" s="2"/>
    </row>
    <row r="52" spans="1:12">
      <c r="A52" s="26">
        <v>34388</v>
      </c>
      <c r="B52" s="52">
        <v>52.9375</v>
      </c>
      <c r="C52" s="52">
        <f t="shared" si="2"/>
        <v>53.5</v>
      </c>
      <c r="D52" s="52">
        <f t="shared" si="3"/>
        <v>51.5625</v>
      </c>
      <c r="E52" s="52">
        <f t="shared" si="4"/>
        <v>1.9375</v>
      </c>
      <c r="F52" s="52">
        <f t="shared" si="0"/>
        <v>-0.5625</v>
      </c>
      <c r="G52" s="52">
        <f t="shared" si="1"/>
        <v>0.5625</v>
      </c>
      <c r="H52" s="52">
        <f t="shared" si="5"/>
        <v>4.75</v>
      </c>
      <c r="I52" s="52">
        <f t="shared" si="6"/>
        <v>0.40789473684210525</v>
      </c>
      <c r="J52" s="72"/>
      <c r="K52" s="54"/>
      <c r="L52" s="2"/>
    </row>
    <row r="53" spans="1:12">
      <c r="A53" s="26">
        <v>34389</v>
      </c>
      <c r="B53" s="52">
        <v>51.5</v>
      </c>
      <c r="C53" s="52">
        <f t="shared" si="2"/>
        <v>53.5</v>
      </c>
      <c r="D53" s="52">
        <f t="shared" si="3"/>
        <v>51.5</v>
      </c>
      <c r="E53" s="52">
        <f t="shared" si="4"/>
        <v>2</v>
      </c>
      <c r="F53" s="52">
        <f t="shared" si="0"/>
        <v>-1.4375</v>
      </c>
      <c r="G53" s="52">
        <f t="shared" si="1"/>
        <v>1.4375</v>
      </c>
      <c r="H53" s="52">
        <f t="shared" si="5"/>
        <v>4.625</v>
      </c>
      <c r="I53" s="52">
        <f t="shared" si="6"/>
        <v>0.43243243243243246</v>
      </c>
      <c r="J53" s="72"/>
      <c r="K53" s="54"/>
      <c r="L53" s="2"/>
    </row>
    <row r="54" spans="1:12">
      <c r="A54" s="27">
        <v>34390</v>
      </c>
      <c r="B54" s="55">
        <v>51.625</v>
      </c>
      <c r="C54" s="55">
        <f t="shared" si="2"/>
        <v>53.5</v>
      </c>
      <c r="D54" s="55">
        <f t="shared" si="3"/>
        <v>51.5</v>
      </c>
      <c r="E54" s="55">
        <f t="shared" si="4"/>
        <v>2</v>
      </c>
      <c r="F54" s="55">
        <f t="shared" si="0"/>
        <v>0.125</v>
      </c>
      <c r="G54" s="55">
        <f t="shared" si="1"/>
        <v>0.125</v>
      </c>
      <c r="H54" s="55">
        <f t="shared" si="5"/>
        <v>4.0625</v>
      </c>
      <c r="I54" s="55">
        <f t="shared" si="6"/>
        <v>0.49230769230769234</v>
      </c>
      <c r="J54" s="73"/>
      <c r="K54" s="57"/>
      <c r="L54" s="2"/>
    </row>
    <row r="55" spans="1:12">
      <c r="A55" s="27">
        <v>34393</v>
      </c>
      <c r="B55" s="55">
        <v>51.0625</v>
      </c>
      <c r="C55" s="55">
        <f t="shared" si="2"/>
        <v>53.5</v>
      </c>
      <c r="D55" s="55">
        <f t="shared" si="3"/>
        <v>51.0625</v>
      </c>
      <c r="E55" s="55">
        <f t="shared" si="4"/>
        <v>2.4375</v>
      </c>
      <c r="F55" s="55">
        <f t="shared" si="0"/>
        <v>-0.5625</v>
      </c>
      <c r="G55" s="55">
        <f t="shared" si="1"/>
        <v>0.5625</v>
      </c>
      <c r="H55" s="55">
        <f t="shared" si="5"/>
        <v>4.3125</v>
      </c>
      <c r="I55" s="55">
        <f t="shared" si="6"/>
        <v>0.56521739130434778</v>
      </c>
      <c r="J55" s="73"/>
      <c r="K55" s="57"/>
      <c r="L55" s="2"/>
    </row>
    <row r="56" spans="1:12">
      <c r="A56" s="26">
        <v>34394</v>
      </c>
      <c r="B56" s="52">
        <v>51.6875</v>
      </c>
      <c r="C56" s="52">
        <f t="shared" si="2"/>
        <v>52.9375</v>
      </c>
      <c r="D56" s="52">
        <f t="shared" si="3"/>
        <v>51.0625</v>
      </c>
      <c r="E56" s="52">
        <f t="shared" si="4"/>
        <v>1.875</v>
      </c>
      <c r="F56" s="52">
        <f t="shared" si="0"/>
        <v>0.625</v>
      </c>
      <c r="G56" s="52">
        <f t="shared" si="1"/>
        <v>0.625</v>
      </c>
      <c r="H56" s="52">
        <f t="shared" si="5"/>
        <v>3.3125</v>
      </c>
      <c r="I56" s="52">
        <f t="shared" si="6"/>
        <v>0.56603773584905659</v>
      </c>
      <c r="J56" s="72"/>
      <c r="K56" s="54"/>
      <c r="L56" s="2"/>
    </row>
    <row r="57" spans="1:12">
      <c r="A57" s="26">
        <v>34395</v>
      </c>
      <c r="B57" s="52">
        <v>53</v>
      </c>
      <c r="C57" s="52">
        <f t="shared" si="2"/>
        <v>53</v>
      </c>
      <c r="D57" s="52">
        <f t="shared" si="3"/>
        <v>51.0625</v>
      </c>
      <c r="E57" s="52">
        <f t="shared" si="4"/>
        <v>1.9375</v>
      </c>
      <c r="F57" s="52">
        <f t="shared" si="0"/>
        <v>1.3125</v>
      </c>
      <c r="G57" s="52">
        <f t="shared" si="1"/>
        <v>1.3125</v>
      </c>
      <c r="H57" s="52">
        <f t="shared" si="5"/>
        <v>4.0625</v>
      </c>
      <c r="I57" s="52">
        <f t="shared" si="6"/>
        <v>0.47692307692307695</v>
      </c>
      <c r="J57" s="72"/>
      <c r="K57" s="54"/>
      <c r="L57" s="2"/>
    </row>
    <row r="58" spans="1:12">
      <c r="A58" s="27">
        <v>34396</v>
      </c>
      <c r="B58" s="55">
        <v>52.5</v>
      </c>
      <c r="C58" s="55">
        <f t="shared" si="2"/>
        <v>53</v>
      </c>
      <c r="D58" s="55">
        <f t="shared" si="3"/>
        <v>51.0625</v>
      </c>
      <c r="E58" s="55">
        <f t="shared" si="4"/>
        <v>1.9375</v>
      </c>
      <c r="F58" s="55">
        <f t="shared" si="0"/>
        <v>-0.5</v>
      </c>
      <c r="G58" s="55">
        <f t="shared" si="1"/>
        <v>0.5</v>
      </c>
      <c r="H58" s="55">
        <f t="shared" si="5"/>
        <v>3.125</v>
      </c>
      <c r="I58" s="55">
        <f t="shared" si="6"/>
        <v>0.62</v>
      </c>
      <c r="J58" s="73"/>
      <c r="K58" s="57"/>
      <c r="L58" s="2"/>
    </row>
    <row r="59" spans="1:12">
      <c r="A59" s="27">
        <v>34397</v>
      </c>
      <c r="B59" s="55">
        <v>52.375</v>
      </c>
      <c r="C59" s="55">
        <f t="shared" si="2"/>
        <v>53</v>
      </c>
      <c r="D59" s="55">
        <f t="shared" si="3"/>
        <v>51.0625</v>
      </c>
      <c r="E59" s="55">
        <f t="shared" si="4"/>
        <v>1.9375</v>
      </c>
      <c r="F59" s="55">
        <f t="shared" si="0"/>
        <v>-0.125</v>
      </c>
      <c r="G59" s="55">
        <f t="shared" si="1"/>
        <v>0.125</v>
      </c>
      <c r="H59" s="55">
        <f t="shared" si="5"/>
        <v>3.125</v>
      </c>
      <c r="I59" s="55">
        <f t="shared" si="6"/>
        <v>0.62</v>
      </c>
      <c r="J59" s="73"/>
      <c r="K59" s="57"/>
      <c r="L59" s="2"/>
    </row>
    <row r="60" spans="1:12">
      <c r="A60" s="26">
        <v>34400</v>
      </c>
      <c r="B60" s="52">
        <v>52.4375</v>
      </c>
      <c r="C60" s="52">
        <f t="shared" si="2"/>
        <v>53</v>
      </c>
      <c r="D60" s="52">
        <f t="shared" si="3"/>
        <v>51.6875</v>
      </c>
      <c r="E60" s="52">
        <f t="shared" si="4"/>
        <v>1.3125</v>
      </c>
      <c r="F60" s="52">
        <f t="shared" si="0"/>
        <v>6.25E-2</v>
      </c>
      <c r="G60" s="52">
        <f t="shared" si="1"/>
        <v>6.25E-2</v>
      </c>
      <c r="H60" s="52">
        <f t="shared" si="5"/>
        <v>2.625</v>
      </c>
      <c r="I60" s="52">
        <f t="shared" si="6"/>
        <v>0.5</v>
      </c>
      <c r="J60" s="72"/>
      <c r="K60" s="54"/>
      <c r="L60" s="2"/>
    </row>
    <row r="61" spans="1:12">
      <c r="A61" s="26">
        <v>34401</v>
      </c>
      <c r="B61" s="52">
        <v>53.3125</v>
      </c>
      <c r="C61" s="52">
        <f t="shared" si="2"/>
        <v>53.3125</v>
      </c>
      <c r="D61" s="52">
        <f t="shared" si="3"/>
        <v>52.375</v>
      </c>
      <c r="E61" s="52">
        <f t="shared" si="4"/>
        <v>0.9375</v>
      </c>
      <c r="F61" s="52">
        <f t="shared" si="0"/>
        <v>0.875</v>
      </c>
      <c r="G61" s="52">
        <f t="shared" si="1"/>
        <v>0.875</v>
      </c>
      <c r="H61" s="52">
        <f t="shared" si="5"/>
        <v>2.875</v>
      </c>
      <c r="I61" s="52">
        <f t="shared" si="6"/>
        <v>0.32608695652173914</v>
      </c>
      <c r="J61" s="72"/>
      <c r="K61" s="54"/>
      <c r="L61" s="2"/>
    </row>
    <row r="62" spans="1:12">
      <c r="A62" s="27">
        <v>34402</v>
      </c>
      <c r="B62" s="55">
        <v>54.1875</v>
      </c>
      <c r="C62" s="55">
        <f t="shared" si="2"/>
        <v>54.1875</v>
      </c>
      <c r="D62" s="55">
        <f t="shared" si="3"/>
        <v>52.375</v>
      </c>
      <c r="E62" s="55">
        <f t="shared" si="4"/>
        <v>1.8125</v>
      </c>
      <c r="F62" s="55">
        <f t="shared" si="0"/>
        <v>0.875</v>
      </c>
      <c r="G62" s="55">
        <f t="shared" si="1"/>
        <v>0.875</v>
      </c>
      <c r="H62" s="55">
        <f t="shared" si="5"/>
        <v>2.4375</v>
      </c>
      <c r="I62" s="55">
        <f t="shared" si="6"/>
        <v>0.74358974358974361</v>
      </c>
      <c r="J62" s="73"/>
      <c r="K62" s="57"/>
      <c r="L62" s="2"/>
    </row>
    <row r="63" spans="1:12">
      <c r="A63" s="27">
        <v>34403</v>
      </c>
      <c r="B63" s="55">
        <v>52.9375</v>
      </c>
      <c r="C63" s="55">
        <f t="shared" si="2"/>
        <v>54.1875</v>
      </c>
      <c r="D63" s="55">
        <f t="shared" si="3"/>
        <v>52.375</v>
      </c>
      <c r="E63" s="55">
        <f t="shared" si="4"/>
        <v>1.8125</v>
      </c>
      <c r="F63" s="55">
        <f t="shared" si="0"/>
        <v>-1.25</v>
      </c>
      <c r="G63" s="55">
        <f t="shared" si="1"/>
        <v>1.25</v>
      </c>
      <c r="H63" s="55">
        <f t="shared" si="5"/>
        <v>3.1875</v>
      </c>
      <c r="I63" s="55">
        <f t="shared" si="6"/>
        <v>0.56862745098039214</v>
      </c>
      <c r="J63" s="73"/>
      <c r="K63" s="57"/>
      <c r="L63" s="2"/>
    </row>
    <row r="64" spans="1:12">
      <c r="A64" s="26">
        <v>34404</v>
      </c>
      <c r="B64" s="52">
        <v>52.8125</v>
      </c>
      <c r="C64" s="52">
        <f t="shared" si="2"/>
        <v>54.1875</v>
      </c>
      <c r="D64" s="52">
        <f t="shared" si="3"/>
        <v>52.4375</v>
      </c>
      <c r="E64" s="52">
        <f t="shared" si="4"/>
        <v>1.75</v>
      </c>
      <c r="F64" s="52">
        <f t="shared" si="0"/>
        <v>-0.125</v>
      </c>
      <c r="G64" s="52">
        <f t="shared" si="1"/>
        <v>0.125</v>
      </c>
      <c r="H64" s="52">
        <f t="shared" si="5"/>
        <v>3.1875</v>
      </c>
      <c r="I64" s="52">
        <f t="shared" si="6"/>
        <v>0.5490196078431373</v>
      </c>
      <c r="J64" s="72"/>
      <c r="K64" s="54"/>
      <c r="L64" s="2"/>
    </row>
    <row r="65" spans="1:12">
      <c r="A65" s="26">
        <v>34407</v>
      </c>
      <c r="B65" s="52">
        <v>53.5</v>
      </c>
      <c r="C65" s="52">
        <f t="shared" si="2"/>
        <v>54.1875</v>
      </c>
      <c r="D65" s="52">
        <f t="shared" si="3"/>
        <v>52.8125</v>
      </c>
      <c r="E65" s="52">
        <f t="shared" si="4"/>
        <v>1.375</v>
      </c>
      <c r="F65" s="52">
        <f t="shared" si="0"/>
        <v>0.6875</v>
      </c>
      <c r="G65" s="52">
        <f t="shared" si="1"/>
        <v>0.6875</v>
      </c>
      <c r="H65" s="52">
        <f t="shared" si="5"/>
        <v>3.8125</v>
      </c>
      <c r="I65" s="52">
        <f t="shared" si="6"/>
        <v>0.36065573770491804</v>
      </c>
      <c r="J65" s="72"/>
      <c r="K65" s="54"/>
      <c r="L65" s="2"/>
    </row>
    <row r="66" spans="1:12">
      <c r="A66" s="27">
        <v>34408</v>
      </c>
      <c r="B66" s="55">
        <v>54.3125</v>
      </c>
      <c r="C66" s="55">
        <f t="shared" si="2"/>
        <v>54.3125</v>
      </c>
      <c r="D66" s="55">
        <f t="shared" si="3"/>
        <v>52.8125</v>
      </c>
      <c r="E66" s="55">
        <f t="shared" si="4"/>
        <v>1.5</v>
      </c>
      <c r="F66" s="55">
        <f t="shared" si="0"/>
        <v>0.8125</v>
      </c>
      <c r="G66" s="55">
        <f t="shared" si="1"/>
        <v>0.8125</v>
      </c>
      <c r="H66" s="55">
        <f t="shared" si="5"/>
        <v>3.75</v>
      </c>
      <c r="I66" s="55">
        <f t="shared" si="6"/>
        <v>0.4</v>
      </c>
      <c r="J66" s="73"/>
      <c r="K66" s="57"/>
      <c r="L66" s="2"/>
    </row>
    <row r="67" spans="1:12">
      <c r="A67" s="27">
        <v>34409</v>
      </c>
      <c r="B67" s="55">
        <v>54.6875</v>
      </c>
      <c r="C67" s="55">
        <f t="shared" si="2"/>
        <v>54.6875</v>
      </c>
      <c r="D67" s="55">
        <f t="shared" si="3"/>
        <v>52.8125</v>
      </c>
      <c r="E67" s="55">
        <f t="shared" si="4"/>
        <v>1.875</v>
      </c>
      <c r="F67" s="55">
        <f t="shared" si="0"/>
        <v>0.375</v>
      </c>
      <c r="G67" s="55">
        <f t="shared" si="1"/>
        <v>0.375</v>
      </c>
      <c r="H67" s="55">
        <f t="shared" si="5"/>
        <v>3.25</v>
      </c>
      <c r="I67" s="55">
        <f t="shared" si="6"/>
        <v>0.57692307692307687</v>
      </c>
      <c r="J67" s="73"/>
      <c r="K67" s="57"/>
      <c r="L67" s="2"/>
    </row>
    <row r="68" spans="1:12">
      <c r="A68" s="26">
        <v>34410</v>
      </c>
      <c r="B68" s="52">
        <v>54.75</v>
      </c>
      <c r="C68" s="52">
        <f t="shared" si="2"/>
        <v>54.75</v>
      </c>
      <c r="D68" s="52">
        <f t="shared" si="3"/>
        <v>52.8125</v>
      </c>
      <c r="E68" s="52">
        <f t="shared" si="4"/>
        <v>1.9375</v>
      </c>
      <c r="F68" s="52">
        <f t="shared" si="0"/>
        <v>6.25E-2</v>
      </c>
      <c r="G68" s="52">
        <f t="shared" si="1"/>
        <v>6.25E-2</v>
      </c>
      <c r="H68" s="52">
        <f t="shared" si="5"/>
        <v>2.0625</v>
      </c>
      <c r="I68" s="52">
        <f t="shared" si="6"/>
        <v>0.93939393939393945</v>
      </c>
      <c r="J68" s="72"/>
      <c r="K68" s="54"/>
      <c r="L68" s="2"/>
    </row>
    <row r="69" spans="1:12">
      <c r="A69" s="26">
        <v>34411</v>
      </c>
      <c r="B69" s="52">
        <v>54.125</v>
      </c>
      <c r="C69" s="52">
        <f t="shared" si="2"/>
        <v>54.75</v>
      </c>
      <c r="D69" s="52">
        <f t="shared" si="3"/>
        <v>53.5</v>
      </c>
      <c r="E69" s="52">
        <f t="shared" si="4"/>
        <v>1.25</v>
      </c>
      <c r="F69" s="52">
        <f t="shared" si="0"/>
        <v>-0.625</v>
      </c>
      <c r="G69" s="52">
        <f t="shared" si="1"/>
        <v>0.625</v>
      </c>
      <c r="H69" s="52">
        <f t="shared" si="5"/>
        <v>2.5625</v>
      </c>
      <c r="I69" s="52">
        <f t="shared" si="6"/>
        <v>0.48780487804878048</v>
      </c>
      <c r="J69" s="72"/>
      <c r="K69" s="54"/>
      <c r="L69" s="2"/>
    </row>
    <row r="70" spans="1:12">
      <c r="A70" s="2"/>
      <c r="J70" s="2"/>
      <c r="L70" s="2"/>
    </row>
    <row r="71" spans="1:12">
      <c r="A71" s="2"/>
      <c r="J71" s="2"/>
      <c r="L71" s="2"/>
    </row>
    <row r="72" spans="1:12" ht="15">
      <c r="A72" s="241" t="s">
        <v>676</v>
      </c>
      <c r="J72" s="2"/>
      <c r="L72" s="2"/>
    </row>
    <row r="73" spans="1:12" ht="15">
      <c r="A73" s="241" t="s">
        <v>677</v>
      </c>
      <c r="J73" s="2"/>
      <c r="L73" s="2"/>
    </row>
    <row r="74" spans="1:12" ht="15">
      <c r="A74" s="241" t="s">
        <v>678</v>
      </c>
      <c r="J74" s="2"/>
      <c r="L74" s="2"/>
    </row>
    <row r="75" spans="1:12" ht="15">
      <c r="A75" s="241" t="s">
        <v>679</v>
      </c>
      <c r="J75" s="2"/>
      <c r="L75" s="2"/>
    </row>
    <row r="76" spans="1:12" ht="15">
      <c r="A76" s="241" t="s">
        <v>680</v>
      </c>
      <c r="J76" s="2"/>
      <c r="L76" s="2"/>
    </row>
    <row r="77" spans="1:12" ht="15">
      <c r="A77" s="241" t="s">
        <v>681</v>
      </c>
      <c r="J77" s="2"/>
      <c r="L77" s="2"/>
    </row>
    <row r="78" spans="1:12" ht="15">
      <c r="A78" s="241" t="s">
        <v>682</v>
      </c>
      <c r="J78" s="2"/>
      <c r="L78" s="2"/>
    </row>
    <row r="79" spans="1:12">
      <c r="A79" s="2"/>
      <c r="J79" s="2"/>
      <c r="L79" s="2"/>
    </row>
    <row r="80" spans="1:12">
      <c r="A80" s="2"/>
      <c r="J80" s="2"/>
      <c r="L80" s="2"/>
    </row>
    <row r="81" spans="12:12">
      <c r="L81" s="2"/>
    </row>
    <row r="82" spans="12:12">
      <c r="L82" s="2"/>
    </row>
    <row r="83" spans="12:12">
      <c r="L83" s="2"/>
    </row>
    <row r="84" spans="12:12">
      <c r="L84" s="2"/>
    </row>
    <row r="85" spans="12:12">
      <c r="L85" s="2"/>
    </row>
    <row r="86" spans="12:12">
      <c r="L86" s="2"/>
    </row>
    <row r="87" spans="12:12">
      <c r="L87" s="2"/>
    </row>
    <row r="88" spans="12:12">
      <c r="L88" s="2"/>
    </row>
    <row r="89" spans="12:12">
      <c r="L89" s="2"/>
    </row>
    <row r="90" spans="12:12">
      <c r="L90" s="2"/>
    </row>
    <row r="91" spans="12:12">
      <c r="L91" s="2"/>
    </row>
    <row r="92" spans="12:12">
      <c r="L92" s="2"/>
    </row>
    <row r="93" spans="12:12">
      <c r="L93" s="2"/>
    </row>
    <row r="94" spans="12:12">
      <c r="L94" s="2"/>
    </row>
    <row r="95" spans="12:12">
      <c r="L95" s="2"/>
    </row>
    <row r="96" spans="12:12">
      <c r="L96" s="2"/>
    </row>
    <row r="97" spans="12:12">
      <c r="L97" s="2"/>
    </row>
    <row r="98" spans="12:12">
      <c r="L98" s="2"/>
    </row>
    <row r="99" spans="12:12">
      <c r="L99" s="2"/>
    </row>
    <row r="100" spans="12:12">
      <c r="L100" s="2"/>
    </row>
    <row r="101" spans="12:12">
      <c r="L101" s="2"/>
    </row>
    <row r="102" spans="12:12">
      <c r="L102" s="2"/>
    </row>
    <row r="103" spans="12:12">
      <c r="L103" s="2"/>
    </row>
    <row r="104" spans="12:12">
      <c r="L104" s="2"/>
    </row>
    <row r="105" spans="12:12">
      <c r="L105" s="2"/>
    </row>
    <row r="106" spans="12:12">
      <c r="L106" s="2"/>
    </row>
    <row r="107" spans="12:12">
      <c r="L107" s="2"/>
    </row>
    <row r="108" spans="12:12">
      <c r="L108" s="2"/>
    </row>
    <row r="109" spans="12:12">
      <c r="L109" s="2"/>
    </row>
    <row r="110" spans="12:12">
      <c r="L110" s="2"/>
    </row>
    <row r="111" spans="12:12">
      <c r="L111" s="2"/>
    </row>
    <row r="112" spans="12:12">
      <c r="L112" s="2"/>
    </row>
    <row r="113" spans="12:12">
      <c r="L113" s="2"/>
    </row>
    <row r="114" spans="12:12">
      <c r="L114" s="2"/>
    </row>
    <row r="115" spans="12:12">
      <c r="L115" s="2"/>
    </row>
    <row r="116" spans="12:12">
      <c r="L116" s="2"/>
    </row>
    <row r="117" spans="12:12">
      <c r="L117" s="2"/>
    </row>
    <row r="118" spans="12:12">
      <c r="L118" s="2"/>
    </row>
    <row r="119" spans="12:12">
      <c r="L119" s="2"/>
    </row>
    <row r="120" spans="12:12">
      <c r="L120" s="2"/>
    </row>
    <row r="121" spans="12:12">
      <c r="L121" s="2"/>
    </row>
    <row r="122" spans="12:12">
      <c r="L122" s="2"/>
    </row>
    <row r="123" spans="12:12">
      <c r="L123" s="2"/>
    </row>
    <row r="124" spans="12:12">
      <c r="L124" s="2"/>
    </row>
    <row r="125" spans="12:12">
      <c r="L125" s="2"/>
    </row>
    <row r="126" spans="12:12">
      <c r="L126" s="2"/>
    </row>
    <row r="127" spans="12:12">
      <c r="L127" s="2"/>
    </row>
    <row r="128" spans="12:12">
      <c r="L128" s="2"/>
    </row>
    <row r="129" spans="12:12">
      <c r="L129" s="2"/>
    </row>
    <row r="130" spans="12:12">
      <c r="L130" s="2"/>
    </row>
    <row r="131" spans="12:12">
      <c r="L131" s="2"/>
    </row>
    <row r="132" spans="12:12">
      <c r="L132" s="2"/>
    </row>
    <row r="133" spans="12:12">
      <c r="L133" s="2"/>
    </row>
    <row r="134" spans="12:12">
      <c r="L134" s="2"/>
    </row>
    <row r="135" spans="12:12">
      <c r="L135" s="2"/>
    </row>
    <row r="136" spans="12:12">
      <c r="L136" s="2"/>
    </row>
    <row r="137" spans="12:12">
      <c r="L137" s="2"/>
    </row>
    <row r="138" spans="12:12">
      <c r="L138" s="2"/>
    </row>
    <row r="139" spans="12:12">
      <c r="L139" s="2"/>
    </row>
    <row r="140" spans="12:12">
      <c r="L140" s="2"/>
    </row>
    <row r="141" spans="12:12">
      <c r="L141" s="2"/>
    </row>
    <row r="142" spans="12:12">
      <c r="L142" s="2"/>
    </row>
    <row r="143" spans="12:12">
      <c r="L143" s="2"/>
    </row>
    <row r="144" spans="12:12">
      <c r="L144" s="2"/>
    </row>
    <row r="145" spans="12:12">
      <c r="L145" s="2"/>
    </row>
    <row r="146" spans="12:12">
      <c r="L146" s="2"/>
    </row>
    <row r="147" spans="12:12">
      <c r="L147" s="2"/>
    </row>
    <row r="148" spans="12:12">
      <c r="L148" s="2"/>
    </row>
    <row r="149" spans="12:12">
      <c r="L149" s="2"/>
    </row>
    <row r="150" spans="12:12">
      <c r="L150" s="2"/>
    </row>
    <row r="151" spans="12:12">
      <c r="L151" s="2"/>
    </row>
    <row r="152" spans="12:12">
      <c r="L152" s="2"/>
    </row>
    <row r="153" spans="12:12">
      <c r="L153" s="2"/>
    </row>
    <row r="154" spans="12:12">
      <c r="L154" s="2"/>
    </row>
    <row r="155" spans="12:12">
      <c r="L155" s="2"/>
    </row>
    <row r="156" spans="12:12">
      <c r="L156" s="2"/>
    </row>
    <row r="157" spans="12:12">
      <c r="L157" s="2"/>
    </row>
    <row r="158" spans="12:12">
      <c r="L158" s="2"/>
    </row>
    <row r="159" spans="12:12">
      <c r="L159" s="2"/>
    </row>
    <row r="160" spans="12:12">
      <c r="L160" s="2"/>
    </row>
    <row r="161" spans="12:12">
      <c r="L161" s="2"/>
    </row>
    <row r="162" spans="12:12">
      <c r="L162" s="2"/>
    </row>
    <row r="163" spans="12:12">
      <c r="L163" s="2"/>
    </row>
    <row r="164" spans="12:12">
      <c r="L164" s="2"/>
    </row>
    <row r="165" spans="12:12">
      <c r="L165" s="2"/>
    </row>
    <row r="166" spans="12:12">
      <c r="L166" s="2"/>
    </row>
    <row r="167" spans="12:12">
      <c r="L167" s="2"/>
    </row>
    <row r="168" spans="12:12">
      <c r="L168" s="2"/>
    </row>
    <row r="169" spans="12:12">
      <c r="L169" s="2"/>
    </row>
    <row r="170" spans="12:12">
      <c r="L170" s="2"/>
    </row>
  </sheetData>
  <mergeCells count="3">
    <mergeCell ref="B5:K5"/>
    <mergeCell ref="B8:K8"/>
    <mergeCell ref="B10:K10"/>
  </mergeCells>
  <phoneticPr fontId="0"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1749" r:id="rId3" name="Button 5">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31750" r:id="rId4"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31751" r:id="rId5"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31752" r:id="rId6"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31753" r:id="rId7" name="Button 9">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31754" r:id="rId8" name="Button 10">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31755" r:id="rId9" name="Button 11">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31756" r:id="rId10" name="Button 12">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9" enableFormatConditionsCalculation="0"/>
  <dimension ref="A1:N226"/>
  <sheetViews>
    <sheetView workbookViewId="0"/>
  </sheetViews>
  <sheetFormatPr baseColWidth="10" defaultColWidth="8.83203125" defaultRowHeight="12" x14ac:dyDescent="0"/>
  <cols>
    <col min="1" max="1" width="12.83203125" customWidth="1"/>
    <col min="4" max="4" width="12" customWidth="1"/>
    <col min="5" max="5" width="11.5" customWidth="1"/>
    <col min="6" max="6" width="14.5" customWidth="1"/>
    <col min="8" max="9" width="10.1640625" customWidth="1"/>
  </cols>
  <sheetData>
    <row r="1" spans="1:14">
      <c r="A1" s="21"/>
      <c r="B1" s="21"/>
      <c r="C1" s="21" t="s">
        <v>846</v>
      </c>
      <c r="D1" s="21"/>
      <c r="E1" s="21"/>
      <c r="F1" s="21"/>
      <c r="G1" s="21"/>
      <c r="H1" s="21"/>
      <c r="I1" s="21"/>
    </row>
    <row r="2" spans="1:14" ht="21" customHeight="1">
      <c r="A2" s="21"/>
      <c r="B2" s="21"/>
      <c r="C2" s="21"/>
      <c r="D2" s="374"/>
      <c r="E2" s="374"/>
      <c r="F2" s="374"/>
      <c r="G2" s="374"/>
      <c r="H2" s="374"/>
      <c r="I2" s="374"/>
      <c r="J2" s="372"/>
      <c r="K2" s="372"/>
      <c r="L2" s="372"/>
      <c r="M2" s="372"/>
      <c r="N2" s="372"/>
    </row>
    <row r="3" spans="1:14">
      <c r="A3" s="19" t="s">
        <v>1045</v>
      </c>
      <c r="B3" s="20" t="s">
        <v>788</v>
      </c>
      <c r="C3" s="21"/>
      <c r="D3" s="21"/>
      <c r="E3" s="21"/>
      <c r="F3" s="21"/>
      <c r="G3" s="21"/>
      <c r="H3" s="21"/>
      <c r="I3" s="21"/>
    </row>
    <row r="4" spans="1:14">
      <c r="A4" s="19" t="s">
        <v>774</v>
      </c>
      <c r="B4" s="20" t="s">
        <v>787</v>
      </c>
      <c r="C4" s="21"/>
      <c r="D4" s="21"/>
      <c r="E4" s="21"/>
      <c r="F4" s="21"/>
      <c r="G4" s="21"/>
      <c r="H4" s="21"/>
      <c r="I4" s="21"/>
    </row>
    <row r="5" spans="1:14" ht="42" customHeight="1">
      <c r="A5" s="118" t="s">
        <v>779</v>
      </c>
      <c r="B5" s="462" t="s">
        <v>691</v>
      </c>
      <c r="C5" s="462"/>
      <c r="D5" s="462"/>
      <c r="E5" s="462"/>
      <c r="F5" s="462"/>
      <c r="G5" s="462"/>
      <c r="H5" s="462"/>
      <c r="I5" s="127"/>
    </row>
    <row r="6" spans="1:14" ht="16.5" customHeight="1">
      <c r="A6" s="118"/>
      <c r="B6" s="355"/>
      <c r="C6" s="355"/>
      <c r="D6" s="21"/>
      <c r="E6" s="149" t="s">
        <v>690</v>
      </c>
      <c r="F6" s="355"/>
      <c r="G6" s="355"/>
      <c r="H6" s="355"/>
      <c r="I6" s="355"/>
    </row>
    <row r="7" spans="1:14" ht="29.25" customHeight="1">
      <c r="A7" s="118"/>
      <c r="B7" s="454" t="s">
        <v>829</v>
      </c>
      <c r="C7" s="454"/>
      <c r="D7" s="454"/>
      <c r="E7" s="454"/>
      <c r="F7" s="454"/>
      <c r="G7" s="454"/>
      <c r="H7" s="454"/>
      <c r="I7" s="127"/>
    </row>
    <row r="8" spans="1:14" ht="42.75" customHeight="1">
      <c r="A8" s="19"/>
      <c r="B8" s="21"/>
      <c r="C8" s="98"/>
      <c r="D8" s="98"/>
      <c r="E8" s="98"/>
      <c r="F8" s="98"/>
      <c r="G8" s="98"/>
      <c r="H8" s="98"/>
      <c r="I8" s="98"/>
    </row>
    <row r="9" spans="1:14">
      <c r="A9" s="19" t="s">
        <v>635</v>
      </c>
      <c r="B9" s="21" t="s">
        <v>236</v>
      </c>
      <c r="C9" s="21"/>
      <c r="D9" s="21"/>
      <c r="E9" s="21"/>
      <c r="F9" s="21"/>
      <c r="G9" s="21"/>
      <c r="H9" s="21"/>
      <c r="I9" s="21"/>
    </row>
    <row r="10" spans="1:14" ht="38.25" customHeight="1">
      <c r="A10" s="22" t="s">
        <v>1090</v>
      </c>
      <c r="B10" s="22" t="s">
        <v>1096</v>
      </c>
      <c r="C10" s="22" t="s">
        <v>1097</v>
      </c>
      <c r="D10" s="31" t="s">
        <v>522</v>
      </c>
      <c r="E10" s="31" t="s">
        <v>1128</v>
      </c>
      <c r="F10" s="31" t="s">
        <v>695</v>
      </c>
      <c r="G10" s="31" t="s">
        <v>131</v>
      </c>
      <c r="H10" s="22"/>
      <c r="I10" s="22"/>
    </row>
    <row r="11" spans="1:14">
      <c r="A11" s="26">
        <v>36010</v>
      </c>
      <c r="B11" s="275">
        <v>60.247599999999998</v>
      </c>
      <c r="C11" s="275">
        <v>58.491500000000002</v>
      </c>
      <c r="D11" s="275">
        <f>B11-C11</f>
        <v>1.7560999999999964</v>
      </c>
      <c r="E11" s="294">
        <f>D11</f>
        <v>1.7560999999999964</v>
      </c>
      <c r="F11" s="276"/>
      <c r="G11" s="276"/>
      <c r="H11" s="54"/>
      <c r="I11" s="54"/>
    </row>
    <row r="12" spans="1:14">
      <c r="A12" s="26">
        <v>36011</v>
      </c>
      <c r="B12" s="275">
        <v>60.563699999999997</v>
      </c>
      <c r="C12" s="275">
        <v>59.032299999999999</v>
      </c>
      <c r="D12" s="275">
        <f t="shared" ref="D12:D27" si="0">B12-C12</f>
        <v>1.5313999999999979</v>
      </c>
      <c r="E12" s="294">
        <f>D12*(2/(5+1))+E11*(1-(2/(5+1)))</f>
        <v>1.6811999999999971</v>
      </c>
      <c r="F12" s="276"/>
      <c r="G12" s="276"/>
      <c r="H12" s="54"/>
      <c r="I12" s="54"/>
    </row>
    <row r="13" spans="1:14">
      <c r="A13" s="27">
        <v>36012</v>
      </c>
      <c r="B13" s="277">
        <v>62.085900000000002</v>
      </c>
      <c r="C13" s="277">
        <v>60.896799999999999</v>
      </c>
      <c r="D13" s="277">
        <f t="shared" si="0"/>
        <v>1.1891000000000034</v>
      </c>
      <c r="E13" s="295">
        <f t="shared" ref="E13:E48" si="1">D13*(2/(5+1))+E12*(1-(2/(5+1)))</f>
        <v>1.5171666666666659</v>
      </c>
      <c r="F13" s="289"/>
      <c r="G13" s="289"/>
      <c r="H13" s="57"/>
      <c r="I13" s="57"/>
    </row>
    <row r="14" spans="1:14">
      <c r="A14" s="27">
        <v>36013</v>
      </c>
      <c r="B14" s="277">
        <v>62.701599999999999</v>
      </c>
      <c r="C14" s="277">
        <v>61.375799999999998</v>
      </c>
      <c r="D14" s="277">
        <f t="shared" si="0"/>
        <v>1.325800000000001</v>
      </c>
      <c r="E14" s="295">
        <f t="shared" si="1"/>
        <v>1.4533777777777779</v>
      </c>
      <c r="F14" s="289"/>
      <c r="G14" s="289"/>
      <c r="H14" s="57"/>
      <c r="I14" s="57"/>
    </row>
    <row r="15" spans="1:14">
      <c r="A15" s="26">
        <v>36014</v>
      </c>
      <c r="B15" s="275">
        <v>62.935499999999998</v>
      </c>
      <c r="C15" s="275">
        <v>61.760100000000001</v>
      </c>
      <c r="D15" s="275">
        <f t="shared" si="0"/>
        <v>1.1753999999999962</v>
      </c>
      <c r="E15" s="322">
        <f t="shared" si="1"/>
        <v>1.3607185185185173</v>
      </c>
      <c r="F15" s="276"/>
      <c r="G15" s="276"/>
      <c r="H15" s="54"/>
      <c r="I15" s="54"/>
    </row>
    <row r="16" spans="1:14">
      <c r="A16" s="26">
        <v>36017</v>
      </c>
      <c r="B16" s="275">
        <v>62.803199999999997</v>
      </c>
      <c r="C16" s="275">
        <v>62.095199999999998</v>
      </c>
      <c r="D16" s="275">
        <f t="shared" si="0"/>
        <v>0.70799999999999841</v>
      </c>
      <c r="E16" s="322">
        <f t="shared" si="1"/>
        <v>1.1431456790123444</v>
      </c>
      <c r="F16" s="276"/>
      <c r="G16" s="276"/>
      <c r="H16" s="54"/>
      <c r="I16" s="54"/>
    </row>
    <row r="17" spans="1:9">
      <c r="A17" s="27">
        <v>36018</v>
      </c>
      <c r="B17" s="277">
        <v>62.341900000000003</v>
      </c>
      <c r="C17" s="277">
        <v>61.650799999999997</v>
      </c>
      <c r="D17" s="277">
        <f t="shared" si="0"/>
        <v>0.69110000000000582</v>
      </c>
      <c r="E17" s="323">
        <f t="shared" si="1"/>
        <v>0.9924637860082316</v>
      </c>
      <c r="F17" s="289"/>
      <c r="G17" s="289"/>
      <c r="H17" s="57"/>
      <c r="I17" s="57"/>
    </row>
    <row r="18" spans="1:9">
      <c r="A18" s="27">
        <v>36019</v>
      </c>
      <c r="B18" s="277">
        <v>61.843499999999999</v>
      </c>
      <c r="C18" s="277">
        <v>60.3919</v>
      </c>
      <c r="D18" s="277">
        <f t="shared" si="0"/>
        <v>1.4515999999999991</v>
      </c>
      <c r="E18" s="323">
        <f t="shared" si="1"/>
        <v>1.1455091906721542</v>
      </c>
      <c r="F18" s="289"/>
      <c r="G18" s="289"/>
      <c r="H18" s="57"/>
      <c r="I18" s="57"/>
    </row>
    <row r="19" spans="1:9">
      <c r="A19" s="26">
        <v>36020</v>
      </c>
      <c r="B19" s="275">
        <v>61.627800000000001</v>
      </c>
      <c r="C19" s="275">
        <v>60.804000000000002</v>
      </c>
      <c r="D19" s="275">
        <f t="shared" si="0"/>
        <v>0.82379999999999853</v>
      </c>
      <c r="E19" s="322">
        <f t="shared" si="1"/>
        <v>1.0382727937814358</v>
      </c>
      <c r="F19" s="276"/>
      <c r="G19" s="276"/>
      <c r="H19" s="54"/>
      <c r="I19" s="54"/>
    </row>
    <row r="20" spans="1:9">
      <c r="A20" s="26">
        <v>36021</v>
      </c>
      <c r="B20" s="275">
        <v>61.3613</v>
      </c>
      <c r="C20" s="275">
        <v>60.6952</v>
      </c>
      <c r="D20" s="275">
        <f t="shared" si="0"/>
        <v>0.66610000000000014</v>
      </c>
      <c r="E20" s="275">
        <f t="shared" si="1"/>
        <v>0.91421519585429056</v>
      </c>
      <c r="F20" s="276">
        <f>E20-E15</f>
        <v>-0.44650332266422676</v>
      </c>
      <c r="G20" s="276">
        <f t="shared" ref="G20:G48" si="2">F20/E15*100</f>
        <v>-32.81379040467219</v>
      </c>
      <c r="H20" s="54"/>
      <c r="I20" s="54"/>
    </row>
    <row r="21" spans="1:9">
      <c r="A21" s="27">
        <v>36024</v>
      </c>
      <c r="B21" s="277">
        <v>60.507300000000001</v>
      </c>
      <c r="C21" s="277">
        <v>59.673400000000001</v>
      </c>
      <c r="D21" s="277">
        <f t="shared" si="0"/>
        <v>0.83389999999999986</v>
      </c>
      <c r="E21" s="277">
        <f t="shared" si="1"/>
        <v>0.88744346390286033</v>
      </c>
      <c r="F21" s="289">
        <f t="shared" ref="F21:F48" si="3">E21-E16</f>
        <v>-0.2557022151094841</v>
      </c>
      <c r="G21" s="289">
        <f t="shared" si="2"/>
        <v>-22.368296517588714</v>
      </c>
      <c r="H21" s="57"/>
      <c r="I21" s="57"/>
    </row>
    <row r="22" spans="1:9">
      <c r="A22" s="27">
        <v>36025</v>
      </c>
      <c r="B22" s="277">
        <v>61.437899999999999</v>
      </c>
      <c r="C22" s="277">
        <v>59.670200000000001</v>
      </c>
      <c r="D22" s="277">
        <f t="shared" si="0"/>
        <v>1.7676999999999978</v>
      </c>
      <c r="E22" s="277">
        <f t="shared" si="1"/>
        <v>1.1808623092685728</v>
      </c>
      <c r="F22" s="289">
        <f t="shared" si="3"/>
        <v>0.18839852326034123</v>
      </c>
      <c r="G22" s="289">
        <f t="shared" si="2"/>
        <v>18.982911610114773</v>
      </c>
      <c r="H22" s="57"/>
      <c r="I22" s="57"/>
    </row>
    <row r="23" spans="1:9">
      <c r="A23" s="26">
        <v>36026</v>
      </c>
      <c r="B23" s="275">
        <v>61.701599999999999</v>
      </c>
      <c r="C23" s="275">
        <v>60.151200000000003</v>
      </c>
      <c r="D23" s="275">
        <f t="shared" si="0"/>
        <v>1.5503999999999962</v>
      </c>
      <c r="E23" s="275">
        <f t="shared" si="1"/>
        <v>1.3040415395123808</v>
      </c>
      <c r="F23" s="276">
        <f t="shared" si="3"/>
        <v>0.1585323488402266</v>
      </c>
      <c r="G23" s="276">
        <f t="shared" si="2"/>
        <v>13.839465464891124</v>
      </c>
      <c r="H23" s="54"/>
      <c r="I23" s="54"/>
    </row>
    <row r="24" spans="1:9">
      <c r="A24" s="26">
        <v>36027</v>
      </c>
      <c r="B24" s="275">
        <v>60.545200000000001</v>
      </c>
      <c r="C24" s="275">
        <v>59.625799999999998</v>
      </c>
      <c r="D24" s="275">
        <f t="shared" si="0"/>
        <v>0.9194000000000031</v>
      </c>
      <c r="E24" s="275">
        <f t="shared" si="1"/>
        <v>1.175827693008255</v>
      </c>
      <c r="F24" s="276">
        <f t="shared" si="3"/>
        <v>0.13755489922681918</v>
      </c>
      <c r="G24" s="276">
        <f t="shared" si="2"/>
        <v>13.248435290867839</v>
      </c>
      <c r="H24" s="54"/>
      <c r="I24" s="54"/>
    </row>
    <row r="25" spans="1:9">
      <c r="A25" s="27">
        <v>36028</v>
      </c>
      <c r="B25" s="277">
        <v>60.3613</v>
      </c>
      <c r="C25" s="277">
        <v>59.428199999999997</v>
      </c>
      <c r="D25" s="277">
        <f t="shared" si="0"/>
        <v>0.93310000000000315</v>
      </c>
      <c r="E25" s="277">
        <f t="shared" si="1"/>
        <v>1.0949184620055044</v>
      </c>
      <c r="F25" s="289">
        <f t="shared" si="3"/>
        <v>0.18070326615121379</v>
      </c>
      <c r="G25" s="289">
        <f t="shared" si="2"/>
        <v>19.765944273367193</v>
      </c>
      <c r="H25" s="57"/>
      <c r="I25" s="57"/>
    </row>
    <row r="26" spans="1:9">
      <c r="A26" s="27">
        <v>36031</v>
      </c>
      <c r="B26" s="277">
        <v>60.062899999999999</v>
      </c>
      <c r="C26" s="277">
        <v>59.212899999999998</v>
      </c>
      <c r="D26" s="277">
        <f t="shared" si="0"/>
        <v>0.85000000000000142</v>
      </c>
      <c r="E26" s="277">
        <f t="shared" si="1"/>
        <v>1.0132789746703368</v>
      </c>
      <c r="F26" s="289">
        <f t="shared" si="3"/>
        <v>0.12583551076747646</v>
      </c>
      <c r="G26" s="289">
        <f t="shared" si="2"/>
        <v>14.179552375547209</v>
      </c>
      <c r="H26" s="57"/>
      <c r="I26" s="57"/>
    </row>
    <row r="27" spans="1:9">
      <c r="A27" s="26">
        <v>36032</v>
      </c>
      <c r="B27" s="275">
        <v>60.216500000000003</v>
      </c>
      <c r="C27" s="275">
        <v>59.411700000000003</v>
      </c>
      <c r="D27" s="275">
        <f t="shared" si="0"/>
        <v>0.80480000000000018</v>
      </c>
      <c r="E27" s="275">
        <f t="shared" si="1"/>
        <v>0.94378598311355799</v>
      </c>
      <c r="F27" s="276">
        <f t="shared" si="3"/>
        <v>-0.23707632615501484</v>
      </c>
      <c r="G27" s="276">
        <f t="shared" si="2"/>
        <v>-20.076542734424315</v>
      </c>
      <c r="H27" s="54"/>
      <c r="I27" s="54"/>
    </row>
    <row r="28" spans="1:9">
      <c r="A28" s="26">
        <v>36033</v>
      </c>
      <c r="B28" s="275">
        <v>60.567700000000002</v>
      </c>
      <c r="C28" s="275">
        <v>59.072600000000001</v>
      </c>
      <c r="D28" s="275">
        <f t="shared" ref="D28:D43" si="4">B28-C28</f>
        <v>1.4951000000000008</v>
      </c>
      <c r="E28" s="275">
        <f t="shared" si="1"/>
        <v>1.1275573220757056</v>
      </c>
      <c r="F28" s="276">
        <f t="shared" si="3"/>
        <v>-0.17648421743667519</v>
      </c>
      <c r="G28" s="276">
        <f t="shared" si="2"/>
        <v>-13.533634634266928</v>
      </c>
      <c r="H28" s="54"/>
      <c r="I28" s="54"/>
    </row>
    <row r="29" spans="1:9">
      <c r="A29" s="27">
        <v>36034</v>
      </c>
      <c r="B29" s="277">
        <v>61.553199999999997</v>
      </c>
      <c r="C29" s="277">
        <v>59.912100000000002</v>
      </c>
      <c r="D29" s="277">
        <f t="shared" si="4"/>
        <v>1.6410999999999945</v>
      </c>
      <c r="E29" s="277">
        <f t="shared" si="1"/>
        <v>1.2987382147171354</v>
      </c>
      <c r="F29" s="289">
        <f t="shared" si="3"/>
        <v>0.12291052170888039</v>
      </c>
      <c r="G29" s="289">
        <f t="shared" si="2"/>
        <v>10.453106559722563</v>
      </c>
      <c r="H29" s="57"/>
      <c r="I29" s="57"/>
    </row>
    <row r="30" spans="1:9">
      <c r="A30" s="27">
        <v>36035</v>
      </c>
      <c r="B30" s="277">
        <v>61.995199999999997</v>
      </c>
      <c r="C30" s="277">
        <v>60.904000000000003</v>
      </c>
      <c r="D30" s="277">
        <f t="shared" si="4"/>
        <v>1.0911999999999935</v>
      </c>
      <c r="E30" s="277">
        <f t="shared" si="1"/>
        <v>1.2295588098114214</v>
      </c>
      <c r="F30" s="277">
        <f t="shared" si="3"/>
        <v>0.13464034780591705</v>
      </c>
      <c r="G30" s="289">
        <f t="shared" si="2"/>
        <v>12.296837844829415</v>
      </c>
      <c r="H30" s="57"/>
      <c r="I30" s="57"/>
    </row>
    <row r="31" spans="1:9">
      <c r="A31" s="26">
        <v>36038</v>
      </c>
      <c r="B31" s="275">
        <v>61.05</v>
      </c>
      <c r="C31" s="275">
        <v>59.9375</v>
      </c>
      <c r="D31" s="275">
        <f t="shared" si="4"/>
        <v>1.1124999999999972</v>
      </c>
      <c r="E31" s="275">
        <f t="shared" si="1"/>
        <v>1.1905392065409468</v>
      </c>
      <c r="F31" s="275">
        <f t="shared" si="3"/>
        <v>0.17726023187061002</v>
      </c>
      <c r="G31" s="275">
        <f t="shared" si="2"/>
        <v>17.49372446302662</v>
      </c>
      <c r="H31" s="54"/>
      <c r="I31" s="54"/>
    </row>
    <row r="32" spans="1:9">
      <c r="A32" s="26">
        <v>36039</v>
      </c>
      <c r="B32" s="275">
        <v>60.580599999999997</v>
      </c>
      <c r="C32" s="275">
        <v>58.929000000000002</v>
      </c>
      <c r="D32" s="275">
        <f t="shared" si="4"/>
        <v>1.6515999999999948</v>
      </c>
      <c r="E32" s="275">
        <f t="shared" si="1"/>
        <v>1.3442261376939628</v>
      </c>
      <c r="F32" s="275">
        <f t="shared" si="3"/>
        <v>0.40044015458040483</v>
      </c>
      <c r="G32" s="275">
        <f t="shared" si="2"/>
        <v>42.42912712682481</v>
      </c>
      <c r="H32" s="54"/>
      <c r="I32" s="54"/>
    </row>
    <row r="33" spans="1:9">
      <c r="A33" s="27">
        <v>36040</v>
      </c>
      <c r="B33" s="277">
        <v>60.106000000000002</v>
      </c>
      <c r="C33" s="277">
        <v>59.2911</v>
      </c>
      <c r="D33" s="277">
        <f t="shared" si="4"/>
        <v>0.81490000000000151</v>
      </c>
      <c r="E33" s="277">
        <f t="shared" si="1"/>
        <v>1.1677840917959759</v>
      </c>
      <c r="F33" s="277">
        <f t="shared" si="3"/>
        <v>4.0226769720270283E-2</v>
      </c>
      <c r="G33" s="277">
        <f t="shared" si="2"/>
        <v>3.5676030772623912</v>
      </c>
      <c r="H33" s="57"/>
      <c r="I33" s="57"/>
    </row>
    <row r="34" spans="1:9">
      <c r="A34" s="27">
        <v>36041</v>
      </c>
      <c r="B34" s="277">
        <v>59.516100000000002</v>
      </c>
      <c r="C34" s="277">
        <v>58.7</v>
      </c>
      <c r="D34" s="277">
        <f t="shared" si="4"/>
        <v>0.81609999999999872</v>
      </c>
      <c r="E34" s="277">
        <f t="shared" si="1"/>
        <v>1.0505560611973168</v>
      </c>
      <c r="F34" s="277">
        <f t="shared" si="3"/>
        <v>-0.24818215351981854</v>
      </c>
      <c r="G34" s="277">
        <f t="shared" si="2"/>
        <v>-19.109482627634279</v>
      </c>
      <c r="H34" s="57"/>
      <c r="I34" s="57"/>
    </row>
    <row r="35" spans="1:9">
      <c r="A35" s="26">
        <v>36042</v>
      </c>
      <c r="B35" s="275">
        <v>59.865699999999997</v>
      </c>
      <c r="C35" s="275">
        <v>59.293999999999997</v>
      </c>
      <c r="D35" s="275">
        <f t="shared" si="4"/>
        <v>0.57169999999999987</v>
      </c>
      <c r="E35" s="275">
        <f t="shared" si="1"/>
        <v>0.8909373741315445</v>
      </c>
      <c r="F35" s="275">
        <f t="shared" si="3"/>
        <v>-0.3386214356798769</v>
      </c>
      <c r="G35" s="275">
        <f t="shared" si="2"/>
        <v>-27.540076406090051</v>
      </c>
      <c r="H35" s="54"/>
      <c r="I35" s="54"/>
    </row>
    <row r="36" spans="1:9">
      <c r="A36" s="26">
        <v>36046</v>
      </c>
      <c r="B36" s="275">
        <v>60.5411</v>
      </c>
      <c r="C36" s="275">
        <v>59.691099999999999</v>
      </c>
      <c r="D36" s="275">
        <f t="shared" si="4"/>
        <v>0.85000000000000142</v>
      </c>
      <c r="E36" s="275">
        <f t="shared" si="1"/>
        <v>0.87729158275436347</v>
      </c>
      <c r="F36" s="275">
        <f t="shared" si="3"/>
        <v>-0.31324762378658333</v>
      </c>
      <c r="G36" s="275">
        <f t="shared" si="2"/>
        <v>-26.311407643323982</v>
      </c>
      <c r="H36" s="54"/>
      <c r="I36" s="54"/>
    </row>
    <row r="37" spans="1:9">
      <c r="A37" s="27">
        <v>36047</v>
      </c>
      <c r="B37" s="277">
        <v>60.745199999999997</v>
      </c>
      <c r="C37" s="277">
        <v>59.9452</v>
      </c>
      <c r="D37" s="277">
        <f t="shared" si="4"/>
        <v>0.79999999999999716</v>
      </c>
      <c r="E37" s="277">
        <f t="shared" si="1"/>
        <v>0.85152772183624148</v>
      </c>
      <c r="F37" s="277">
        <f t="shared" si="3"/>
        <v>-0.49269841585772134</v>
      </c>
      <c r="G37" s="277">
        <f t="shared" si="2"/>
        <v>-36.652941201020816</v>
      </c>
      <c r="H37" s="57"/>
      <c r="I37" s="57"/>
    </row>
    <row r="38" spans="1:9">
      <c r="A38" s="27">
        <v>36048</v>
      </c>
      <c r="B38" s="277">
        <v>62.037100000000002</v>
      </c>
      <c r="C38" s="277">
        <v>60.386299999999999</v>
      </c>
      <c r="D38" s="277">
        <f t="shared" si="4"/>
        <v>1.6508000000000038</v>
      </c>
      <c r="E38" s="277">
        <f t="shared" si="1"/>
        <v>1.1179518145574956</v>
      </c>
      <c r="F38" s="277">
        <f t="shared" si="3"/>
        <v>-4.9832277238480271E-2</v>
      </c>
      <c r="G38" s="277">
        <f t="shared" si="2"/>
        <v>-4.2672509061021273</v>
      </c>
      <c r="H38" s="57"/>
      <c r="I38" s="57"/>
    </row>
    <row r="39" spans="1:9">
      <c r="A39" s="26">
        <v>36049</v>
      </c>
      <c r="B39" s="275">
        <v>62.967700000000001</v>
      </c>
      <c r="C39" s="275">
        <v>61.8581</v>
      </c>
      <c r="D39" s="275">
        <f t="shared" si="4"/>
        <v>1.1096000000000004</v>
      </c>
      <c r="E39" s="275">
        <f t="shared" si="1"/>
        <v>1.1151678763716639</v>
      </c>
      <c r="F39" s="275">
        <f t="shared" si="3"/>
        <v>6.4611815174347109E-2</v>
      </c>
      <c r="G39" s="275">
        <f t="shared" si="2"/>
        <v>6.1502491452678063</v>
      </c>
      <c r="H39" s="54"/>
      <c r="I39" s="54"/>
    </row>
    <row r="40" spans="1:9">
      <c r="A40" s="26">
        <v>36052</v>
      </c>
      <c r="B40" s="275">
        <v>64.129000000000005</v>
      </c>
      <c r="C40" s="275">
        <v>62.7605</v>
      </c>
      <c r="D40" s="275">
        <f t="shared" si="4"/>
        <v>1.3685000000000045</v>
      </c>
      <c r="E40" s="275">
        <f t="shared" si="1"/>
        <v>1.1996119175811109</v>
      </c>
      <c r="F40" s="275">
        <f t="shared" si="3"/>
        <v>0.30867454344956635</v>
      </c>
      <c r="G40" s="275">
        <f t="shared" si="2"/>
        <v>34.64604274239273</v>
      </c>
      <c r="H40" s="54"/>
      <c r="I40" s="54"/>
    </row>
    <row r="41" spans="1:9">
      <c r="A41" s="27">
        <v>36053</v>
      </c>
      <c r="B41" s="277">
        <v>63.900799999999997</v>
      </c>
      <c r="C41" s="277">
        <v>62.851599999999998</v>
      </c>
      <c r="D41" s="277">
        <f t="shared" si="4"/>
        <v>1.049199999999999</v>
      </c>
      <c r="E41" s="277">
        <f t="shared" si="1"/>
        <v>1.1494746117207404</v>
      </c>
      <c r="F41" s="277">
        <f t="shared" si="3"/>
        <v>0.27218302896637692</v>
      </c>
      <c r="G41" s="277">
        <f t="shared" si="2"/>
        <v>31.025377915039975</v>
      </c>
      <c r="H41" s="57"/>
      <c r="I41" s="57"/>
    </row>
    <row r="42" spans="1:9">
      <c r="A42" s="27">
        <v>36054</v>
      </c>
      <c r="B42" s="277">
        <v>64.366100000000003</v>
      </c>
      <c r="C42" s="277">
        <v>63.081499999999998</v>
      </c>
      <c r="D42" s="277">
        <f t="shared" si="4"/>
        <v>1.2846000000000046</v>
      </c>
      <c r="E42" s="277">
        <f t="shared" si="1"/>
        <v>1.1945164078138286</v>
      </c>
      <c r="F42" s="277">
        <f t="shared" si="3"/>
        <v>0.34298868597758714</v>
      </c>
      <c r="G42" s="277">
        <f t="shared" si="2"/>
        <v>40.279215483198065</v>
      </c>
      <c r="H42" s="57"/>
      <c r="I42" s="57"/>
    </row>
    <row r="43" spans="1:9">
      <c r="A43" s="26">
        <v>36055</v>
      </c>
      <c r="B43" s="275">
        <v>64.103200000000001</v>
      </c>
      <c r="C43" s="275">
        <v>63</v>
      </c>
      <c r="D43" s="275">
        <f t="shared" si="4"/>
        <v>1.1032000000000011</v>
      </c>
      <c r="E43" s="275">
        <f t="shared" si="1"/>
        <v>1.1640776052092194</v>
      </c>
      <c r="F43" s="275">
        <f t="shared" si="3"/>
        <v>4.6125790651723841E-2</v>
      </c>
      <c r="G43" s="275">
        <f t="shared" si="2"/>
        <v>4.1259193867833392</v>
      </c>
      <c r="H43" s="54"/>
      <c r="I43" s="54"/>
    </row>
    <row r="44" spans="1:9">
      <c r="A44" s="26">
        <v>36056</v>
      </c>
      <c r="B44" s="275">
        <v>64.516099999999994</v>
      </c>
      <c r="C44" s="275">
        <v>63.749200000000002</v>
      </c>
      <c r="D44" s="275">
        <f>B44-C44</f>
        <v>0.76689999999999259</v>
      </c>
      <c r="E44" s="275">
        <f t="shared" si="1"/>
        <v>1.0316850701394773</v>
      </c>
      <c r="F44" s="275">
        <f t="shared" si="3"/>
        <v>-8.3482806232186624E-2</v>
      </c>
      <c r="G44" s="275">
        <f t="shared" si="2"/>
        <v>-7.4861200722359591</v>
      </c>
      <c r="H44" s="54"/>
      <c r="I44" s="54"/>
    </row>
    <row r="45" spans="1:9">
      <c r="A45" s="27">
        <v>36059</v>
      </c>
      <c r="B45" s="277">
        <v>63.935499999999998</v>
      </c>
      <c r="C45" s="277">
        <v>63.448399999999999</v>
      </c>
      <c r="D45" s="277">
        <f>B45-C45</f>
        <v>0.48709999999999809</v>
      </c>
      <c r="E45" s="277">
        <f t="shared" si="1"/>
        <v>0.8501567134263176</v>
      </c>
      <c r="F45" s="277">
        <f t="shared" si="3"/>
        <v>-0.34945520415479325</v>
      </c>
      <c r="G45" s="277">
        <f t="shared" si="2"/>
        <v>-29.130687936097893</v>
      </c>
      <c r="H45" s="57"/>
      <c r="I45" s="57"/>
    </row>
    <row r="46" spans="1:9">
      <c r="A46" s="27">
        <v>36060</v>
      </c>
      <c r="B46" s="277">
        <v>63.827800000000003</v>
      </c>
      <c r="C46" s="277">
        <v>63.259700000000002</v>
      </c>
      <c r="D46" s="277">
        <f>B46-C46</f>
        <v>0.56810000000000116</v>
      </c>
      <c r="E46" s="277">
        <f t="shared" si="1"/>
        <v>0.75613780895087879</v>
      </c>
      <c r="F46" s="277">
        <f t="shared" si="3"/>
        <v>-0.3933368027698616</v>
      </c>
      <c r="G46" s="277">
        <f t="shared" si="2"/>
        <v>-34.21883343565495</v>
      </c>
      <c r="H46" s="57"/>
      <c r="I46" s="57"/>
    </row>
    <row r="47" spans="1:9">
      <c r="A47" s="26">
        <v>36061</v>
      </c>
      <c r="B47" s="275">
        <v>63.235500000000002</v>
      </c>
      <c r="C47" s="275">
        <v>62.620199999999997</v>
      </c>
      <c r="D47" s="275">
        <f>B47-C47</f>
        <v>0.61530000000000484</v>
      </c>
      <c r="E47" s="275">
        <f t="shared" si="1"/>
        <v>0.70919187263392092</v>
      </c>
      <c r="F47" s="275">
        <f t="shared" si="3"/>
        <v>-0.4853245351799077</v>
      </c>
      <c r="G47" s="275">
        <f t="shared" si="2"/>
        <v>-40.629373695095197</v>
      </c>
      <c r="H47" s="54"/>
      <c r="I47" s="54"/>
    </row>
    <row r="48" spans="1:9">
      <c r="A48" s="26">
        <v>36062</v>
      </c>
      <c r="B48" s="275">
        <v>62.896000000000001</v>
      </c>
      <c r="C48" s="275">
        <v>62.335099999999997</v>
      </c>
      <c r="D48" s="275">
        <f>B48-C48</f>
        <v>0.56090000000000373</v>
      </c>
      <c r="E48" s="275">
        <f t="shared" si="1"/>
        <v>0.65976124842261519</v>
      </c>
      <c r="F48" s="275">
        <f t="shared" si="3"/>
        <v>-0.50431635678660425</v>
      </c>
      <c r="G48" s="275">
        <f t="shared" si="2"/>
        <v>-43.323259079102684</v>
      </c>
      <c r="H48" s="54"/>
      <c r="I48" s="54"/>
    </row>
    <row r="49" spans="1:9">
      <c r="F49" s="8"/>
    </row>
    <row r="50" spans="1:9">
      <c r="F50" s="8"/>
    </row>
    <row r="51" spans="1:9" ht="15">
      <c r="A51" s="241" t="s">
        <v>880</v>
      </c>
      <c r="F51" s="8"/>
    </row>
    <row r="52" spans="1:9" ht="84.75" customHeight="1">
      <c r="A52" s="447" t="s">
        <v>694</v>
      </c>
      <c r="B52" s="447"/>
      <c r="C52" s="447"/>
      <c r="D52" s="447"/>
      <c r="E52" s="447"/>
      <c r="F52" s="447"/>
      <c r="G52" s="447"/>
      <c r="H52" s="447"/>
      <c r="I52" s="447"/>
    </row>
    <row r="53" spans="1:9" ht="15">
      <c r="A53" s="241" t="s">
        <v>692</v>
      </c>
      <c r="F53" s="8"/>
    </row>
    <row r="54" spans="1:9" ht="33.75" customHeight="1">
      <c r="A54" s="447" t="s">
        <v>693</v>
      </c>
      <c r="B54" s="447"/>
      <c r="C54" s="447"/>
      <c r="D54" s="447"/>
      <c r="E54" s="447"/>
      <c r="F54" s="447"/>
      <c r="G54" s="447"/>
      <c r="H54" s="447"/>
      <c r="I54" s="447"/>
    </row>
    <row r="55" spans="1:9">
      <c r="F55" s="8"/>
    </row>
    <row r="56" spans="1:9">
      <c r="F56" s="8"/>
    </row>
    <row r="57" spans="1:9">
      <c r="F57" s="8"/>
    </row>
    <row r="58" spans="1:9">
      <c r="F58" s="8"/>
    </row>
    <row r="59" spans="1:9">
      <c r="F59" s="8"/>
    </row>
    <row r="60" spans="1:9">
      <c r="F60" s="8"/>
    </row>
    <row r="61" spans="1:9">
      <c r="F61" s="8"/>
    </row>
    <row r="62" spans="1:9">
      <c r="F62" s="8"/>
    </row>
    <row r="63" spans="1:9">
      <c r="F63" s="8"/>
    </row>
    <row r="64" spans="1:9">
      <c r="F64" s="8"/>
    </row>
    <row r="65" spans="6:6">
      <c r="F65" s="8"/>
    </row>
    <row r="66" spans="6:6">
      <c r="F66" s="8"/>
    </row>
    <row r="67" spans="6:6">
      <c r="F67" s="8"/>
    </row>
    <row r="68" spans="6:6">
      <c r="F68" s="8"/>
    </row>
    <row r="69" spans="6:6">
      <c r="F69" s="8"/>
    </row>
    <row r="70" spans="6:6">
      <c r="F70" s="8"/>
    </row>
    <row r="71" spans="6:6">
      <c r="F71" s="8"/>
    </row>
    <row r="72" spans="6:6">
      <c r="F72" s="8"/>
    </row>
    <row r="73" spans="6:6">
      <c r="F73" s="8"/>
    </row>
    <row r="74" spans="6:6">
      <c r="F74" s="8"/>
    </row>
    <row r="75" spans="6:6">
      <c r="F75" s="8"/>
    </row>
    <row r="76" spans="6:6">
      <c r="F76" s="8"/>
    </row>
    <row r="77" spans="6:6">
      <c r="F77" s="8"/>
    </row>
    <row r="78" spans="6:6">
      <c r="F78" s="8"/>
    </row>
    <row r="79" spans="6:6">
      <c r="F79" s="8"/>
    </row>
    <row r="80" spans="6:6">
      <c r="F80" s="8"/>
    </row>
    <row r="81" spans="6:6">
      <c r="F81" s="8"/>
    </row>
    <row r="82" spans="6:6">
      <c r="F82" s="8"/>
    </row>
    <row r="83" spans="6:6">
      <c r="F83" s="8"/>
    </row>
    <row r="84" spans="6:6">
      <c r="F84" s="8"/>
    </row>
    <row r="85" spans="6:6">
      <c r="F85" s="8"/>
    </row>
    <row r="86" spans="6:6">
      <c r="F86" s="8"/>
    </row>
    <row r="87" spans="6:6">
      <c r="F87" s="8"/>
    </row>
    <row r="88" spans="6:6">
      <c r="F88" s="8"/>
    </row>
    <row r="89" spans="6:6">
      <c r="F89" s="8"/>
    </row>
    <row r="90" spans="6:6">
      <c r="F90" s="8"/>
    </row>
    <row r="91" spans="6:6">
      <c r="F91" s="8"/>
    </row>
    <row r="92" spans="6:6">
      <c r="F92" s="8"/>
    </row>
    <row r="93" spans="6:6">
      <c r="F93" s="8"/>
    </row>
    <row r="94" spans="6:6">
      <c r="F94" s="8"/>
    </row>
    <row r="95" spans="6:6">
      <c r="F95" s="8"/>
    </row>
    <row r="96" spans="6:6">
      <c r="F96" s="8"/>
    </row>
    <row r="97" spans="6:6">
      <c r="F97" s="8"/>
    </row>
    <row r="98" spans="6:6">
      <c r="F98" s="8"/>
    </row>
    <row r="99" spans="6:6">
      <c r="F99" s="8"/>
    </row>
    <row r="100" spans="6:6">
      <c r="F100" s="8"/>
    </row>
    <row r="101" spans="6:6">
      <c r="F101" s="8"/>
    </row>
    <row r="102" spans="6:6">
      <c r="F102" s="8"/>
    </row>
    <row r="103" spans="6:6">
      <c r="F103" s="8"/>
    </row>
    <row r="104" spans="6:6">
      <c r="F104" s="8"/>
    </row>
    <row r="105" spans="6:6">
      <c r="F105" s="8"/>
    </row>
    <row r="106" spans="6:6">
      <c r="F106" s="8"/>
    </row>
    <row r="107" spans="6:6">
      <c r="F107" s="8"/>
    </row>
    <row r="108" spans="6:6">
      <c r="F108" s="8"/>
    </row>
    <row r="109" spans="6:6">
      <c r="F109" s="8"/>
    </row>
    <row r="110" spans="6:6">
      <c r="F110" s="8"/>
    </row>
    <row r="111" spans="6:6">
      <c r="F111" s="8"/>
    </row>
    <row r="112" spans="6:6">
      <c r="F112" s="8"/>
    </row>
    <row r="113" spans="6:6">
      <c r="F113" s="8"/>
    </row>
    <row r="114" spans="6:6">
      <c r="F114" s="8"/>
    </row>
    <row r="115" spans="6:6">
      <c r="F115" s="8"/>
    </row>
    <row r="116" spans="6:6">
      <c r="F116" s="8"/>
    </row>
    <row r="117" spans="6:6">
      <c r="F117" s="8"/>
    </row>
    <row r="118" spans="6:6">
      <c r="F118" s="8"/>
    </row>
    <row r="119" spans="6:6">
      <c r="F119" s="8"/>
    </row>
    <row r="120" spans="6:6">
      <c r="F120" s="8"/>
    </row>
    <row r="121" spans="6:6">
      <c r="F121" s="8"/>
    </row>
    <row r="122" spans="6:6">
      <c r="F122" s="8"/>
    </row>
    <row r="123" spans="6:6">
      <c r="F123" s="8"/>
    </row>
    <row r="124" spans="6:6">
      <c r="F124" s="8"/>
    </row>
    <row r="125" spans="6:6">
      <c r="F125" s="8"/>
    </row>
    <row r="126" spans="6:6">
      <c r="F126" s="8"/>
    </row>
    <row r="127" spans="6:6">
      <c r="F127" s="8"/>
    </row>
    <row r="128" spans="6:6">
      <c r="F128" s="8"/>
    </row>
    <row r="129" spans="6:6">
      <c r="F129" s="8"/>
    </row>
    <row r="130" spans="6:6">
      <c r="F130" s="8"/>
    </row>
    <row r="131" spans="6:6">
      <c r="F131" s="8"/>
    </row>
    <row r="132" spans="6:6">
      <c r="F132" s="8"/>
    </row>
    <row r="133" spans="6:6">
      <c r="F133" s="8"/>
    </row>
    <row r="134" spans="6:6">
      <c r="F134" s="8"/>
    </row>
    <row r="135" spans="6:6">
      <c r="F135" s="8"/>
    </row>
    <row r="136" spans="6:6">
      <c r="F136" s="8"/>
    </row>
    <row r="137" spans="6:6">
      <c r="F137" s="8"/>
    </row>
    <row r="138" spans="6:6">
      <c r="F138" s="8"/>
    </row>
    <row r="139" spans="6:6">
      <c r="F139" s="8"/>
    </row>
    <row r="140" spans="6:6">
      <c r="F140" s="8"/>
    </row>
    <row r="141" spans="6:6">
      <c r="F141" s="8"/>
    </row>
    <row r="142" spans="6:6">
      <c r="F142" s="8"/>
    </row>
    <row r="143" spans="6:6">
      <c r="F143" s="8"/>
    </row>
    <row r="144" spans="6:6">
      <c r="F144" s="8"/>
    </row>
    <row r="145" spans="6:6">
      <c r="F145" s="8"/>
    </row>
    <row r="146" spans="6:6">
      <c r="F146" s="8"/>
    </row>
    <row r="147" spans="6:6">
      <c r="F147" s="8"/>
    </row>
    <row r="148" spans="6:6">
      <c r="F148" s="8"/>
    </row>
    <row r="149" spans="6:6">
      <c r="F149" s="8"/>
    </row>
    <row r="150" spans="6:6">
      <c r="F150" s="8"/>
    </row>
    <row r="151" spans="6:6">
      <c r="F151" s="8"/>
    </row>
    <row r="152" spans="6:6">
      <c r="F152" s="8"/>
    </row>
    <row r="153" spans="6:6">
      <c r="F153" s="8"/>
    </row>
    <row r="154" spans="6:6">
      <c r="F154" s="8"/>
    </row>
    <row r="155" spans="6:6">
      <c r="F155" s="8"/>
    </row>
    <row r="156" spans="6:6">
      <c r="F156" s="8"/>
    </row>
    <row r="157" spans="6:6">
      <c r="F157" s="8"/>
    </row>
    <row r="158" spans="6:6">
      <c r="F158" s="8"/>
    </row>
    <row r="159" spans="6:6">
      <c r="F159" s="8"/>
    </row>
    <row r="160" spans="6:6">
      <c r="F160" s="8"/>
    </row>
    <row r="161" spans="6:6">
      <c r="F161" s="8"/>
    </row>
    <row r="162" spans="6:6">
      <c r="F162" s="8"/>
    </row>
    <row r="163" spans="6:6">
      <c r="F163" s="8"/>
    </row>
    <row r="164" spans="6:6">
      <c r="F164" s="8"/>
    </row>
    <row r="165" spans="6:6">
      <c r="F165" s="8"/>
    </row>
    <row r="166" spans="6:6">
      <c r="F166" s="8"/>
    </row>
    <row r="167" spans="6:6">
      <c r="F167" s="8"/>
    </row>
    <row r="168" spans="6:6">
      <c r="F168" s="8"/>
    </row>
    <row r="169" spans="6:6">
      <c r="F169" s="8"/>
    </row>
    <row r="170" spans="6:6">
      <c r="F170" s="8"/>
    </row>
    <row r="171" spans="6:6">
      <c r="F171" s="8"/>
    </row>
    <row r="172" spans="6:6">
      <c r="F172" s="8"/>
    </row>
    <row r="173" spans="6:6">
      <c r="F173" s="8"/>
    </row>
    <row r="174" spans="6:6">
      <c r="F174" s="8"/>
    </row>
    <row r="175" spans="6:6">
      <c r="F175" s="8"/>
    </row>
    <row r="176" spans="6:6">
      <c r="F176" s="8"/>
    </row>
    <row r="177" spans="6:6">
      <c r="F177" s="8"/>
    </row>
    <row r="178" spans="6:6">
      <c r="F178" s="8"/>
    </row>
    <row r="179" spans="6:6">
      <c r="F179" s="8"/>
    </row>
    <row r="180" spans="6:6">
      <c r="F180" s="8"/>
    </row>
    <row r="181" spans="6:6">
      <c r="F181" s="8"/>
    </row>
    <row r="182" spans="6:6">
      <c r="F182" s="8"/>
    </row>
    <row r="183" spans="6:6">
      <c r="F183" s="8"/>
    </row>
    <row r="184" spans="6:6">
      <c r="F184" s="8"/>
    </row>
    <row r="185" spans="6:6">
      <c r="F185" s="8"/>
    </row>
    <row r="186" spans="6:6">
      <c r="F186" s="8"/>
    </row>
    <row r="187" spans="6:6">
      <c r="F187" s="8"/>
    </row>
    <row r="188" spans="6:6">
      <c r="F188" s="8"/>
    </row>
    <row r="189" spans="6:6">
      <c r="F189" s="8"/>
    </row>
    <row r="190" spans="6:6">
      <c r="F190" s="8"/>
    </row>
    <row r="191" spans="6:6">
      <c r="F191" s="8"/>
    </row>
    <row r="192" spans="6:6">
      <c r="F192" s="8"/>
    </row>
    <row r="193" spans="6:6">
      <c r="F193" s="8"/>
    </row>
    <row r="194" spans="6:6">
      <c r="F194" s="8"/>
    </row>
    <row r="195" spans="6:6">
      <c r="F195" s="8"/>
    </row>
    <row r="196" spans="6:6">
      <c r="F196" s="8"/>
    </row>
    <row r="197" spans="6:6">
      <c r="F197" s="8"/>
    </row>
    <row r="198" spans="6:6">
      <c r="F198" s="8"/>
    </row>
    <row r="199" spans="6:6">
      <c r="F199" s="8"/>
    </row>
    <row r="200" spans="6:6">
      <c r="F200" s="8"/>
    </row>
    <row r="201" spans="6:6">
      <c r="F201" s="8"/>
    </row>
    <row r="202" spans="6:6">
      <c r="F202" s="8"/>
    </row>
    <row r="203" spans="6:6">
      <c r="F203" s="8"/>
    </row>
    <row r="204" spans="6:6">
      <c r="F204" s="8"/>
    </row>
    <row r="205" spans="6:6">
      <c r="F205" s="8"/>
    </row>
    <row r="206" spans="6:6">
      <c r="F206" s="8"/>
    </row>
    <row r="207" spans="6:6">
      <c r="F207" s="8"/>
    </row>
    <row r="208" spans="6:6">
      <c r="F208" s="8"/>
    </row>
    <row r="209" spans="6:6">
      <c r="F209" s="8"/>
    </row>
    <row r="210" spans="6:6">
      <c r="F210" s="8"/>
    </row>
    <row r="211" spans="6:6">
      <c r="F211" s="8"/>
    </row>
    <row r="212" spans="6:6">
      <c r="F212" s="8"/>
    </row>
    <row r="213" spans="6:6">
      <c r="F213" s="8"/>
    </row>
    <row r="214" spans="6:6">
      <c r="F214" s="8"/>
    </row>
    <row r="215" spans="6:6">
      <c r="F215" s="8"/>
    </row>
    <row r="216" spans="6:6">
      <c r="F216" s="8"/>
    </row>
    <row r="217" spans="6:6">
      <c r="F217" s="8"/>
    </row>
    <row r="218" spans="6:6">
      <c r="F218" s="8"/>
    </row>
    <row r="219" spans="6:6">
      <c r="F219" s="8"/>
    </row>
    <row r="220" spans="6:6">
      <c r="F220" s="8"/>
    </row>
    <row r="221" spans="6:6">
      <c r="F221" s="8"/>
    </row>
    <row r="222" spans="6:6">
      <c r="F222" s="8"/>
    </row>
    <row r="223" spans="6:6">
      <c r="F223" s="8"/>
    </row>
    <row r="224" spans="6:6">
      <c r="F224" s="8"/>
    </row>
    <row r="225" spans="6:6">
      <c r="F225" s="8"/>
    </row>
    <row r="226" spans="6:6">
      <c r="F226" s="8"/>
    </row>
  </sheetData>
  <mergeCells count="4">
    <mergeCell ref="A54:I54"/>
    <mergeCell ref="B5:H5"/>
    <mergeCell ref="B7:H7"/>
    <mergeCell ref="A52:I52"/>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26" r:id="rId3" name="Button 6">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30727" r:id="rId4" name="Button 7">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30728" r:id="rId5" name="Button 8">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30729" r:id="rId6" name="Button 9">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30730" r:id="rId7" name="Button 10">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30731" r:id="rId8" name="Button 11">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30732" r:id="rId9" name="Button 12">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30733" r:id="rId10" name="Button 13">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enableFormatConditionsCalculation="0"/>
  <dimension ref="A1:N808"/>
  <sheetViews>
    <sheetView workbookViewId="0"/>
  </sheetViews>
  <sheetFormatPr baseColWidth="10" defaultColWidth="8.83203125" defaultRowHeight="12" x14ac:dyDescent="0"/>
  <cols>
    <col min="1" max="1" width="11" customWidth="1"/>
    <col min="2" max="2" width="11.1640625" bestFit="1" customWidth="1"/>
    <col min="3" max="3" width="11.5" customWidth="1"/>
    <col min="4" max="5" width="12.5" customWidth="1"/>
    <col min="6" max="6" width="17.164062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1049</v>
      </c>
      <c r="C3" s="21"/>
      <c r="D3" s="21"/>
      <c r="E3" s="21"/>
      <c r="F3" s="21"/>
      <c r="G3" s="21"/>
      <c r="H3" s="21"/>
      <c r="I3" s="21"/>
      <c r="J3" s="21"/>
      <c r="K3" s="21"/>
    </row>
    <row r="4" spans="1:14">
      <c r="A4" s="19" t="s">
        <v>774</v>
      </c>
      <c r="B4" s="20" t="s">
        <v>786</v>
      </c>
      <c r="C4" s="21"/>
      <c r="D4" s="21"/>
      <c r="E4" s="21"/>
      <c r="F4" s="21"/>
      <c r="G4" s="21"/>
      <c r="H4" s="21"/>
      <c r="I4" s="21"/>
      <c r="J4" s="21"/>
      <c r="K4" s="21"/>
    </row>
    <row r="5" spans="1:14" ht="47.25" customHeight="1">
      <c r="A5" s="118" t="s">
        <v>779</v>
      </c>
      <c r="B5" s="446" t="s">
        <v>984</v>
      </c>
      <c r="C5" s="446"/>
      <c r="D5" s="446"/>
      <c r="E5" s="446"/>
      <c r="F5" s="446"/>
      <c r="G5" s="446"/>
      <c r="H5" s="446"/>
      <c r="I5" s="446"/>
      <c r="J5" s="446"/>
      <c r="K5" s="446"/>
    </row>
    <row r="6" spans="1:14" ht="15">
      <c r="A6" s="19"/>
      <c r="B6" s="20"/>
      <c r="C6" s="189" t="s">
        <v>549</v>
      </c>
      <c r="D6" s="21"/>
      <c r="E6" s="21"/>
      <c r="F6" s="21"/>
      <c r="G6" s="21"/>
      <c r="H6" s="21"/>
      <c r="I6" s="21"/>
      <c r="J6" s="21"/>
      <c r="K6" s="21"/>
    </row>
    <row r="7" spans="1:14" ht="15">
      <c r="A7" s="19"/>
      <c r="B7" s="127" t="s">
        <v>985</v>
      </c>
      <c r="C7" s="21"/>
      <c r="D7" s="21"/>
      <c r="E7" s="21"/>
      <c r="F7" s="21"/>
      <c r="G7" s="21"/>
      <c r="H7" s="21"/>
      <c r="I7" s="21"/>
      <c r="J7" s="21"/>
      <c r="K7" s="21"/>
    </row>
    <row r="8" spans="1:14" ht="37.5" customHeight="1">
      <c r="A8" s="21"/>
      <c r="B8" s="21"/>
      <c r="C8" s="21"/>
      <c r="D8" s="21"/>
      <c r="E8" s="21"/>
      <c r="F8" s="21"/>
      <c r="G8" s="21"/>
      <c r="H8" s="21"/>
      <c r="I8" s="21"/>
      <c r="J8" s="21"/>
      <c r="K8" s="21"/>
    </row>
    <row r="9" spans="1:14" ht="18" customHeight="1">
      <c r="A9" s="19" t="s">
        <v>635</v>
      </c>
      <c r="B9" s="21" t="s">
        <v>363</v>
      </c>
      <c r="C9" s="21"/>
      <c r="D9" s="21"/>
      <c r="E9" s="21"/>
      <c r="F9" s="21"/>
      <c r="G9" s="21"/>
      <c r="H9" s="21"/>
      <c r="I9" s="21"/>
      <c r="J9" s="21"/>
      <c r="K9" s="21"/>
    </row>
    <row r="10" spans="1:14" ht="39" customHeight="1">
      <c r="A10" s="22" t="s">
        <v>1090</v>
      </c>
      <c r="B10" s="22" t="s">
        <v>1099</v>
      </c>
      <c r="C10" s="31" t="s">
        <v>700</v>
      </c>
      <c r="D10" s="31" t="s">
        <v>701</v>
      </c>
      <c r="E10" s="31" t="s">
        <v>874</v>
      </c>
      <c r="F10" s="31" t="s">
        <v>702</v>
      </c>
      <c r="G10" s="22"/>
      <c r="H10" s="22"/>
      <c r="I10" s="22"/>
      <c r="J10" s="22"/>
      <c r="K10" s="22"/>
    </row>
    <row r="11" spans="1:14">
      <c r="A11" s="26">
        <v>36164</v>
      </c>
      <c r="B11" s="255">
        <v>17604</v>
      </c>
      <c r="C11" s="255"/>
      <c r="D11" s="276"/>
      <c r="E11" s="276"/>
      <c r="F11" s="276"/>
      <c r="G11" s="72"/>
      <c r="H11" s="28"/>
      <c r="I11" s="28"/>
      <c r="J11" s="28"/>
      <c r="K11" s="54"/>
      <c r="L11" s="2"/>
    </row>
    <row r="12" spans="1:14">
      <c r="A12" s="26">
        <v>36165</v>
      </c>
      <c r="B12" s="255">
        <v>18918</v>
      </c>
      <c r="C12" s="255">
        <f>SUM(B11:B12)/2</f>
        <v>18261</v>
      </c>
      <c r="D12" s="276"/>
      <c r="E12" s="276"/>
      <c r="F12" s="276"/>
      <c r="G12" s="72"/>
      <c r="H12" s="28"/>
      <c r="I12" s="28"/>
      <c r="J12" s="28"/>
      <c r="K12" s="54"/>
      <c r="L12" s="2"/>
    </row>
    <row r="13" spans="1:14">
      <c r="A13" s="27">
        <v>36166</v>
      </c>
      <c r="B13" s="257">
        <v>21030</v>
      </c>
      <c r="C13" s="257">
        <f t="shared" ref="C13:C64" si="0">SUM(B12:B13)/2</f>
        <v>19974</v>
      </c>
      <c r="D13" s="289"/>
      <c r="E13" s="289"/>
      <c r="F13" s="289"/>
      <c r="G13" s="73"/>
      <c r="H13" s="29"/>
      <c r="I13" s="29"/>
      <c r="J13" s="29"/>
      <c r="K13" s="57"/>
      <c r="L13" s="2"/>
    </row>
    <row r="14" spans="1:14">
      <c r="A14" s="27">
        <v>36167</v>
      </c>
      <c r="B14" s="257">
        <v>13854</v>
      </c>
      <c r="C14" s="257">
        <f t="shared" si="0"/>
        <v>17442</v>
      </c>
      <c r="D14" s="289"/>
      <c r="E14" s="289"/>
      <c r="F14" s="289"/>
      <c r="G14" s="73"/>
      <c r="H14" s="29"/>
      <c r="I14" s="29"/>
      <c r="J14" s="29"/>
      <c r="K14" s="57"/>
      <c r="L14" s="2"/>
    </row>
    <row r="15" spans="1:14">
      <c r="A15" s="26">
        <v>36168</v>
      </c>
      <c r="B15" s="255">
        <v>10866</v>
      </c>
      <c r="C15" s="255">
        <f t="shared" si="0"/>
        <v>12360</v>
      </c>
      <c r="D15" s="249">
        <f>SUM(B11:B15)/5</f>
        <v>16454.400000000001</v>
      </c>
      <c r="E15" s="249">
        <f t="shared" ref="E15:E34" si="1">C15-D15</f>
        <v>-4094.4000000000015</v>
      </c>
      <c r="F15" s="249">
        <f t="shared" ref="F15:F34" si="2">E15/D15 * 100</f>
        <v>-24.883313885647613</v>
      </c>
      <c r="G15" s="72"/>
      <c r="H15" s="28"/>
      <c r="I15" s="28"/>
      <c r="J15" s="28"/>
      <c r="K15" s="54"/>
      <c r="L15" s="2"/>
    </row>
    <row r="16" spans="1:14">
      <c r="A16" s="26">
        <v>36171</v>
      </c>
      <c r="B16" s="255">
        <v>14580</v>
      </c>
      <c r="C16" s="255">
        <f t="shared" si="0"/>
        <v>12723</v>
      </c>
      <c r="D16" s="249">
        <f t="shared" ref="D16:D64" si="3">SUM(B12:B16)/5</f>
        <v>15849.6</v>
      </c>
      <c r="E16" s="249">
        <f t="shared" si="1"/>
        <v>-3126.6000000000004</v>
      </c>
      <c r="F16" s="249">
        <f t="shared" si="2"/>
        <v>-19.726680799515446</v>
      </c>
      <c r="G16" s="72"/>
      <c r="H16" s="28"/>
      <c r="I16" s="28"/>
      <c r="J16" s="28"/>
      <c r="K16" s="54"/>
      <c r="L16" s="2"/>
    </row>
    <row r="17" spans="1:12">
      <c r="A17" s="27">
        <v>36172</v>
      </c>
      <c r="B17" s="257">
        <v>12132</v>
      </c>
      <c r="C17" s="257">
        <f t="shared" si="0"/>
        <v>13356</v>
      </c>
      <c r="D17" s="250">
        <f t="shared" si="3"/>
        <v>14492.4</v>
      </c>
      <c r="E17" s="250">
        <f t="shared" si="1"/>
        <v>-1136.3999999999996</v>
      </c>
      <c r="F17" s="250">
        <f t="shared" si="2"/>
        <v>-7.8413513289724248</v>
      </c>
      <c r="G17" s="73"/>
      <c r="H17" s="29"/>
      <c r="I17" s="29"/>
      <c r="J17" s="29"/>
      <c r="K17" s="57"/>
      <c r="L17" s="2"/>
    </row>
    <row r="18" spans="1:12">
      <c r="A18" s="27">
        <v>36173</v>
      </c>
      <c r="B18" s="257">
        <v>9744</v>
      </c>
      <c r="C18" s="257">
        <f t="shared" si="0"/>
        <v>10938</v>
      </c>
      <c r="D18" s="250">
        <f t="shared" si="3"/>
        <v>12235.2</v>
      </c>
      <c r="E18" s="250">
        <f t="shared" si="1"/>
        <v>-1297.2000000000007</v>
      </c>
      <c r="F18" s="250">
        <f t="shared" si="2"/>
        <v>-10.602196939976468</v>
      </c>
      <c r="G18" s="73"/>
      <c r="H18" s="29"/>
      <c r="I18" s="29"/>
      <c r="J18" s="29"/>
      <c r="K18" s="57"/>
      <c r="L18" s="2"/>
    </row>
    <row r="19" spans="1:12">
      <c r="A19" s="26">
        <v>36174</v>
      </c>
      <c r="B19" s="255">
        <v>12912</v>
      </c>
      <c r="C19" s="255">
        <f t="shared" si="0"/>
        <v>11328</v>
      </c>
      <c r="D19" s="249">
        <f t="shared" si="3"/>
        <v>12046.8</v>
      </c>
      <c r="E19" s="249">
        <f t="shared" si="1"/>
        <v>-718.79999999999927</v>
      </c>
      <c r="F19" s="249">
        <f t="shared" si="2"/>
        <v>-5.9667297539595525</v>
      </c>
      <c r="G19" s="72"/>
      <c r="H19" s="28"/>
      <c r="I19" s="28"/>
      <c r="J19" s="28"/>
      <c r="K19" s="54"/>
      <c r="L19" s="2"/>
    </row>
    <row r="20" spans="1:12">
      <c r="A20" s="26">
        <v>36175</v>
      </c>
      <c r="B20" s="255">
        <v>14334</v>
      </c>
      <c r="C20" s="255">
        <f t="shared" si="0"/>
        <v>13623</v>
      </c>
      <c r="D20" s="249">
        <f t="shared" si="3"/>
        <v>12740.4</v>
      </c>
      <c r="E20" s="249">
        <f t="shared" si="1"/>
        <v>882.60000000000036</v>
      </c>
      <c r="F20" s="249">
        <f t="shared" si="2"/>
        <v>6.9275689931242379</v>
      </c>
      <c r="G20" s="72"/>
      <c r="H20" s="28"/>
      <c r="I20" s="28"/>
      <c r="J20" s="28"/>
      <c r="K20" s="54"/>
      <c r="L20" s="2"/>
    </row>
    <row r="21" spans="1:12">
      <c r="A21" s="27">
        <v>36179</v>
      </c>
      <c r="B21" s="257">
        <v>24042</v>
      </c>
      <c r="C21" s="257">
        <f t="shared" si="0"/>
        <v>19188</v>
      </c>
      <c r="D21" s="250">
        <f t="shared" si="3"/>
        <v>14632.8</v>
      </c>
      <c r="E21" s="250">
        <f t="shared" si="1"/>
        <v>4555.2000000000007</v>
      </c>
      <c r="F21" s="250">
        <f t="shared" si="2"/>
        <v>31.130063965884869</v>
      </c>
      <c r="G21" s="73"/>
      <c r="H21" s="29"/>
      <c r="I21" s="29"/>
      <c r="J21" s="29"/>
      <c r="K21" s="57"/>
      <c r="L21" s="2"/>
    </row>
    <row r="22" spans="1:12">
      <c r="A22" s="27">
        <v>36180</v>
      </c>
      <c r="B22" s="257">
        <v>9726</v>
      </c>
      <c r="C22" s="257">
        <f t="shared" si="0"/>
        <v>16884</v>
      </c>
      <c r="D22" s="250">
        <f t="shared" si="3"/>
        <v>14151.6</v>
      </c>
      <c r="E22" s="250">
        <f t="shared" si="1"/>
        <v>2732.3999999999996</v>
      </c>
      <c r="F22" s="250">
        <f t="shared" si="2"/>
        <v>19.308064105825487</v>
      </c>
      <c r="G22" s="73"/>
      <c r="H22" s="29"/>
      <c r="I22" s="29"/>
      <c r="J22" s="29"/>
      <c r="K22" s="57"/>
      <c r="L22" s="2"/>
    </row>
    <row r="23" spans="1:12">
      <c r="A23" s="26">
        <v>36181</v>
      </c>
      <c r="B23" s="255">
        <v>21204</v>
      </c>
      <c r="C23" s="255">
        <f t="shared" si="0"/>
        <v>15465</v>
      </c>
      <c r="D23" s="249">
        <f t="shared" si="3"/>
        <v>16443.599999999999</v>
      </c>
      <c r="E23" s="249">
        <f t="shared" si="1"/>
        <v>-978.59999999999854</v>
      </c>
      <c r="F23" s="249">
        <f t="shared" si="2"/>
        <v>-5.951251550755301</v>
      </c>
      <c r="G23" s="72"/>
      <c r="H23" s="28"/>
      <c r="I23" s="28"/>
      <c r="J23" s="28"/>
      <c r="K23" s="54"/>
      <c r="L23" s="2"/>
    </row>
    <row r="24" spans="1:12">
      <c r="A24" s="26">
        <v>36182</v>
      </c>
      <c r="B24" s="255">
        <v>16620</v>
      </c>
      <c r="C24" s="255">
        <f t="shared" si="0"/>
        <v>18912</v>
      </c>
      <c r="D24" s="249">
        <f t="shared" si="3"/>
        <v>17185.2</v>
      </c>
      <c r="E24" s="249">
        <f t="shared" si="1"/>
        <v>1726.7999999999993</v>
      </c>
      <c r="F24" s="249">
        <f t="shared" si="2"/>
        <v>10.048180992947415</v>
      </c>
      <c r="G24" s="72"/>
      <c r="H24" s="28"/>
      <c r="I24" s="28"/>
      <c r="J24" s="28"/>
      <c r="K24" s="54"/>
      <c r="L24" s="2"/>
    </row>
    <row r="25" spans="1:12">
      <c r="A25" s="27">
        <v>36185</v>
      </c>
      <c r="B25" s="257">
        <v>11334</v>
      </c>
      <c r="C25" s="257">
        <f t="shared" si="0"/>
        <v>13977</v>
      </c>
      <c r="D25" s="250">
        <f t="shared" si="3"/>
        <v>16585.2</v>
      </c>
      <c r="E25" s="250">
        <f t="shared" si="1"/>
        <v>-2608.2000000000007</v>
      </c>
      <c r="F25" s="250">
        <f t="shared" si="2"/>
        <v>-15.726069025396139</v>
      </c>
      <c r="G25" s="73"/>
      <c r="H25" s="29"/>
      <c r="I25" s="29"/>
      <c r="J25" s="29"/>
      <c r="K25" s="57"/>
      <c r="L25" s="2"/>
    </row>
    <row r="26" spans="1:12">
      <c r="A26" s="27">
        <v>36186</v>
      </c>
      <c r="B26" s="257">
        <v>15408</v>
      </c>
      <c r="C26" s="257">
        <f t="shared" si="0"/>
        <v>13371</v>
      </c>
      <c r="D26" s="250">
        <f t="shared" si="3"/>
        <v>14858.4</v>
      </c>
      <c r="E26" s="250">
        <f t="shared" si="1"/>
        <v>-1487.3999999999996</v>
      </c>
      <c r="F26" s="250">
        <f t="shared" si="2"/>
        <v>-10.01049911161363</v>
      </c>
      <c r="G26" s="73"/>
      <c r="H26" s="29"/>
      <c r="I26" s="29"/>
      <c r="J26" s="29"/>
      <c r="K26" s="57"/>
      <c r="L26" s="2"/>
    </row>
    <row r="27" spans="1:12">
      <c r="A27" s="26">
        <v>36187</v>
      </c>
      <c r="B27" s="255">
        <v>9252</v>
      </c>
      <c r="C27" s="255">
        <f t="shared" si="0"/>
        <v>12330</v>
      </c>
      <c r="D27" s="249">
        <f t="shared" si="3"/>
        <v>14763.6</v>
      </c>
      <c r="E27" s="249">
        <f t="shared" si="1"/>
        <v>-2433.6000000000004</v>
      </c>
      <c r="F27" s="249">
        <f t="shared" si="2"/>
        <v>-16.483784442818827</v>
      </c>
      <c r="G27" s="72"/>
      <c r="H27" s="28"/>
      <c r="I27" s="28"/>
      <c r="J27" s="28"/>
      <c r="K27" s="54"/>
      <c r="L27" s="2"/>
    </row>
    <row r="28" spans="1:12">
      <c r="A28" s="26">
        <v>36188</v>
      </c>
      <c r="B28" s="255">
        <v>12306</v>
      </c>
      <c r="C28" s="255">
        <f t="shared" si="0"/>
        <v>10779</v>
      </c>
      <c r="D28" s="249">
        <f t="shared" si="3"/>
        <v>12984</v>
      </c>
      <c r="E28" s="249">
        <f t="shared" si="1"/>
        <v>-2205</v>
      </c>
      <c r="F28" s="249">
        <f t="shared" si="2"/>
        <v>-16.982439926062849</v>
      </c>
      <c r="G28" s="72"/>
      <c r="H28" s="28"/>
      <c r="I28" s="28"/>
      <c r="J28" s="28"/>
      <c r="K28" s="54"/>
      <c r="L28" s="2"/>
    </row>
    <row r="29" spans="1:12">
      <c r="A29" s="27">
        <v>36189</v>
      </c>
      <c r="B29" s="257">
        <v>10218</v>
      </c>
      <c r="C29" s="257">
        <f t="shared" si="0"/>
        <v>11262</v>
      </c>
      <c r="D29" s="250">
        <f t="shared" si="3"/>
        <v>11703.6</v>
      </c>
      <c r="E29" s="250">
        <f t="shared" si="1"/>
        <v>-441.60000000000036</v>
      </c>
      <c r="F29" s="250">
        <f t="shared" si="2"/>
        <v>-3.7731979903619428</v>
      </c>
      <c r="G29" s="73"/>
      <c r="H29" s="29"/>
      <c r="I29" s="29"/>
      <c r="J29" s="29"/>
      <c r="K29" s="57"/>
      <c r="L29" s="2"/>
    </row>
    <row r="30" spans="1:12">
      <c r="A30" s="27">
        <v>36192</v>
      </c>
      <c r="B30" s="257">
        <v>10890</v>
      </c>
      <c r="C30" s="257">
        <f t="shared" si="0"/>
        <v>10554</v>
      </c>
      <c r="D30" s="250">
        <f t="shared" si="3"/>
        <v>11614.8</v>
      </c>
      <c r="E30" s="250">
        <f t="shared" si="1"/>
        <v>-1060.7999999999993</v>
      </c>
      <c r="F30" s="250">
        <f t="shared" si="2"/>
        <v>-9.1331749147639165</v>
      </c>
      <c r="G30" s="73"/>
      <c r="H30" s="29"/>
      <c r="I30" s="29"/>
      <c r="J30" s="29"/>
      <c r="K30" s="57"/>
      <c r="L30" s="2"/>
    </row>
    <row r="31" spans="1:12">
      <c r="A31" s="26">
        <v>36193</v>
      </c>
      <c r="B31" s="255">
        <v>9342</v>
      </c>
      <c r="C31" s="255">
        <f t="shared" si="0"/>
        <v>10116</v>
      </c>
      <c r="D31" s="249">
        <f t="shared" si="3"/>
        <v>10401.6</v>
      </c>
      <c r="E31" s="249">
        <f t="shared" si="1"/>
        <v>-285.60000000000036</v>
      </c>
      <c r="F31" s="249">
        <f t="shared" si="2"/>
        <v>-2.7457314259344749</v>
      </c>
      <c r="G31" s="72"/>
      <c r="H31" s="28"/>
      <c r="I31" s="28"/>
      <c r="J31" s="28"/>
      <c r="K31" s="54"/>
      <c r="L31" s="2"/>
    </row>
    <row r="32" spans="1:12">
      <c r="A32" s="26">
        <v>36194</v>
      </c>
      <c r="B32" s="255">
        <v>9582</v>
      </c>
      <c r="C32" s="255">
        <f t="shared" si="0"/>
        <v>9462</v>
      </c>
      <c r="D32" s="249">
        <f t="shared" si="3"/>
        <v>10467.6</v>
      </c>
      <c r="E32" s="249">
        <f t="shared" si="1"/>
        <v>-1005.6000000000004</v>
      </c>
      <c r="F32" s="249">
        <f t="shared" si="2"/>
        <v>-9.606786655966987</v>
      </c>
      <c r="G32" s="72"/>
      <c r="H32" s="28"/>
      <c r="I32" s="28"/>
      <c r="J32" s="28"/>
      <c r="K32" s="54"/>
      <c r="L32" s="2"/>
    </row>
    <row r="33" spans="1:12">
      <c r="A33" s="27">
        <v>36195</v>
      </c>
      <c r="B33" s="257">
        <v>6198</v>
      </c>
      <c r="C33" s="257">
        <f t="shared" si="0"/>
        <v>7890</v>
      </c>
      <c r="D33" s="250">
        <f t="shared" si="3"/>
        <v>9246</v>
      </c>
      <c r="E33" s="250">
        <f t="shared" si="1"/>
        <v>-1356</v>
      </c>
      <c r="F33" s="250">
        <f t="shared" si="2"/>
        <v>-14.665801427644388</v>
      </c>
      <c r="G33" s="73"/>
      <c r="H33" s="29"/>
      <c r="I33" s="29"/>
      <c r="J33" s="29"/>
      <c r="K33" s="57"/>
      <c r="L33" s="2"/>
    </row>
    <row r="34" spans="1:12">
      <c r="A34" s="27">
        <v>36196</v>
      </c>
      <c r="B34" s="257">
        <v>28152</v>
      </c>
      <c r="C34" s="257">
        <f t="shared" si="0"/>
        <v>17175</v>
      </c>
      <c r="D34" s="250">
        <f t="shared" si="3"/>
        <v>12832.8</v>
      </c>
      <c r="E34" s="250">
        <f t="shared" si="1"/>
        <v>4342.2000000000007</v>
      </c>
      <c r="F34" s="250">
        <f t="shared" si="2"/>
        <v>33.836730877127366</v>
      </c>
      <c r="G34" s="73"/>
      <c r="H34" s="29"/>
      <c r="I34" s="29"/>
      <c r="J34" s="29"/>
      <c r="K34" s="57"/>
      <c r="L34" s="2"/>
    </row>
    <row r="35" spans="1:12">
      <c r="A35" s="26">
        <v>36199</v>
      </c>
      <c r="B35" s="255">
        <v>5808</v>
      </c>
      <c r="C35" s="255">
        <f t="shared" si="0"/>
        <v>16980</v>
      </c>
      <c r="D35" s="249">
        <f t="shared" si="3"/>
        <v>11816.4</v>
      </c>
      <c r="E35" s="249">
        <f>C35-D35</f>
        <v>5163.6000000000004</v>
      </c>
      <c r="F35" s="249">
        <f>E35/D35 * 100</f>
        <v>43.69858840255916</v>
      </c>
      <c r="G35" s="72"/>
      <c r="H35" s="28"/>
      <c r="I35" s="28"/>
      <c r="J35" s="28"/>
      <c r="K35" s="54"/>
      <c r="L35" s="2"/>
    </row>
    <row r="36" spans="1:12">
      <c r="A36" s="26">
        <v>36200</v>
      </c>
      <c r="B36" s="255">
        <v>6102</v>
      </c>
      <c r="C36" s="255">
        <f t="shared" si="0"/>
        <v>5955</v>
      </c>
      <c r="D36" s="249">
        <f t="shared" si="3"/>
        <v>11168.4</v>
      </c>
      <c r="E36" s="249">
        <f t="shared" ref="E36:E64" si="4">C36-D36</f>
        <v>-5213.3999999999996</v>
      </c>
      <c r="F36" s="249">
        <f t="shared" ref="F36:F64" si="5">E36/D36 * 100</f>
        <v>-46.679918341033627</v>
      </c>
      <c r="G36" s="72"/>
      <c r="H36" s="28"/>
      <c r="I36" s="28"/>
      <c r="J36" s="28"/>
      <c r="K36" s="54"/>
      <c r="L36" s="2"/>
    </row>
    <row r="37" spans="1:12">
      <c r="A37" s="27">
        <v>36201</v>
      </c>
      <c r="B37" s="257">
        <v>12360</v>
      </c>
      <c r="C37" s="257">
        <f t="shared" si="0"/>
        <v>9231</v>
      </c>
      <c r="D37" s="250">
        <f t="shared" si="3"/>
        <v>11724</v>
      </c>
      <c r="E37" s="250">
        <f t="shared" si="4"/>
        <v>-2493</v>
      </c>
      <c r="F37" s="250">
        <f t="shared" si="5"/>
        <v>-21.264073694984649</v>
      </c>
      <c r="G37" s="73"/>
      <c r="H37" s="29"/>
      <c r="I37" s="29"/>
      <c r="J37" s="29"/>
      <c r="K37" s="57"/>
      <c r="L37" s="2"/>
    </row>
    <row r="38" spans="1:12">
      <c r="A38" s="27">
        <v>36202</v>
      </c>
      <c r="B38" s="257">
        <v>9888</v>
      </c>
      <c r="C38" s="257">
        <f t="shared" si="0"/>
        <v>11124</v>
      </c>
      <c r="D38" s="250">
        <f t="shared" si="3"/>
        <v>12462</v>
      </c>
      <c r="E38" s="250">
        <f t="shared" si="4"/>
        <v>-1338</v>
      </c>
      <c r="F38" s="250">
        <f t="shared" si="5"/>
        <v>-10.736639383726528</v>
      </c>
      <c r="G38" s="73"/>
      <c r="H38" s="29"/>
      <c r="I38" s="29"/>
      <c r="J38" s="29"/>
      <c r="K38" s="57"/>
      <c r="L38" s="2"/>
    </row>
    <row r="39" spans="1:12">
      <c r="A39" s="26">
        <v>36203</v>
      </c>
      <c r="B39" s="255">
        <v>4518</v>
      </c>
      <c r="C39" s="255">
        <f t="shared" si="0"/>
        <v>7203</v>
      </c>
      <c r="D39" s="249">
        <f t="shared" si="3"/>
        <v>7735.2</v>
      </c>
      <c r="E39" s="249">
        <f t="shared" si="4"/>
        <v>-532.19999999999982</v>
      </c>
      <c r="F39" s="249">
        <f t="shared" si="5"/>
        <v>-6.8802358051504777</v>
      </c>
      <c r="G39" s="72"/>
      <c r="H39" s="28"/>
      <c r="I39" s="28"/>
      <c r="J39" s="28"/>
      <c r="K39" s="54"/>
      <c r="L39" s="2"/>
    </row>
    <row r="40" spans="1:12">
      <c r="A40" s="26">
        <v>36207</v>
      </c>
      <c r="B40" s="255">
        <v>7896</v>
      </c>
      <c r="C40" s="255">
        <f t="shared" si="0"/>
        <v>6207</v>
      </c>
      <c r="D40" s="249">
        <f t="shared" si="3"/>
        <v>8152.8</v>
      </c>
      <c r="E40" s="249">
        <f t="shared" si="4"/>
        <v>-1945.8000000000002</v>
      </c>
      <c r="F40" s="249">
        <f t="shared" si="5"/>
        <v>-23.866647041507214</v>
      </c>
      <c r="G40" s="72"/>
      <c r="H40" s="28"/>
      <c r="I40" s="28"/>
      <c r="J40" s="28"/>
      <c r="K40" s="54"/>
      <c r="L40" s="2"/>
    </row>
    <row r="41" spans="1:12">
      <c r="A41" s="27">
        <v>36208</v>
      </c>
      <c r="B41" s="257">
        <v>4872</v>
      </c>
      <c r="C41" s="257">
        <f t="shared" si="0"/>
        <v>6384</v>
      </c>
      <c r="D41" s="250">
        <f t="shared" si="3"/>
        <v>7906.8</v>
      </c>
      <c r="E41" s="250">
        <f t="shared" si="4"/>
        <v>-1522.8000000000002</v>
      </c>
      <c r="F41" s="250">
        <f t="shared" si="5"/>
        <v>-19.259371680072849</v>
      </c>
      <c r="G41" s="73"/>
      <c r="H41" s="29"/>
      <c r="I41" s="29"/>
      <c r="J41" s="29"/>
      <c r="K41" s="57"/>
      <c r="L41" s="2"/>
    </row>
    <row r="42" spans="1:12">
      <c r="A42" s="27">
        <v>36209</v>
      </c>
      <c r="B42" s="257">
        <v>11160</v>
      </c>
      <c r="C42" s="257">
        <f t="shared" si="0"/>
        <v>8016</v>
      </c>
      <c r="D42" s="250">
        <f t="shared" si="3"/>
        <v>7666.8</v>
      </c>
      <c r="E42" s="250">
        <f t="shared" si="4"/>
        <v>349.19999999999982</v>
      </c>
      <c r="F42" s="250">
        <f t="shared" si="5"/>
        <v>4.554703396462668</v>
      </c>
      <c r="G42" s="73"/>
      <c r="H42" s="29"/>
      <c r="I42" s="29"/>
      <c r="J42" s="29"/>
      <c r="K42" s="57"/>
      <c r="L42" s="2"/>
    </row>
    <row r="43" spans="1:12">
      <c r="A43" s="26">
        <v>36210</v>
      </c>
      <c r="B43" s="255">
        <v>13038</v>
      </c>
      <c r="C43" s="255">
        <f t="shared" si="0"/>
        <v>12099</v>
      </c>
      <c r="D43" s="249">
        <f t="shared" si="3"/>
        <v>8296.7999999999993</v>
      </c>
      <c r="E43" s="249">
        <f t="shared" si="4"/>
        <v>3802.2000000000007</v>
      </c>
      <c r="F43" s="249">
        <f t="shared" si="5"/>
        <v>45.827306913508835</v>
      </c>
      <c r="G43" s="72"/>
      <c r="H43" s="28"/>
      <c r="I43" s="28"/>
      <c r="J43" s="28"/>
      <c r="K43" s="54"/>
      <c r="L43" s="2"/>
    </row>
    <row r="44" spans="1:12">
      <c r="A44" s="26">
        <v>36213</v>
      </c>
      <c r="B44" s="255">
        <v>9888</v>
      </c>
      <c r="C44" s="255">
        <f t="shared" si="0"/>
        <v>11463</v>
      </c>
      <c r="D44" s="249">
        <f t="shared" si="3"/>
        <v>9370.7999999999993</v>
      </c>
      <c r="E44" s="249">
        <f t="shared" si="4"/>
        <v>2092.2000000000007</v>
      </c>
      <c r="F44" s="249">
        <f t="shared" si="5"/>
        <v>22.32680240747856</v>
      </c>
      <c r="G44" s="72"/>
      <c r="H44" s="28"/>
      <c r="I44" s="28"/>
      <c r="J44" s="28"/>
      <c r="K44" s="54"/>
      <c r="L44" s="2"/>
    </row>
    <row r="45" spans="1:12">
      <c r="A45" s="27">
        <v>36214</v>
      </c>
      <c r="B45" s="257">
        <v>20034</v>
      </c>
      <c r="C45" s="257">
        <f t="shared" si="0"/>
        <v>14961</v>
      </c>
      <c r="D45" s="250">
        <f t="shared" si="3"/>
        <v>11798.4</v>
      </c>
      <c r="E45" s="250">
        <f t="shared" si="4"/>
        <v>3162.6000000000004</v>
      </c>
      <c r="F45" s="250">
        <f t="shared" si="5"/>
        <v>26.805329536208305</v>
      </c>
      <c r="G45" s="73"/>
      <c r="H45" s="29"/>
      <c r="I45" s="29"/>
      <c r="J45" s="29"/>
      <c r="K45" s="57"/>
      <c r="L45" s="2"/>
    </row>
    <row r="46" spans="1:12">
      <c r="A46" s="27">
        <v>36215</v>
      </c>
      <c r="B46" s="257">
        <v>21444</v>
      </c>
      <c r="C46" s="257">
        <f t="shared" si="0"/>
        <v>20739</v>
      </c>
      <c r="D46" s="250">
        <f t="shared" si="3"/>
        <v>15112.8</v>
      </c>
      <c r="E46" s="250">
        <f t="shared" si="4"/>
        <v>5626.2000000000007</v>
      </c>
      <c r="F46" s="250">
        <f t="shared" si="5"/>
        <v>37.228045100841676</v>
      </c>
      <c r="G46" s="73"/>
      <c r="H46" s="29"/>
      <c r="I46" s="29"/>
      <c r="J46" s="29"/>
      <c r="K46" s="57"/>
      <c r="L46" s="2"/>
    </row>
    <row r="47" spans="1:12">
      <c r="A47" s="26">
        <v>36216</v>
      </c>
      <c r="B47" s="255">
        <v>21642</v>
      </c>
      <c r="C47" s="255">
        <f t="shared" si="0"/>
        <v>21543</v>
      </c>
      <c r="D47" s="249">
        <f t="shared" si="3"/>
        <v>17209.2</v>
      </c>
      <c r="E47" s="249">
        <f t="shared" si="4"/>
        <v>4333.7999999999993</v>
      </c>
      <c r="F47" s="249">
        <f t="shared" si="5"/>
        <v>25.18304162889617</v>
      </c>
      <c r="G47" s="72"/>
      <c r="H47" s="28"/>
      <c r="I47" s="28"/>
      <c r="J47" s="28"/>
      <c r="K47" s="54"/>
      <c r="L47" s="2"/>
    </row>
    <row r="48" spans="1:12">
      <c r="A48" s="26">
        <v>36217</v>
      </c>
      <c r="B48" s="255">
        <v>19584</v>
      </c>
      <c r="C48" s="255">
        <f t="shared" si="0"/>
        <v>20613</v>
      </c>
      <c r="D48" s="249">
        <f t="shared" si="3"/>
        <v>18518.400000000001</v>
      </c>
      <c r="E48" s="249">
        <f t="shared" si="4"/>
        <v>2094.5999999999985</v>
      </c>
      <c r="F48" s="249">
        <f t="shared" si="5"/>
        <v>11.310912389839286</v>
      </c>
      <c r="G48" s="72"/>
      <c r="H48" s="28"/>
      <c r="I48" s="28"/>
      <c r="J48" s="28"/>
      <c r="K48" s="54"/>
      <c r="L48" s="2"/>
    </row>
    <row r="49" spans="1:12">
      <c r="A49" s="27">
        <v>36220</v>
      </c>
      <c r="B49" s="257">
        <v>13050</v>
      </c>
      <c r="C49" s="257">
        <f t="shared" si="0"/>
        <v>16317</v>
      </c>
      <c r="D49" s="250">
        <f t="shared" si="3"/>
        <v>19150.8</v>
      </c>
      <c r="E49" s="250">
        <f t="shared" si="4"/>
        <v>-2833.7999999999993</v>
      </c>
      <c r="F49" s="250">
        <f t="shared" si="5"/>
        <v>-14.797293063475154</v>
      </c>
      <c r="G49" s="73"/>
      <c r="H49" s="29"/>
      <c r="I49" s="29"/>
      <c r="J49" s="29"/>
      <c r="K49" s="57"/>
      <c r="L49" s="2"/>
    </row>
    <row r="50" spans="1:12">
      <c r="A50" s="27">
        <v>36221</v>
      </c>
      <c r="B50" s="257">
        <v>23442</v>
      </c>
      <c r="C50" s="257">
        <f t="shared" si="0"/>
        <v>18246</v>
      </c>
      <c r="D50" s="250">
        <f t="shared" si="3"/>
        <v>19832.400000000001</v>
      </c>
      <c r="E50" s="250">
        <f t="shared" si="4"/>
        <v>-1586.4000000000015</v>
      </c>
      <c r="F50" s="250">
        <f t="shared" si="5"/>
        <v>-7.9990318872148674</v>
      </c>
      <c r="G50" s="73"/>
      <c r="H50" s="29"/>
      <c r="I50" s="29"/>
      <c r="J50" s="29"/>
      <c r="K50" s="57"/>
      <c r="L50" s="2"/>
    </row>
    <row r="51" spans="1:12">
      <c r="A51" s="26">
        <v>36222</v>
      </c>
      <c r="B51" s="255">
        <v>21204</v>
      </c>
      <c r="C51" s="255">
        <f t="shared" si="0"/>
        <v>22323</v>
      </c>
      <c r="D51" s="249">
        <f t="shared" si="3"/>
        <v>19784.400000000001</v>
      </c>
      <c r="E51" s="249">
        <f t="shared" si="4"/>
        <v>2538.5999999999985</v>
      </c>
      <c r="F51" s="249">
        <f t="shared" si="5"/>
        <v>12.831321647358518</v>
      </c>
      <c r="G51" s="72"/>
      <c r="H51" s="28"/>
      <c r="I51" s="28"/>
      <c r="J51" s="28"/>
      <c r="K51" s="54"/>
      <c r="L51" s="2"/>
    </row>
    <row r="52" spans="1:12">
      <c r="A52" s="26">
        <v>36223</v>
      </c>
      <c r="B52" s="255">
        <v>18096</v>
      </c>
      <c r="C52" s="255">
        <f t="shared" si="0"/>
        <v>19650</v>
      </c>
      <c r="D52" s="249">
        <f t="shared" si="3"/>
        <v>19075.2</v>
      </c>
      <c r="E52" s="249">
        <f t="shared" si="4"/>
        <v>574.79999999999927</v>
      </c>
      <c r="F52" s="249">
        <f t="shared" si="5"/>
        <v>3.0133366884750838</v>
      </c>
      <c r="G52" s="72"/>
      <c r="H52" s="28"/>
      <c r="I52" s="28"/>
      <c r="J52" s="28"/>
      <c r="K52" s="54"/>
      <c r="L52" s="2"/>
    </row>
    <row r="53" spans="1:12">
      <c r="A53" s="27">
        <v>36224</v>
      </c>
      <c r="B53" s="257">
        <v>16356</v>
      </c>
      <c r="C53" s="257">
        <f t="shared" si="0"/>
        <v>17226</v>
      </c>
      <c r="D53" s="250">
        <f t="shared" si="3"/>
        <v>18429.599999999999</v>
      </c>
      <c r="E53" s="250">
        <f t="shared" si="4"/>
        <v>-1203.5999999999985</v>
      </c>
      <c r="F53" s="250">
        <f t="shared" si="5"/>
        <v>-6.5307982810261676</v>
      </c>
      <c r="G53" s="73"/>
      <c r="H53" s="29"/>
      <c r="I53" s="29"/>
      <c r="J53" s="29"/>
      <c r="K53" s="57"/>
      <c r="L53" s="2"/>
    </row>
    <row r="54" spans="1:12">
      <c r="A54" s="27">
        <v>36227</v>
      </c>
      <c r="B54" s="257">
        <v>26352</v>
      </c>
      <c r="C54" s="257">
        <f t="shared" si="0"/>
        <v>21354</v>
      </c>
      <c r="D54" s="250">
        <f t="shared" si="3"/>
        <v>21090</v>
      </c>
      <c r="E54" s="250">
        <f t="shared" si="4"/>
        <v>264</v>
      </c>
      <c r="F54" s="250">
        <f t="shared" si="5"/>
        <v>1.2517780938833571</v>
      </c>
      <c r="G54" s="73"/>
      <c r="H54" s="29"/>
      <c r="I54" s="29"/>
      <c r="J54" s="29"/>
      <c r="K54" s="57"/>
      <c r="L54" s="2"/>
    </row>
    <row r="55" spans="1:12">
      <c r="A55" s="26">
        <v>36228</v>
      </c>
      <c r="B55" s="255">
        <v>22242</v>
      </c>
      <c r="C55" s="255">
        <f t="shared" si="0"/>
        <v>24297</v>
      </c>
      <c r="D55" s="249">
        <f t="shared" si="3"/>
        <v>20850</v>
      </c>
      <c r="E55" s="249">
        <f t="shared" si="4"/>
        <v>3447</v>
      </c>
      <c r="F55" s="249">
        <f t="shared" si="5"/>
        <v>16.532374100719423</v>
      </c>
      <c r="G55" s="72"/>
      <c r="H55" s="28"/>
      <c r="I55" s="28"/>
      <c r="J55" s="28"/>
      <c r="K55" s="54"/>
      <c r="L55" s="2"/>
    </row>
    <row r="56" spans="1:12">
      <c r="A56" s="26">
        <v>36229</v>
      </c>
      <c r="B56" s="255">
        <v>12312</v>
      </c>
      <c r="C56" s="255">
        <f t="shared" si="0"/>
        <v>17277</v>
      </c>
      <c r="D56" s="249">
        <f t="shared" si="3"/>
        <v>19071.599999999999</v>
      </c>
      <c r="E56" s="249">
        <f t="shared" si="4"/>
        <v>-1794.5999999999985</v>
      </c>
      <c r="F56" s="249">
        <f t="shared" si="5"/>
        <v>-9.4098030579500342</v>
      </c>
      <c r="G56" s="72"/>
      <c r="H56" s="28"/>
      <c r="I56" s="28"/>
      <c r="J56" s="28"/>
      <c r="K56" s="54"/>
      <c r="L56" s="2"/>
    </row>
    <row r="57" spans="1:12">
      <c r="A57" s="27">
        <v>36230</v>
      </c>
      <c r="B57" s="257">
        <v>14832</v>
      </c>
      <c r="C57" s="257">
        <f t="shared" si="0"/>
        <v>13572</v>
      </c>
      <c r="D57" s="250">
        <f t="shared" si="3"/>
        <v>18418.8</v>
      </c>
      <c r="E57" s="250">
        <f t="shared" si="4"/>
        <v>-4846.7999999999993</v>
      </c>
      <c r="F57" s="250">
        <f t="shared" si="5"/>
        <v>-26.314417877386148</v>
      </c>
      <c r="G57" s="73"/>
      <c r="H57" s="29"/>
      <c r="I57" s="29"/>
      <c r="J57" s="29"/>
      <c r="K57" s="57"/>
      <c r="L57" s="2"/>
    </row>
    <row r="58" spans="1:12">
      <c r="A58" s="27">
        <v>36231</v>
      </c>
      <c r="B58" s="257">
        <v>11316</v>
      </c>
      <c r="C58" s="257">
        <f t="shared" si="0"/>
        <v>13074</v>
      </c>
      <c r="D58" s="250">
        <f t="shared" si="3"/>
        <v>17410.8</v>
      </c>
      <c r="E58" s="250">
        <f t="shared" si="4"/>
        <v>-4336.7999999999993</v>
      </c>
      <c r="F58" s="250">
        <f t="shared" si="5"/>
        <v>-24.908677372665238</v>
      </c>
      <c r="G58" s="73"/>
      <c r="H58" s="29"/>
      <c r="I58" s="29"/>
      <c r="J58" s="29"/>
      <c r="K58" s="57"/>
      <c r="L58" s="2"/>
    </row>
    <row r="59" spans="1:12">
      <c r="A59" s="26">
        <v>36234</v>
      </c>
      <c r="B59" s="255">
        <v>16944</v>
      </c>
      <c r="C59" s="255">
        <f t="shared" si="0"/>
        <v>14130</v>
      </c>
      <c r="D59" s="249">
        <f t="shared" si="3"/>
        <v>15529.2</v>
      </c>
      <c r="E59" s="249">
        <f t="shared" si="4"/>
        <v>-1399.2000000000007</v>
      </c>
      <c r="F59" s="249">
        <f t="shared" si="5"/>
        <v>-9.0101228653118035</v>
      </c>
      <c r="G59" s="72"/>
      <c r="H59" s="28"/>
      <c r="I59" s="28"/>
      <c r="J59" s="28"/>
      <c r="K59" s="54"/>
      <c r="L59" s="2"/>
    </row>
    <row r="60" spans="1:12">
      <c r="A60" s="26">
        <v>36235</v>
      </c>
      <c r="B60" s="255">
        <v>21474</v>
      </c>
      <c r="C60" s="255">
        <f t="shared" si="0"/>
        <v>19209</v>
      </c>
      <c r="D60" s="249">
        <f t="shared" si="3"/>
        <v>15375.6</v>
      </c>
      <c r="E60" s="249">
        <f t="shared" si="4"/>
        <v>3833.3999999999996</v>
      </c>
      <c r="F60" s="249">
        <f t="shared" si="5"/>
        <v>24.931709982049476</v>
      </c>
      <c r="G60" s="72"/>
      <c r="H60" s="28"/>
      <c r="I60" s="28"/>
      <c r="J60" s="28"/>
      <c r="K60" s="54"/>
      <c r="L60" s="2"/>
    </row>
    <row r="61" spans="1:12">
      <c r="A61" s="27">
        <v>36236</v>
      </c>
      <c r="B61" s="257">
        <v>14484</v>
      </c>
      <c r="C61" s="257">
        <f t="shared" si="0"/>
        <v>17979</v>
      </c>
      <c r="D61" s="250">
        <f t="shared" si="3"/>
        <v>15810</v>
      </c>
      <c r="E61" s="250">
        <f t="shared" si="4"/>
        <v>2169</v>
      </c>
      <c r="F61" s="250">
        <f t="shared" si="5"/>
        <v>13.719165085388992</v>
      </c>
      <c r="G61" s="73"/>
      <c r="H61" s="29"/>
      <c r="I61" s="29"/>
      <c r="J61" s="29"/>
      <c r="K61" s="57"/>
      <c r="L61" s="2"/>
    </row>
    <row r="62" spans="1:12">
      <c r="A62" s="27">
        <v>36237</v>
      </c>
      <c r="B62" s="257">
        <v>30672</v>
      </c>
      <c r="C62" s="257">
        <f t="shared" si="0"/>
        <v>22578</v>
      </c>
      <c r="D62" s="250">
        <f t="shared" si="3"/>
        <v>18978</v>
      </c>
      <c r="E62" s="250">
        <f t="shared" si="4"/>
        <v>3600</v>
      </c>
      <c r="F62" s="250">
        <f t="shared" si="5"/>
        <v>18.969332911792602</v>
      </c>
      <c r="G62" s="73"/>
      <c r="H62" s="29"/>
      <c r="I62" s="29"/>
      <c r="J62" s="29"/>
      <c r="K62" s="57"/>
      <c r="L62" s="2"/>
    </row>
    <row r="63" spans="1:12">
      <c r="A63" s="26">
        <v>36238</v>
      </c>
      <c r="B63" s="255">
        <v>11436</v>
      </c>
      <c r="C63" s="255">
        <f t="shared" si="0"/>
        <v>21054</v>
      </c>
      <c r="D63" s="249">
        <f t="shared" si="3"/>
        <v>19002</v>
      </c>
      <c r="E63" s="249">
        <f t="shared" si="4"/>
        <v>2052</v>
      </c>
      <c r="F63" s="249">
        <f t="shared" si="5"/>
        <v>10.798863277549732</v>
      </c>
      <c r="G63" s="72"/>
      <c r="H63" s="28"/>
      <c r="I63" s="28"/>
      <c r="J63" s="28"/>
      <c r="K63" s="54"/>
      <c r="L63" s="2"/>
    </row>
    <row r="64" spans="1:12">
      <c r="A64" s="26">
        <v>36241</v>
      </c>
      <c r="B64" s="255">
        <v>10848</v>
      </c>
      <c r="C64" s="255">
        <f t="shared" si="0"/>
        <v>11142</v>
      </c>
      <c r="D64" s="249">
        <f t="shared" si="3"/>
        <v>17782.8</v>
      </c>
      <c r="E64" s="249">
        <f t="shared" si="4"/>
        <v>-6640.7999999999993</v>
      </c>
      <c r="F64" s="249">
        <f t="shared" si="5"/>
        <v>-37.343950334030637</v>
      </c>
      <c r="G64" s="72"/>
      <c r="H64" s="28"/>
      <c r="I64" s="28"/>
      <c r="J64" s="28"/>
      <c r="K64" s="54"/>
      <c r="L64" s="2"/>
    </row>
    <row r="65" spans="1:12">
      <c r="A65" s="2"/>
      <c r="G65" s="2"/>
      <c r="L65" s="2"/>
    </row>
    <row r="66" spans="1:12">
      <c r="A66" s="2"/>
      <c r="G66" s="2"/>
      <c r="L66" s="2"/>
    </row>
    <row r="67" spans="1:12" ht="15">
      <c r="A67" s="241" t="s">
        <v>696</v>
      </c>
      <c r="G67" s="2"/>
      <c r="L67" s="2"/>
    </row>
    <row r="68" spans="1:12" ht="15">
      <c r="A68" s="241" t="s">
        <v>697</v>
      </c>
      <c r="G68" s="2"/>
      <c r="L68" s="2"/>
    </row>
    <row r="69" spans="1:12" ht="15">
      <c r="A69" s="241" t="s">
        <v>698</v>
      </c>
      <c r="G69" s="2"/>
      <c r="L69" s="2"/>
    </row>
    <row r="70" spans="1:12" ht="15">
      <c r="A70" s="241" t="s">
        <v>699</v>
      </c>
      <c r="G70" s="2"/>
      <c r="L70" s="2"/>
    </row>
    <row r="71" spans="1:12">
      <c r="A71" s="2"/>
      <c r="G71" s="2"/>
      <c r="L71" s="2"/>
    </row>
    <row r="72" spans="1:12">
      <c r="A72" s="2"/>
      <c r="G72" s="2"/>
      <c r="L72" s="2"/>
    </row>
    <row r="73" spans="1:12">
      <c r="A73" s="2"/>
      <c r="G73" s="2"/>
      <c r="L73" s="2"/>
    </row>
    <row r="74" spans="1:12">
      <c r="A74" s="2"/>
      <c r="G74" s="2"/>
      <c r="L74" s="2"/>
    </row>
    <row r="75" spans="1:12">
      <c r="A75" s="2"/>
      <c r="G75" s="2"/>
      <c r="L75" s="2"/>
    </row>
    <row r="76" spans="1:12">
      <c r="A76" s="2"/>
      <c r="G76" s="2"/>
      <c r="L76" s="2"/>
    </row>
    <row r="77" spans="1:12">
      <c r="A77" s="2"/>
      <c r="G77" s="2"/>
      <c r="L77" s="2"/>
    </row>
    <row r="78" spans="1:12">
      <c r="A78" s="2"/>
      <c r="G78" s="2"/>
      <c r="L78" s="2"/>
    </row>
    <row r="79" spans="1:12">
      <c r="L79" s="2"/>
    </row>
    <row r="80" spans="1:12">
      <c r="L80" s="2"/>
    </row>
    <row r="81" spans="12:12">
      <c r="L81" s="2"/>
    </row>
    <row r="82" spans="12:12">
      <c r="L82" s="2"/>
    </row>
    <row r="83" spans="12:12">
      <c r="L83" s="2"/>
    </row>
    <row r="84" spans="12:12">
      <c r="L84" s="2"/>
    </row>
    <row r="85" spans="12:12">
      <c r="L85" s="2"/>
    </row>
    <row r="86" spans="12:12">
      <c r="L86" s="2"/>
    </row>
    <row r="87" spans="12:12">
      <c r="L87" s="2"/>
    </row>
    <row r="88" spans="12:12">
      <c r="L88" s="2"/>
    </row>
    <row r="89" spans="12:12">
      <c r="L89" s="2"/>
    </row>
    <row r="90" spans="12:12">
      <c r="L90" s="2"/>
    </row>
    <row r="91" spans="12:12">
      <c r="L91" s="2"/>
    </row>
    <row r="92" spans="12:12">
      <c r="L92" s="2"/>
    </row>
    <row r="93" spans="12:12">
      <c r="L93" s="2"/>
    </row>
    <row r="94" spans="12:12">
      <c r="L94" s="2"/>
    </row>
    <row r="95" spans="12:12">
      <c r="L95" s="2"/>
    </row>
    <row r="96" spans="12:12">
      <c r="L96" s="2"/>
    </row>
    <row r="97" spans="12:12">
      <c r="L97" s="2"/>
    </row>
    <row r="98" spans="12:12">
      <c r="L98" s="2"/>
    </row>
    <row r="99" spans="12:12">
      <c r="L99" s="2"/>
    </row>
    <row r="100" spans="12:12">
      <c r="L100" s="2"/>
    </row>
    <row r="101" spans="12:12">
      <c r="L101" s="2"/>
    </row>
    <row r="102" spans="12:12">
      <c r="L102" s="2"/>
    </row>
    <row r="103" spans="12:12">
      <c r="L103" s="2"/>
    </row>
    <row r="104" spans="12:12">
      <c r="L104" s="2"/>
    </row>
    <row r="105" spans="12:12">
      <c r="L105" s="2"/>
    </row>
    <row r="106" spans="12:12">
      <c r="L106" s="2"/>
    </row>
    <row r="107" spans="12:12">
      <c r="L107" s="2"/>
    </row>
    <row r="108" spans="12:12">
      <c r="L108" s="2"/>
    </row>
    <row r="109" spans="12:12">
      <c r="L109" s="2"/>
    </row>
    <row r="110" spans="12:12">
      <c r="L110" s="2"/>
    </row>
    <row r="111" spans="12:12">
      <c r="L111" s="2"/>
    </row>
    <row r="112" spans="12:12">
      <c r="L112" s="2"/>
    </row>
    <row r="113" spans="12:12">
      <c r="L113" s="2"/>
    </row>
    <row r="114" spans="12:12">
      <c r="L114" s="2"/>
    </row>
    <row r="115" spans="12:12">
      <c r="L115" s="2"/>
    </row>
    <row r="116" spans="12:12">
      <c r="L116" s="2"/>
    </row>
    <row r="117" spans="12:12">
      <c r="L117" s="2"/>
    </row>
    <row r="118" spans="12:12">
      <c r="L118" s="2"/>
    </row>
    <row r="119" spans="12:12">
      <c r="L119" s="2"/>
    </row>
    <row r="120" spans="12:12">
      <c r="L120" s="2"/>
    </row>
    <row r="121" spans="12:12">
      <c r="L121" s="2"/>
    </row>
    <row r="122" spans="12:12">
      <c r="L122" s="2"/>
    </row>
    <row r="123" spans="12:12">
      <c r="L123" s="2"/>
    </row>
    <row r="124" spans="12:12">
      <c r="L124" s="2"/>
    </row>
    <row r="125" spans="12:12">
      <c r="L125" s="2"/>
    </row>
    <row r="126" spans="12:12">
      <c r="L126" s="2"/>
    </row>
    <row r="127" spans="12:12">
      <c r="L127" s="2"/>
    </row>
    <row r="128" spans="12:12">
      <c r="L128" s="2"/>
    </row>
    <row r="129" spans="12:12">
      <c r="L129" s="2"/>
    </row>
    <row r="130" spans="12:12">
      <c r="L130" s="2"/>
    </row>
    <row r="131" spans="12:12">
      <c r="L131" s="2"/>
    </row>
    <row r="132" spans="12:12">
      <c r="L132" s="2"/>
    </row>
    <row r="133" spans="12:12">
      <c r="L133" s="2"/>
    </row>
    <row r="134" spans="12:12">
      <c r="L134" s="2"/>
    </row>
    <row r="135" spans="12:12">
      <c r="L135" s="2"/>
    </row>
    <row r="136" spans="12:12">
      <c r="L136" s="2"/>
    </row>
    <row r="137" spans="12:12">
      <c r="L137" s="2"/>
    </row>
    <row r="138" spans="12:12">
      <c r="L138" s="2"/>
    </row>
    <row r="139" spans="12:12">
      <c r="L139" s="2"/>
    </row>
    <row r="140" spans="12:12">
      <c r="L140" s="2"/>
    </row>
    <row r="141" spans="12:12">
      <c r="L141" s="2"/>
    </row>
    <row r="142" spans="12:12">
      <c r="L142" s="2"/>
    </row>
    <row r="143" spans="12:12">
      <c r="L143" s="2"/>
    </row>
    <row r="144" spans="12:12">
      <c r="L144" s="2"/>
    </row>
    <row r="145" spans="12:12">
      <c r="L145" s="2"/>
    </row>
    <row r="146" spans="12:12">
      <c r="L146" s="2"/>
    </row>
    <row r="147" spans="12:12">
      <c r="L147" s="2"/>
    </row>
    <row r="148" spans="12:12">
      <c r="L148" s="2"/>
    </row>
    <row r="149" spans="12:12">
      <c r="L149" s="2"/>
    </row>
    <row r="150" spans="12:12">
      <c r="L150" s="2"/>
    </row>
    <row r="151" spans="12:12">
      <c r="L151" s="2"/>
    </row>
    <row r="152" spans="12:12">
      <c r="L152" s="2"/>
    </row>
    <row r="153" spans="12:12">
      <c r="L153" s="2"/>
    </row>
    <row r="154" spans="12:12">
      <c r="L154" s="2"/>
    </row>
    <row r="155" spans="12:12">
      <c r="L155" s="2"/>
    </row>
    <row r="156" spans="12:12">
      <c r="L156" s="2"/>
    </row>
    <row r="157" spans="12:12">
      <c r="L157" s="2"/>
    </row>
    <row r="158" spans="12:12">
      <c r="L158" s="2"/>
    </row>
    <row r="159" spans="12:12">
      <c r="L159" s="2"/>
    </row>
    <row r="160" spans="12:12">
      <c r="L160" s="2"/>
    </row>
    <row r="161" spans="12:12">
      <c r="L161" s="2"/>
    </row>
    <row r="162" spans="12:12">
      <c r="L162" s="2"/>
    </row>
    <row r="163" spans="12:12">
      <c r="L163" s="2"/>
    </row>
    <row r="164" spans="12:12">
      <c r="L164" s="2"/>
    </row>
    <row r="165" spans="12:12">
      <c r="L165" s="2"/>
    </row>
    <row r="166" spans="12:12">
      <c r="L166" s="2"/>
    </row>
    <row r="167" spans="12:12">
      <c r="L167" s="2"/>
    </row>
    <row r="168" spans="12:12">
      <c r="L168" s="2"/>
    </row>
    <row r="169" spans="12:12">
      <c r="L169" s="2"/>
    </row>
    <row r="170" spans="12:12">
      <c r="L170" s="2"/>
    </row>
    <row r="171" spans="12:12">
      <c r="L171" s="2"/>
    </row>
    <row r="172" spans="12:12">
      <c r="L172" s="2"/>
    </row>
    <row r="173" spans="12:12">
      <c r="L173" s="2"/>
    </row>
    <row r="174" spans="12:12">
      <c r="L174" s="2"/>
    </row>
    <row r="175" spans="12:12">
      <c r="L175" s="2"/>
    </row>
    <row r="176" spans="12:12">
      <c r="L176" s="2"/>
    </row>
    <row r="177" spans="12:12">
      <c r="L177" s="2"/>
    </row>
    <row r="178" spans="12:12">
      <c r="L178" s="2"/>
    </row>
    <row r="179" spans="12:12">
      <c r="L179" s="2"/>
    </row>
    <row r="180" spans="12:12">
      <c r="L180" s="2"/>
    </row>
    <row r="181" spans="12:12">
      <c r="L181" s="2"/>
    </row>
    <row r="182" spans="12:12">
      <c r="L182" s="2"/>
    </row>
    <row r="183" spans="12:12">
      <c r="L183" s="2"/>
    </row>
    <row r="184" spans="12:12">
      <c r="L184" s="2"/>
    </row>
    <row r="185" spans="12:12">
      <c r="L185" s="2"/>
    </row>
    <row r="186" spans="12:12">
      <c r="L186" s="2"/>
    </row>
    <row r="187" spans="12:12">
      <c r="L187" s="2"/>
    </row>
    <row r="188" spans="12:12">
      <c r="L188" s="2"/>
    </row>
    <row r="189" spans="12:12">
      <c r="L189" s="2"/>
    </row>
    <row r="190" spans="12:12">
      <c r="L190" s="2"/>
    </row>
    <row r="191" spans="12:12">
      <c r="L191" s="2"/>
    </row>
    <row r="192" spans="12:12">
      <c r="L192" s="2"/>
    </row>
    <row r="193" spans="12:12">
      <c r="L193" s="2"/>
    </row>
    <row r="194" spans="12:12">
      <c r="L194" s="2"/>
    </row>
    <row r="195" spans="12:12">
      <c r="L195" s="2"/>
    </row>
    <row r="196" spans="12:12">
      <c r="L196" s="2"/>
    </row>
    <row r="197" spans="12:12">
      <c r="L197" s="2"/>
    </row>
    <row r="198" spans="12:12">
      <c r="L198" s="2"/>
    </row>
    <row r="199" spans="12:12">
      <c r="L199" s="2"/>
    </row>
    <row r="200" spans="12:12">
      <c r="L200" s="2"/>
    </row>
    <row r="201" spans="12:12">
      <c r="L201" s="2"/>
    </row>
    <row r="202" spans="12:12">
      <c r="L202" s="2"/>
    </row>
    <row r="203" spans="12:12">
      <c r="L203" s="2"/>
    </row>
    <row r="204" spans="12:12">
      <c r="L204" s="2"/>
    </row>
    <row r="205" spans="12:12">
      <c r="L205" s="2"/>
    </row>
    <row r="206" spans="12:12">
      <c r="L206" s="2"/>
    </row>
    <row r="207" spans="12:12">
      <c r="L207" s="2"/>
    </row>
    <row r="208" spans="12:12">
      <c r="L208" s="2"/>
    </row>
    <row r="209" spans="12:12">
      <c r="L209" s="2"/>
    </row>
    <row r="210" spans="12:12">
      <c r="L210" s="2"/>
    </row>
    <row r="211" spans="12:12">
      <c r="L211" s="2"/>
    </row>
    <row r="212" spans="12:12">
      <c r="L212" s="2"/>
    </row>
    <row r="213" spans="12:12">
      <c r="L213" s="2"/>
    </row>
    <row r="214" spans="12:12">
      <c r="L214" s="2"/>
    </row>
    <row r="215" spans="12:12">
      <c r="L215" s="2"/>
    </row>
    <row r="216" spans="12:12">
      <c r="L216" s="2"/>
    </row>
    <row r="217" spans="12:12">
      <c r="L217" s="2"/>
    </row>
    <row r="218" spans="12:12">
      <c r="L218" s="2"/>
    </row>
    <row r="219" spans="12:12">
      <c r="L219" s="2"/>
    </row>
    <row r="220" spans="12:12">
      <c r="L220" s="2"/>
    </row>
    <row r="221" spans="12:12">
      <c r="L221" s="2"/>
    </row>
    <row r="222" spans="12:12">
      <c r="L222" s="2"/>
    </row>
    <row r="223" spans="12:12">
      <c r="L223" s="2"/>
    </row>
    <row r="224" spans="12:12">
      <c r="L224" s="2"/>
    </row>
    <row r="225" spans="12:12">
      <c r="L225" s="2"/>
    </row>
    <row r="226" spans="12:12">
      <c r="L226" s="2"/>
    </row>
    <row r="227" spans="12:12">
      <c r="L227" s="2"/>
    </row>
    <row r="228" spans="12:12">
      <c r="L228" s="2"/>
    </row>
    <row r="229" spans="12:12">
      <c r="L229" s="2"/>
    </row>
    <row r="230" spans="12:12">
      <c r="L230" s="2"/>
    </row>
    <row r="231" spans="12:12">
      <c r="L231" s="2"/>
    </row>
    <row r="232" spans="12:12">
      <c r="L232" s="2"/>
    </row>
    <row r="233" spans="12:12">
      <c r="L233" s="2"/>
    </row>
    <row r="234" spans="12:12">
      <c r="L234" s="2"/>
    </row>
    <row r="235" spans="12:12">
      <c r="L235" s="2"/>
    </row>
    <row r="236" spans="12:12">
      <c r="L236" s="2"/>
    </row>
    <row r="237" spans="12:12">
      <c r="L237" s="2"/>
    </row>
    <row r="238" spans="12:12">
      <c r="L238" s="2"/>
    </row>
    <row r="239" spans="12:12">
      <c r="L239" s="2"/>
    </row>
    <row r="240" spans="12:12">
      <c r="L240" s="2"/>
    </row>
    <row r="241" spans="12:12">
      <c r="L241" s="2"/>
    </row>
    <row r="242" spans="12:12">
      <c r="L242" s="2"/>
    </row>
    <row r="243" spans="12:12">
      <c r="L243" s="2"/>
    </row>
    <row r="244" spans="12:12">
      <c r="L244" s="2"/>
    </row>
    <row r="245" spans="12:12">
      <c r="L245" s="2"/>
    </row>
    <row r="246" spans="12:12">
      <c r="L246" s="2"/>
    </row>
    <row r="247" spans="12:12">
      <c r="L247" s="2"/>
    </row>
    <row r="248" spans="12:12">
      <c r="L248" s="2"/>
    </row>
    <row r="249" spans="12:12">
      <c r="L249" s="2"/>
    </row>
    <row r="250" spans="12:12">
      <c r="L250" s="2"/>
    </row>
    <row r="251" spans="12:12">
      <c r="L251" s="2"/>
    </row>
    <row r="252" spans="12:12">
      <c r="L252" s="2"/>
    </row>
    <row r="253" spans="12:12">
      <c r="L253" s="2"/>
    </row>
    <row r="254" spans="12:12">
      <c r="L254" s="2"/>
    </row>
    <row r="255" spans="12:12">
      <c r="L255" s="2"/>
    </row>
    <row r="256" spans="12:12">
      <c r="L256" s="2"/>
    </row>
    <row r="257" spans="12:12">
      <c r="L257" s="2"/>
    </row>
    <row r="258" spans="12:12">
      <c r="L258" s="2"/>
    </row>
    <row r="259" spans="12:12">
      <c r="L259" s="2"/>
    </row>
    <row r="260" spans="12:12">
      <c r="L260" s="2"/>
    </row>
    <row r="261" spans="12:12">
      <c r="L261" s="2"/>
    </row>
    <row r="262" spans="12:12">
      <c r="L262" s="2"/>
    </row>
    <row r="263" spans="12:12">
      <c r="L263" s="2"/>
    </row>
    <row r="264" spans="12:12">
      <c r="L264" s="2"/>
    </row>
    <row r="265" spans="12:12">
      <c r="L265" s="2"/>
    </row>
    <row r="266" spans="12:12">
      <c r="L266" s="2"/>
    </row>
    <row r="267" spans="12:12">
      <c r="L267" s="2"/>
    </row>
    <row r="268" spans="12:12">
      <c r="L268" s="2"/>
    </row>
    <row r="269" spans="12:12">
      <c r="L269" s="2"/>
    </row>
    <row r="270" spans="12:12">
      <c r="L270" s="2"/>
    </row>
    <row r="271" spans="12:12">
      <c r="L271" s="2"/>
    </row>
    <row r="272" spans="12:12">
      <c r="L272" s="2"/>
    </row>
    <row r="273" spans="12:12">
      <c r="L273" s="2"/>
    </row>
    <row r="274" spans="12:12">
      <c r="L274" s="2"/>
    </row>
    <row r="275" spans="12:12">
      <c r="L275" s="2"/>
    </row>
    <row r="276" spans="12:12">
      <c r="L276" s="2"/>
    </row>
    <row r="277" spans="12:12">
      <c r="L277" s="2"/>
    </row>
    <row r="278" spans="12:12">
      <c r="L278" s="2"/>
    </row>
    <row r="279" spans="12:12">
      <c r="L279" s="2"/>
    </row>
    <row r="280" spans="12:12">
      <c r="L280" s="2"/>
    </row>
    <row r="281" spans="12:12">
      <c r="L281" s="2"/>
    </row>
    <row r="282" spans="12:12">
      <c r="L282" s="2"/>
    </row>
    <row r="283" spans="12:12">
      <c r="L283" s="2"/>
    </row>
    <row r="284" spans="12:12">
      <c r="L284" s="2"/>
    </row>
    <row r="285" spans="12:12">
      <c r="L285" s="2"/>
    </row>
    <row r="286" spans="12:12">
      <c r="L286" s="2"/>
    </row>
    <row r="287" spans="12:12">
      <c r="L287" s="2"/>
    </row>
    <row r="288" spans="12:12">
      <c r="L288" s="2"/>
    </row>
    <row r="289" spans="12:12">
      <c r="L289" s="2"/>
    </row>
    <row r="290" spans="12:12">
      <c r="L290" s="2"/>
    </row>
    <row r="291" spans="12:12">
      <c r="L291" s="2"/>
    </row>
    <row r="292" spans="12:12">
      <c r="L292" s="2"/>
    </row>
    <row r="293" spans="12:12">
      <c r="L293" s="2"/>
    </row>
    <row r="294" spans="12:12">
      <c r="L294" s="2"/>
    </row>
    <row r="295" spans="12:12">
      <c r="L295" s="2"/>
    </row>
    <row r="296" spans="12:12">
      <c r="L296" s="2"/>
    </row>
    <row r="297" spans="12:12">
      <c r="L297" s="2"/>
    </row>
    <row r="298" spans="12:12">
      <c r="L298" s="2"/>
    </row>
    <row r="299" spans="12:12">
      <c r="L299" s="2"/>
    </row>
    <row r="300" spans="12:12">
      <c r="L300" s="2"/>
    </row>
    <row r="301" spans="12:12">
      <c r="L301" s="2"/>
    </row>
    <row r="302" spans="12:12">
      <c r="L302" s="2"/>
    </row>
    <row r="303" spans="12:12">
      <c r="L303" s="2"/>
    </row>
    <row r="304" spans="12:12">
      <c r="L304" s="2"/>
    </row>
    <row r="305" spans="12:12">
      <c r="L305" s="2"/>
    </row>
    <row r="306" spans="12:12">
      <c r="L306" s="2"/>
    </row>
    <row r="307" spans="12:12">
      <c r="L307" s="2"/>
    </row>
    <row r="308" spans="12:12">
      <c r="L308" s="2"/>
    </row>
    <row r="309" spans="12:12">
      <c r="L309" s="2"/>
    </row>
    <row r="310" spans="12:12">
      <c r="L310" s="2"/>
    </row>
    <row r="311" spans="12:12">
      <c r="L311" s="2"/>
    </row>
    <row r="312" spans="12:12">
      <c r="L312" s="2"/>
    </row>
    <row r="313" spans="12:12">
      <c r="L313" s="2"/>
    </row>
    <row r="314" spans="12:12">
      <c r="L314" s="2"/>
    </row>
    <row r="315" spans="12:12">
      <c r="L315" s="2"/>
    </row>
    <row r="316" spans="12:12">
      <c r="L316" s="2"/>
    </row>
    <row r="317" spans="12:12">
      <c r="L317" s="2"/>
    </row>
    <row r="318" spans="12:12">
      <c r="L318" s="2"/>
    </row>
    <row r="319" spans="12:12">
      <c r="L319" s="2"/>
    </row>
    <row r="320" spans="12:12">
      <c r="L320" s="2"/>
    </row>
    <row r="321" spans="12:12">
      <c r="L321" s="2"/>
    </row>
    <row r="322" spans="12:12">
      <c r="L322" s="2"/>
    </row>
    <row r="323" spans="12:12">
      <c r="L323" s="2"/>
    </row>
    <row r="324" spans="12:12">
      <c r="L324" s="2"/>
    </row>
    <row r="325" spans="12:12">
      <c r="L325" s="2"/>
    </row>
    <row r="326" spans="12:12">
      <c r="L326" s="2"/>
    </row>
    <row r="327" spans="12:12">
      <c r="L327" s="2"/>
    </row>
    <row r="328" spans="12:12">
      <c r="L328" s="2"/>
    </row>
    <row r="329" spans="12:12">
      <c r="L329" s="2"/>
    </row>
    <row r="330" spans="12:12">
      <c r="L330" s="2"/>
    </row>
    <row r="331" spans="12:12">
      <c r="L331" s="2"/>
    </row>
    <row r="332" spans="12:12">
      <c r="L332" s="2"/>
    </row>
    <row r="333" spans="12:12">
      <c r="L333" s="2"/>
    </row>
    <row r="334" spans="12:12">
      <c r="L334" s="2"/>
    </row>
    <row r="335" spans="12:12">
      <c r="L335" s="2"/>
    </row>
    <row r="336" spans="12:12">
      <c r="L336" s="2"/>
    </row>
    <row r="337" spans="12:12">
      <c r="L337" s="2"/>
    </row>
    <row r="338" spans="12:12">
      <c r="L338" s="2"/>
    </row>
    <row r="339" spans="12:12">
      <c r="L339" s="2"/>
    </row>
    <row r="340" spans="12:12">
      <c r="L340" s="2"/>
    </row>
    <row r="341" spans="12:12">
      <c r="L341" s="2"/>
    </row>
    <row r="342" spans="12:12">
      <c r="L342" s="2"/>
    </row>
    <row r="343" spans="12:12">
      <c r="L343" s="2"/>
    </row>
    <row r="344" spans="12:12">
      <c r="L344" s="2"/>
    </row>
    <row r="345" spans="12:12">
      <c r="L345" s="2"/>
    </row>
    <row r="346" spans="12:12">
      <c r="L346" s="2"/>
    </row>
    <row r="347" spans="12:12">
      <c r="L347" s="2"/>
    </row>
    <row r="348" spans="12:12">
      <c r="L348" s="2"/>
    </row>
    <row r="349" spans="12:12">
      <c r="L349" s="2"/>
    </row>
    <row r="350" spans="12:12">
      <c r="L350" s="2"/>
    </row>
    <row r="351" spans="12:12">
      <c r="L351" s="2"/>
    </row>
    <row r="352" spans="12:12">
      <c r="L352" s="2"/>
    </row>
    <row r="353" spans="12:12">
      <c r="L353" s="2"/>
    </row>
    <row r="354" spans="12:12">
      <c r="L354" s="2"/>
    </row>
    <row r="355" spans="12:12">
      <c r="L355" s="2"/>
    </row>
    <row r="356" spans="12:12">
      <c r="L356" s="2"/>
    </row>
    <row r="357" spans="12:12">
      <c r="L357" s="2"/>
    </row>
    <row r="358" spans="12:12">
      <c r="L358" s="2"/>
    </row>
    <row r="359" spans="12:12">
      <c r="L359" s="2"/>
    </row>
    <row r="360" spans="12:12">
      <c r="L360" s="2"/>
    </row>
    <row r="361" spans="12:12">
      <c r="L361" s="2"/>
    </row>
    <row r="362" spans="12:12">
      <c r="L362" s="2"/>
    </row>
    <row r="363" spans="12:12">
      <c r="L363" s="2"/>
    </row>
    <row r="364" spans="12:12">
      <c r="L364" s="2"/>
    </row>
    <row r="365" spans="12:12">
      <c r="L365" s="2"/>
    </row>
    <row r="366" spans="12:12">
      <c r="L366" s="2"/>
    </row>
    <row r="367" spans="12:12">
      <c r="L367" s="2"/>
    </row>
    <row r="368" spans="12:12">
      <c r="L368" s="2"/>
    </row>
    <row r="369" spans="12:12">
      <c r="L369" s="2"/>
    </row>
    <row r="370" spans="12:12">
      <c r="L370" s="2"/>
    </row>
    <row r="371" spans="12:12">
      <c r="L371" s="2"/>
    </row>
    <row r="372" spans="12:12">
      <c r="L372" s="2"/>
    </row>
    <row r="373" spans="12:12">
      <c r="L373" s="2"/>
    </row>
    <row r="374" spans="12:12">
      <c r="L374" s="2"/>
    </row>
    <row r="375" spans="12:12">
      <c r="L375" s="2"/>
    </row>
    <row r="376" spans="12:12">
      <c r="L376" s="2"/>
    </row>
    <row r="377" spans="12:12">
      <c r="L377" s="2"/>
    </row>
    <row r="378" spans="12:12">
      <c r="L378" s="2"/>
    </row>
    <row r="379" spans="12:12">
      <c r="L379" s="2"/>
    </row>
    <row r="380" spans="12:12">
      <c r="L380" s="2"/>
    </row>
    <row r="381" spans="12:12">
      <c r="L381" s="2"/>
    </row>
    <row r="382" spans="12:12">
      <c r="L382" s="2"/>
    </row>
    <row r="383" spans="12:12">
      <c r="L383" s="2"/>
    </row>
    <row r="384" spans="12:12">
      <c r="L384" s="2"/>
    </row>
    <row r="385" spans="12:12">
      <c r="L385" s="2"/>
    </row>
    <row r="386" spans="12:12">
      <c r="L386" s="2"/>
    </row>
    <row r="387" spans="12:12">
      <c r="L387" s="2"/>
    </row>
    <row r="388" spans="12:12">
      <c r="L388" s="2"/>
    </row>
    <row r="389" spans="12:12">
      <c r="L389" s="2"/>
    </row>
    <row r="390" spans="12:12">
      <c r="L390" s="2"/>
    </row>
    <row r="391" spans="12:12">
      <c r="L391" s="2"/>
    </row>
    <row r="392" spans="12:12">
      <c r="L392" s="2"/>
    </row>
    <row r="393" spans="12:12">
      <c r="L393" s="2"/>
    </row>
    <row r="394" spans="12:12">
      <c r="L394" s="2"/>
    </row>
    <row r="395" spans="12:12">
      <c r="L395" s="2"/>
    </row>
    <row r="396" spans="12:12">
      <c r="L396" s="2"/>
    </row>
    <row r="397" spans="12:12">
      <c r="L397" s="2"/>
    </row>
    <row r="398" spans="12:12">
      <c r="L398" s="2"/>
    </row>
    <row r="399" spans="12:12">
      <c r="L399" s="2"/>
    </row>
    <row r="400" spans="12:12">
      <c r="L400" s="2"/>
    </row>
    <row r="401" spans="12:12">
      <c r="L401" s="2"/>
    </row>
    <row r="402" spans="12:12">
      <c r="L402" s="2"/>
    </row>
    <row r="403" spans="12:12">
      <c r="L403" s="2"/>
    </row>
    <row r="404" spans="12:12">
      <c r="L404" s="2"/>
    </row>
    <row r="405" spans="12:12">
      <c r="L405" s="2"/>
    </row>
    <row r="406" spans="12:12">
      <c r="L406" s="2"/>
    </row>
    <row r="407" spans="12:12">
      <c r="L407" s="2"/>
    </row>
    <row r="408" spans="12:12">
      <c r="L408" s="2"/>
    </row>
    <row r="409" spans="12:12">
      <c r="L409" s="2"/>
    </row>
    <row r="410" spans="12:12">
      <c r="L410" s="2"/>
    </row>
    <row r="411" spans="12:12">
      <c r="L411" s="2"/>
    </row>
    <row r="412" spans="12:12">
      <c r="L412" s="2"/>
    </row>
    <row r="413" spans="12:12">
      <c r="L413" s="2"/>
    </row>
    <row r="414" spans="12:12">
      <c r="L414" s="2"/>
    </row>
    <row r="415" spans="12:12">
      <c r="L415" s="2"/>
    </row>
    <row r="416" spans="12:12">
      <c r="L416" s="2"/>
    </row>
    <row r="417" spans="12:12">
      <c r="L417" s="2"/>
    </row>
    <row r="418" spans="12:12">
      <c r="L418" s="2"/>
    </row>
    <row r="419" spans="12:12">
      <c r="L419" s="2"/>
    </row>
    <row r="420" spans="12:12">
      <c r="L420" s="2"/>
    </row>
    <row r="421" spans="12:12">
      <c r="L421" s="2"/>
    </row>
    <row r="422" spans="12:12">
      <c r="L422" s="2"/>
    </row>
    <row r="423" spans="12:12">
      <c r="L423" s="2"/>
    </row>
    <row r="424" spans="12:12">
      <c r="L424" s="2"/>
    </row>
    <row r="425" spans="12:12">
      <c r="L425" s="2"/>
    </row>
    <row r="426" spans="12:12">
      <c r="L426" s="2"/>
    </row>
    <row r="427" spans="12:12">
      <c r="L427" s="2"/>
    </row>
    <row r="428" spans="12:12">
      <c r="L428" s="2"/>
    </row>
    <row r="429" spans="12:12">
      <c r="L429" s="2"/>
    </row>
    <row r="430" spans="12:12">
      <c r="L430" s="2"/>
    </row>
    <row r="431" spans="12:12">
      <c r="L431" s="2"/>
    </row>
    <row r="432" spans="12:12">
      <c r="L432" s="2"/>
    </row>
    <row r="433" spans="12:12">
      <c r="L433" s="2"/>
    </row>
    <row r="434" spans="12:12">
      <c r="L434" s="2"/>
    </row>
    <row r="435" spans="12:12">
      <c r="L435" s="2"/>
    </row>
    <row r="436" spans="12:12">
      <c r="L436" s="2"/>
    </row>
    <row r="437" spans="12:12">
      <c r="L437" s="2"/>
    </row>
    <row r="438" spans="12:12">
      <c r="L438" s="2"/>
    </row>
    <row r="439" spans="12:12">
      <c r="L439" s="2"/>
    </row>
    <row r="440" spans="12:12">
      <c r="L440" s="2"/>
    </row>
    <row r="441" spans="12:12">
      <c r="L441" s="2"/>
    </row>
    <row r="442" spans="12:12">
      <c r="L442" s="2"/>
    </row>
    <row r="443" spans="12:12">
      <c r="L443" s="2"/>
    </row>
    <row r="444" spans="12:12">
      <c r="L444" s="2"/>
    </row>
    <row r="445" spans="12:12">
      <c r="L445" s="2"/>
    </row>
    <row r="446" spans="12:12">
      <c r="L446" s="2"/>
    </row>
    <row r="447" spans="12:12">
      <c r="L447" s="2"/>
    </row>
    <row r="448" spans="12:12">
      <c r="L448" s="2"/>
    </row>
    <row r="449" spans="12:12">
      <c r="L449" s="2"/>
    </row>
    <row r="450" spans="12:12">
      <c r="L450" s="2"/>
    </row>
    <row r="451" spans="12:12">
      <c r="L451" s="2"/>
    </row>
    <row r="452" spans="12:12">
      <c r="L452" s="2"/>
    </row>
    <row r="453" spans="12:12">
      <c r="L453" s="2"/>
    </row>
    <row r="454" spans="12:12">
      <c r="L454" s="2"/>
    </row>
    <row r="455" spans="12:12">
      <c r="L455" s="2"/>
    </row>
    <row r="456" spans="12:12">
      <c r="L456" s="2"/>
    </row>
    <row r="457" spans="12:12">
      <c r="L457" s="2"/>
    </row>
    <row r="458" spans="12:12">
      <c r="L458" s="2"/>
    </row>
    <row r="459" spans="12:12">
      <c r="L459" s="2"/>
    </row>
    <row r="460" spans="12:12">
      <c r="L460" s="2"/>
    </row>
    <row r="461" spans="12:12">
      <c r="L461" s="2"/>
    </row>
    <row r="462" spans="12:12">
      <c r="L462" s="2"/>
    </row>
    <row r="463" spans="12:12">
      <c r="L463" s="2"/>
    </row>
    <row r="464" spans="12:12">
      <c r="L464" s="2"/>
    </row>
    <row r="465" spans="12:12">
      <c r="L465" s="2"/>
    </row>
    <row r="466" spans="12:12">
      <c r="L466" s="2"/>
    </row>
    <row r="467" spans="12:12">
      <c r="L467" s="2"/>
    </row>
    <row r="468" spans="12:12">
      <c r="L468" s="2"/>
    </row>
    <row r="469" spans="12:12">
      <c r="L469" s="2"/>
    </row>
    <row r="470" spans="12:12">
      <c r="L470" s="2"/>
    </row>
    <row r="471" spans="12:12">
      <c r="L471" s="2"/>
    </row>
    <row r="472" spans="12:12">
      <c r="L472" s="2"/>
    </row>
    <row r="473" spans="12:12">
      <c r="L473" s="2"/>
    </row>
    <row r="474" spans="12:12">
      <c r="L474" s="2"/>
    </row>
    <row r="475" spans="12:12">
      <c r="L475" s="2"/>
    </row>
    <row r="476" spans="12:12">
      <c r="L476" s="2"/>
    </row>
    <row r="477" spans="12:12">
      <c r="L477" s="2"/>
    </row>
    <row r="478" spans="12:12">
      <c r="L478" s="2"/>
    </row>
    <row r="479" spans="12:12">
      <c r="L479" s="2"/>
    </row>
    <row r="480" spans="12:12">
      <c r="L480" s="2"/>
    </row>
    <row r="481" spans="12:12">
      <c r="L481" s="2"/>
    </row>
    <row r="482" spans="12:12">
      <c r="L482" s="2"/>
    </row>
    <row r="483" spans="12:12">
      <c r="L483" s="2"/>
    </row>
    <row r="484" spans="12:12">
      <c r="L484" s="2"/>
    </row>
    <row r="485" spans="12:12">
      <c r="L485" s="2"/>
    </row>
    <row r="486" spans="12:12">
      <c r="L486" s="2"/>
    </row>
    <row r="487" spans="12:12">
      <c r="L487" s="2"/>
    </row>
    <row r="488" spans="12:12">
      <c r="L488" s="2"/>
    </row>
    <row r="489" spans="12:12">
      <c r="L489" s="2"/>
    </row>
    <row r="490" spans="12:12">
      <c r="L490" s="2"/>
    </row>
    <row r="491" spans="12:12">
      <c r="L491" s="2"/>
    </row>
    <row r="492" spans="12:12">
      <c r="L492" s="2"/>
    </row>
    <row r="493" spans="12:12">
      <c r="L493" s="2"/>
    </row>
    <row r="494" spans="12:12">
      <c r="L494" s="2"/>
    </row>
    <row r="495" spans="12:12">
      <c r="L495" s="2"/>
    </row>
    <row r="496" spans="12:12">
      <c r="L496" s="2"/>
    </row>
    <row r="497" spans="12:12">
      <c r="L497" s="2"/>
    </row>
    <row r="498" spans="12:12">
      <c r="L498" s="2"/>
    </row>
    <row r="499" spans="12:12">
      <c r="L499" s="2"/>
    </row>
    <row r="500" spans="12:12">
      <c r="L500" s="2"/>
    </row>
    <row r="501" spans="12:12">
      <c r="L501" s="2"/>
    </row>
    <row r="502" spans="12:12">
      <c r="L502" s="2"/>
    </row>
    <row r="503" spans="12:12">
      <c r="L503" s="2"/>
    </row>
    <row r="504" spans="12:12">
      <c r="L504" s="2"/>
    </row>
    <row r="505" spans="12:12">
      <c r="L505" s="2"/>
    </row>
    <row r="506" spans="12:12">
      <c r="L506" s="2"/>
    </row>
    <row r="507" spans="12:12">
      <c r="L507" s="2"/>
    </row>
    <row r="508" spans="12:12">
      <c r="L508" s="2"/>
    </row>
    <row r="509" spans="12:12">
      <c r="L509" s="2"/>
    </row>
    <row r="510" spans="12:12">
      <c r="L510" s="2"/>
    </row>
    <row r="511" spans="12:12">
      <c r="L511" s="2"/>
    </row>
    <row r="512" spans="12:12">
      <c r="L512" s="2"/>
    </row>
    <row r="513" spans="12:12">
      <c r="L513" s="2"/>
    </row>
    <row r="514" spans="12:12">
      <c r="L514" s="2"/>
    </row>
    <row r="515" spans="12:12">
      <c r="L515" s="2"/>
    </row>
    <row r="516" spans="12:12">
      <c r="L516" s="2"/>
    </row>
    <row r="517" spans="12:12">
      <c r="L517" s="2"/>
    </row>
    <row r="518" spans="12:12">
      <c r="L518" s="2"/>
    </row>
    <row r="519" spans="12:12">
      <c r="L519" s="2"/>
    </row>
    <row r="520" spans="12:12">
      <c r="L520" s="2"/>
    </row>
    <row r="521" spans="12:12">
      <c r="L521" s="2"/>
    </row>
    <row r="522" spans="12:12">
      <c r="L522" s="2"/>
    </row>
    <row r="523" spans="12:12">
      <c r="L523" s="2"/>
    </row>
    <row r="524" spans="12:12">
      <c r="L524" s="2"/>
    </row>
    <row r="525" spans="12:12">
      <c r="L525" s="2"/>
    </row>
    <row r="526" spans="12:12">
      <c r="L526" s="2"/>
    </row>
    <row r="527" spans="12:12">
      <c r="L527" s="2"/>
    </row>
    <row r="528" spans="12:12">
      <c r="L528" s="2"/>
    </row>
    <row r="529" spans="12:12">
      <c r="L529" s="2"/>
    </row>
    <row r="530" spans="12:12">
      <c r="L530" s="2"/>
    </row>
    <row r="531" spans="12:12">
      <c r="L531" s="2"/>
    </row>
    <row r="532" spans="12:12">
      <c r="L532" s="2"/>
    </row>
    <row r="533" spans="12:12">
      <c r="L533" s="2"/>
    </row>
    <row r="534" spans="12:12">
      <c r="L534" s="2"/>
    </row>
    <row r="535" spans="12:12">
      <c r="L535" s="2"/>
    </row>
    <row r="536" spans="12:12">
      <c r="L536" s="2"/>
    </row>
    <row r="537" spans="12:12">
      <c r="L537" s="2"/>
    </row>
    <row r="538" spans="12:12">
      <c r="L538" s="2"/>
    </row>
    <row r="539" spans="12:12">
      <c r="L539" s="2"/>
    </row>
    <row r="540" spans="12:12">
      <c r="L540" s="2"/>
    </row>
    <row r="541" spans="12:12">
      <c r="L541" s="2"/>
    </row>
    <row r="542" spans="12:12">
      <c r="L542" s="2"/>
    </row>
    <row r="543" spans="12:12">
      <c r="L543" s="2"/>
    </row>
    <row r="544" spans="12:12">
      <c r="L544" s="2"/>
    </row>
    <row r="545" spans="12:12">
      <c r="L545" s="2"/>
    </row>
    <row r="546" spans="12:12">
      <c r="L546" s="2"/>
    </row>
    <row r="547" spans="12:12">
      <c r="L547" s="2"/>
    </row>
    <row r="548" spans="12:12">
      <c r="L548" s="2"/>
    </row>
    <row r="549" spans="12:12">
      <c r="L549" s="2"/>
    </row>
    <row r="550" spans="12:12">
      <c r="L550" s="2"/>
    </row>
    <row r="551" spans="12:12">
      <c r="L551" s="2"/>
    </row>
    <row r="552" spans="12:12">
      <c r="L552" s="2"/>
    </row>
    <row r="553" spans="12:12">
      <c r="L553" s="2"/>
    </row>
    <row r="554" spans="12:12">
      <c r="L554" s="2"/>
    </row>
    <row r="555" spans="12:12">
      <c r="L555" s="2"/>
    </row>
    <row r="556" spans="12:12">
      <c r="L556" s="2"/>
    </row>
    <row r="557" spans="12:12">
      <c r="L557" s="2"/>
    </row>
    <row r="558" spans="12:12">
      <c r="L558" s="2"/>
    </row>
    <row r="559" spans="12:12">
      <c r="L559" s="2"/>
    </row>
    <row r="560" spans="12:12">
      <c r="L560" s="2"/>
    </row>
    <row r="561" spans="12:12">
      <c r="L561" s="2"/>
    </row>
    <row r="562" spans="12:12">
      <c r="L562" s="2"/>
    </row>
    <row r="563" spans="12:12">
      <c r="L563" s="2"/>
    </row>
    <row r="564" spans="12:12">
      <c r="L564" s="2"/>
    </row>
    <row r="565" spans="12:12">
      <c r="L565" s="2"/>
    </row>
    <row r="566" spans="12:12">
      <c r="L566" s="2"/>
    </row>
    <row r="567" spans="12:12">
      <c r="L567" s="2"/>
    </row>
    <row r="568" spans="12:12">
      <c r="L568" s="2"/>
    </row>
    <row r="569" spans="12:12">
      <c r="L569" s="2"/>
    </row>
    <row r="570" spans="12:12">
      <c r="L570" s="2"/>
    </row>
    <row r="571" spans="12:12">
      <c r="L571" s="2"/>
    </row>
    <row r="572" spans="12:12">
      <c r="L572" s="2"/>
    </row>
    <row r="573" spans="12:12">
      <c r="L573" s="2"/>
    </row>
    <row r="574" spans="12:12">
      <c r="L574" s="2"/>
    </row>
    <row r="575" spans="12:12">
      <c r="L575" s="2"/>
    </row>
    <row r="576" spans="12:12">
      <c r="L576" s="2"/>
    </row>
    <row r="577" spans="12:12">
      <c r="L577" s="2"/>
    </row>
    <row r="578" spans="12:12">
      <c r="L578" s="2"/>
    </row>
    <row r="579" spans="12:12">
      <c r="L579" s="2"/>
    </row>
    <row r="580" spans="12:12">
      <c r="L580" s="2"/>
    </row>
    <row r="581" spans="12:12">
      <c r="L581" s="2"/>
    </row>
    <row r="582" spans="12:12">
      <c r="L582" s="2"/>
    </row>
    <row r="583" spans="12:12">
      <c r="L583" s="2"/>
    </row>
    <row r="584" spans="12:12">
      <c r="L584" s="2"/>
    </row>
    <row r="585" spans="12:12">
      <c r="L585" s="2"/>
    </row>
    <row r="586" spans="12:12">
      <c r="L586" s="2"/>
    </row>
    <row r="587" spans="12:12">
      <c r="L587" s="2"/>
    </row>
    <row r="588" spans="12:12">
      <c r="L588" s="2"/>
    </row>
    <row r="589" spans="12:12">
      <c r="L589" s="2"/>
    </row>
    <row r="590" spans="12:12">
      <c r="L590" s="2"/>
    </row>
    <row r="591" spans="12:12">
      <c r="L591" s="2"/>
    </row>
    <row r="592" spans="12:12">
      <c r="L592" s="2"/>
    </row>
    <row r="593" spans="12:12">
      <c r="L593" s="2"/>
    </row>
    <row r="594" spans="12:12">
      <c r="L594" s="2"/>
    </row>
    <row r="595" spans="12:12">
      <c r="L595" s="2"/>
    </row>
    <row r="596" spans="12:12">
      <c r="L596" s="2"/>
    </row>
    <row r="597" spans="12:12">
      <c r="L597" s="2"/>
    </row>
    <row r="598" spans="12:12">
      <c r="L598" s="2"/>
    </row>
    <row r="599" spans="12:12">
      <c r="L599" s="2"/>
    </row>
    <row r="600" spans="12:12">
      <c r="L600" s="2"/>
    </row>
    <row r="601" spans="12:12">
      <c r="L601" s="2"/>
    </row>
    <row r="602" spans="12:12">
      <c r="L602" s="2"/>
    </row>
    <row r="603" spans="12:12">
      <c r="L603" s="2"/>
    </row>
    <row r="604" spans="12:12">
      <c r="L604" s="2"/>
    </row>
    <row r="605" spans="12:12">
      <c r="L605" s="2"/>
    </row>
    <row r="606" spans="12:12">
      <c r="L606" s="2"/>
    </row>
    <row r="607" spans="12:12">
      <c r="L607" s="2"/>
    </row>
    <row r="608" spans="12:12">
      <c r="L608" s="2"/>
    </row>
    <row r="609" spans="12:12">
      <c r="L609" s="2"/>
    </row>
    <row r="610" spans="12:12">
      <c r="L610" s="2"/>
    </row>
    <row r="611" spans="12:12">
      <c r="L611" s="2"/>
    </row>
    <row r="612" spans="12:12">
      <c r="L612" s="2"/>
    </row>
    <row r="613" spans="12:12">
      <c r="L613" s="2"/>
    </row>
    <row r="614" spans="12:12">
      <c r="L614" s="2"/>
    </row>
    <row r="615" spans="12:12">
      <c r="L615" s="2"/>
    </row>
    <row r="616" spans="12:12">
      <c r="L616" s="2"/>
    </row>
    <row r="617" spans="12:12">
      <c r="L617" s="2"/>
    </row>
    <row r="618" spans="12:12">
      <c r="L618" s="2"/>
    </row>
    <row r="619" spans="12:12">
      <c r="L619" s="2"/>
    </row>
    <row r="620" spans="12:12">
      <c r="L620" s="2"/>
    </row>
    <row r="621" spans="12:12">
      <c r="L621" s="2"/>
    </row>
    <row r="622" spans="12:12">
      <c r="L622" s="2"/>
    </row>
    <row r="623" spans="12:12">
      <c r="L623" s="2"/>
    </row>
    <row r="624" spans="12:12">
      <c r="L624" s="2"/>
    </row>
    <row r="625" spans="12:12">
      <c r="L625" s="2"/>
    </row>
    <row r="626" spans="12:12">
      <c r="L626" s="2"/>
    </row>
    <row r="627" spans="12:12">
      <c r="L627" s="2"/>
    </row>
    <row r="628" spans="12:12">
      <c r="L628" s="2"/>
    </row>
    <row r="629" spans="12:12">
      <c r="L629" s="2"/>
    </row>
    <row r="630" spans="12:12">
      <c r="L630" s="2"/>
    </row>
    <row r="631" spans="12:12">
      <c r="L631" s="2"/>
    </row>
    <row r="632" spans="12:12">
      <c r="L632" s="2"/>
    </row>
    <row r="633" spans="12:12">
      <c r="L633" s="2"/>
    </row>
    <row r="634" spans="12:12">
      <c r="L634" s="2"/>
    </row>
    <row r="635" spans="12:12">
      <c r="L635" s="2"/>
    </row>
    <row r="636" spans="12:12">
      <c r="L636" s="2"/>
    </row>
    <row r="637" spans="12:12">
      <c r="L637" s="2"/>
    </row>
    <row r="638" spans="12:12">
      <c r="L638" s="2"/>
    </row>
    <row r="639" spans="12:12">
      <c r="L639" s="2"/>
    </row>
    <row r="640" spans="12:12">
      <c r="L640" s="2"/>
    </row>
    <row r="641" spans="12:12">
      <c r="L641" s="2"/>
    </row>
    <row r="642" spans="12:12">
      <c r="L642" s="2"/>
    </row>
    <row r="643" spans="12:12">
      <c r="L643" s="2"/>
    </row>
    <row r="644" spans="12:12">
      <c r="L644" s="2"/>
    </row>
    <row r="645" spans="12:12">
      <c r="L645" s="2"/>
    </row>
    <row r="646" spans="12:12">
      <c r="L646" s="2"/>
    </row>
    <row r="647" spans="12:12">
      <c r="L647" s="2"/>
    </row>
    <row r="648" spans="12:12">
      <c r="L648" s="2"/>
    </row>
    <row r="649" spans="12:12">
      <c r="L649" s="2"/>
    </row>
    <row r="650" spans="12:12">
      <c r="L650" s="2"/>
    </row>
    <row r="651" spans="12:12">
      <c r="L651" s="2"/>
    </row>
    <row r="652" spans="12:12">
      <c r="L652" s="2"/>
    </row>
    <row r="653" spans="12:12">
      <c r="L653" s="2"/>
    </row>
    <row r="654" spans="12:12">
      <c r="L654" s="2"/>
    </row>
    <row r="655" spans="12:12">
      <c r="L655" s="2"/>
    </row>
    <row r="656" spans="12:12">
      <c r="L656" s="2"/>
    </row>
    <row r="657" spans="12:12">
      <c r="L657" s="2"/>
    </row>
    <row r="658" spans="12:12">
      <c r="L658" s="2"/>
    </row>
    <row r="659" spans="12:12">
      <c r="L659" s="2"/>
    </row>
    <row r="660" spans="12:12">
      <c r="L660" s="2"/>
    </row>
    <row r="661" spans="12:12">
      <c r="L661" s="2"/>
    </row>
    <row r="662" spans="12:12">
      <c r="L662" s="2"/>
    </row>
    <row r="663" spans="12:12">
      <c r="L663" s="2"/>
    </row>
    <row r="664" spans="12:12">
      <c r="L664" s="2"/>
    </row>
    <row r="665" spans="12:12">
      <c r="L665" s="2"/>
    </row>
    <row r="666" spans="12:12">
      <c r="L666" s="2"/>
    </row>
    <row r="667" spans="12:12">
      <c r="L667" s="2"/>
    </row>
    <row r="668" spans="12:12">
      <c r="L668" s="2"/>
    </row>
    <row r="669" spans="12:12">
      <c r="L669" s="2"/>
    </row>
    <row r="670" spans="12:12">
      <c r="L670" s="2"/>
    </row>
    <row r="671" spans="12:12">
      <c r="L671" s="2"/>
    </row>
    <row r="672" spans="12:12">
      <c r="L672" s="2"/>
    </row>
    <row r="673" spans="12:12">
      <c r="L673" s="2"/>
    </row>
    <row r="674" spans="12:12">
      <c r="L674" s="2"/>
    </row>
    <row r="675" spans="12:12">
      <c r="L675" s="2"/>
    </row>
    <row r="676" spans="12:12">
      <c r="L676" s="2"/>
    </row>
    <row r="677" spans="12:12">
      <c r="L677" s="2"/>
    </row>
    <row r="678" spans="12:12">
      <c r="L678" s="2"/>
    </row>
    <row r="679" spans="12:12">
      <c r="L679" s="2"/>
    </row>
    <row r="680" spans="12:12">
      <c r="L680" s="2"/>
    </row>
    <row r="681" spans="12:12">
      <c r="L681" s="2"/>
    </row>
    <row r="682" spans="12:12">
      <c r="L682" s="2"/>
    </row>
    <row r="683" spans="12:12">
      <c r="L683" s="2"/>
    </row>
    <row r="684" spans="12:12">
      <c r="L684" s="2"/>
    </row>
    <row r="685" spans="12:12">
      <c r="L685" s="2"/>
    </row>
    <row r="686" spans="12:12">
      <c r="L686" s="2"/>
    </row>
    <row r="687" spans="12:12">
      <c r="L687" s="2"/>
    </row>
    <row r="688" spans="12:12">
      <c r="L688" s="2"/>
    </row>
    <row r="689" spans="12:12">
      <c r="L689" s="2"/>
    </row>
    <row r="690" spans="12:12">
      <c r="L690" s="2"/>
    </row>
    <row r="691" spans="12:12">
      <c r="L691" s="2"/>
    </row>
    <row r="692" spans="12:12">
      <c r="L692" s="2"/>
    </row>
    <row r="693" spans="12:12">
      <c r="L693" s="2"/>
    </row>
    <row r="694" spans="12:12">
      <c r="L694" s="2"/>
    </row>
    <row r="695" spans="12:12">
      <c r="L695" s="2"/>
    </row>
    <row r="696" spans="12:12">
      <c r="L696" s="2"/>
    </row>
    <row r="697" spans="12:12">
      <c r="L697" s="2"/>
    </row>
    <row r="698" spans="12:12">
      <c r="L698" s="2"/>
    </row>
    <row r="699" spans="12:12">
      <c r="L699" s="2"/>
    </row>
    <row r="700" spans="12:12">
      <c r="L700" s="2"/>
    </row>
    <row r="701" spans="12:12">
      <c r="L701" s="2"/>
    </row>
    <row r="702" spans="12:12">
      <c r="L702" s="2"/>
    </row>
    <row r="703" spans="12:12">
      <c r="L703" s="2"/>
    </row>
    <row r="704" spans="12:12">
      <c r="L704" s="2"/>
    </row>
    <row r="705" spans="12:12">
      <c r="L705" s="2"/>
    </row>
    <row r="706" spans="12:12">
      <c r="L706" s="2"/>
    </row>
    <row r="707" spans="12:12">
      <c r="L707" s="2"/>
    </row>
    <row r="708" spans="12:12">
      <c r="L708" s="2"/>
    </row>
    <row r="709" spans="12:12">
      <c r="L709" s="2"/>
    </row>
    <row r="710" spans="12:12">
      <c r="L710" s="2"/>
    </row>
    <row r="711" spans="12:12">
      <c r="L711" s="2"/>
    </row>
    <row r="712" spans="12:12">
      <c r="L712" s="2"/>
    </row>
    <row r="713" spans="12:12">
      <c r="L713" s="2"/>
    </row>
    <row r="714" spans="12:12">
      <c r="L714" s="2"/>
    </row>
    <row r="715" spans="12:12">
      <c r="L715" s="2"/>
    </row>
    <row r="716" spans="12:12">
      <c r="L716" s="2"/>
    </row>
    <row r="717" spans="12:12">
      <c r="L717" s="2"/>
    </row>
    <row r="718" spans="12:12">
      <c r="L718" s="2"/>
    </row>
    <row r="719" spans="12:12">
      <c r="L719" s="2"/>
    </row>
    <row r="720" spans="12:12">
      <c r="L720" s="2"/>
    </row>
    <row r="721" spans="12:12">
      <c r="L721" s="2"/>
    </row>
    <row r="722" spans="12:12">
      <c r="L722" s="2"/>
    </row>
    <row r="723" spans="12:12">
      <c r="L723" s="2"/>
    </row>
    <row r="724" spans="12:12">
      <c r="L724" s="2"/>
    </row>
    <row r="725" spans="12:12">
      <c r="L725" s="2"/>
    </row>
    <row r="726" spans="12:12">
      <c r="L726" s="2"/>
    </row>
    <row r="727" spans="12:12">
      <c r="L727" s="2"/>
    </row>
    <row r="728" spans="12:12">
      <c r="L728" s="2"/>
    </row>
    <row r="729" spans="12:12">
      <c r="L729" s="2"/>
    </row>
    <row r="730" spans="12:12">
      <c r="L730" s="2"/>
    </row>
    <row r="731" spans="12:12">
      <c r="L731" s="2"/>
    </row>
    <row r="732" spans="12:12">
      <c r="L732" s="2"/>
    </row>
    <row r="733" spans="12:12">
      <c r="L733" s="2"/>
    </row>
    <row r="734" spans="12:12">
      <c r="L734" s="2"/>
    </row>
    <row r="735" spans="12:12">
      <c r="L735" s="2"/>
    </row>
    <row r="736" spans="12:12">
      <c r="L736" s="2"/>
    </row>
    <row r="737" spans="12:12">
      <c r="L737" s="2"/>
    </row>
    <row r="738" spans="12:12">
      <c r="L738" s="2"/>
    </row>
    <row r="739" spans="12:12">
      <c r="L739" s="2"/>
    </row>
    <row r="740" spans="12:12">
      <c r="L740" s="2"/>
    </row>
    <row r="741" spans="12:12">
      <c r="L741" s="2"/>
    </row>
    <row r="742" spans="12:12">
      <c r="L742" s="2"/>
    </row>
    <row r="743" spans="12:12">
      <c r="L743" s="2"/>
    </row>
    <row r="744" spans="12:12">
      <c r="L744" s="2"/>
    </row>
    <row r="745" spans="12:12">
      <c r="L745" s="2"/>
    </row>
    <row r="746" spans="12:12">
      <c r="L746" s="2"/>
    </row>
    <row r="747" spans="12:12">
      <c r="L747" s="2"/>
    </row>
    <row r="748" spans="12:12">
      <c r="L748" s="2"/>
    </row>
    <row r="749" spans="12:12">
      <c r="L749" s="2"/>
    </row>
    <row r="750" spans="12:12">
      <c r="L750" s="2"/>
    </row>
    <row r="751" spans="12:12">
      <c r="L751" s="2"/>
    </row>
    <row r="752" spans="12:12">
      <c r="L752" s="2"/>
    </row>
    <row r="753" spans="12:12">
      <c r="L753" s="2"/>
    </row>
    <row r="754" spans="12:12">
      <c r="L754" s="2"/>
    </row>
    <row r="755" spans="12:12">
      <c r="L755" s="2"/>
    </row>
    <row r="756" spans="12:12">
      <c r="L756" s="2"/>
    </row>
    <row r="757" spans="12:12">
      <c r="L757" s="2"/>
    </row>
    <row r="758" spans="12:12">
      <c r="L758" s="2"/>
    </row>
    <row r="759" spans="12:12">
      <c r="L759" s="2"/>
    </row>
    <row r="760" spans="12:12">
      <c r="L760" s="2"/>
    </row>
    <row r="761" spans="12:12">
      <c r="L761" s="2"/>
    </row>
    <row r="762" spans="12:12">
      <c r="L762" s="2"/>
    </row>
    <row r="763" spans="12:12">
      <c r="L763" s="2"/>
    </row>
    <row r="764" spans="12:12">
      <c r="L764" s="2"/>
    </row>
    <row r="765" spans="12:12">
      <c r="L765" s="2"/>
    </row>
    <row r="766" spans="12:12">
      <c r="L766" s="2"/>
    </row>
    <row r="767" spans="12:12">
      <c r="L767" s="2"/>
    </row>
    <row r="768" spans="12:12">
      <c r="L768" s="2"/>
    </row>
    <row r="769" spans="12:12">
      <c r="L769" s="2"/>
    </row>
    <row r="770" spans="12:12">
      <c r="L770" s="2"/>
    </row>
    <row r="771" spans="12:12">
      <c r="L771" s="2"/>
    </row>
    <row r="772" spans="12:12">
      <c r="L772" s="2"/>
    </row>
    <row r="773" spans="12:12">
      <c r="L773" s="2"/>
    </row>
    <row r="774" spans="12:12">
      <c r="L774" s="2"/>
    </row>
    <row r="775" spans="12:12">
      <c r="L775" s="2"/>
    </row>
    <row r="776" spans="12:12">
      <c r="L776" s="2"/>
    </row>
    <row r="777" spans="12:12">
      <c r="L777" s="2"/>
    </row>
    <row r="778" spans="12:12">
      <c r="L778" s="2"/>
    </row>
    <row r="779" spans="12:12">
      <c r="L779" s="2"/>
    </row>
    <row r="780" spans="12:12">
      <c r="L780" s="2"/>
    </row>
    <row r="781" spans="12:12">
      <c r="L781" s="2"/>
    </row>
    <row r="782" spans="12:12">
      <c r="L782" s="2"/>
    </row>
    <row r="783" spans="12:12">
      <c r="L783" s="2"/>
    </row>
    <row r="784" spans="12:12">
      <c r="L784" s="2"/>
    </row>
    <row r="785" spans="12:12">
      <c r="L785" s="2"/>
    </row>
    <row r="786" spans="12:12">
      <c r="L786" s="2"/>
    </row>
    <row r="787" spans="12:12">
      <c r="L787" s="2"/>
    </row>
    <row r="788" spans="12:12">
      <c r="L788" s="2"/>
    </row>
    <row r="789" spans="12:12">
      <c r="L789" s="2"/>
    </row>
    <row r="790" spans="12:12">
      <c r="L790" s="2"/>
    </row>
    <row r="791" spans="12:12">
      <c r="L791" s="2"/>
    </row>
    <row r="792" spans="12:12">
      <c r="L792" s="2"/>
    </row>
    <row r="793" spans="12:12">
      <c r="L793" s="2"/>
    </row>
    <row r="794" spans="12:12">
      <c r="L794" s="2"/>
    </row>
    <row r="795" spans="12:12">
      <c r="L795" s="2"/>
    </row>
    <row r="796" spans="12:12">
      <c r="L796" s="2"/>
    </row>
    <row r="797" spans="12:12">
      <c r="L797" s="2"/>
    </row>
    <row r="798" spans="12:12">
      <c r="L798" s="2"/>
    </row>
    <row r="799" spans="12:12">
      <c r="L799" s="2"/>
    </row>
    <row r="800" spans="12:12">
      <c r="L800" s="2"/>
    </row>
    <row r="801" spans="12:12">
      <c r="L801" s="2"/>
    </row>
    <row r="802" spans="12:12">
      <c r="L802" s="2"/>
    </row>
    <row r="803" spans="12:12">
      <c r="L803" s="2"/>
    </row>
    <row r="804" spans="12:12">
      <c r="L804" s="2"/>
    </row>
    <row r="805" spans="12:12">
      <c r="L805" s="2"/>
    </row>
    <row r="806" spans="12:12">
      <c r="L806" s="2"/>
    </row>
    <row r="807" spans="12:12">
      <c r="L807" s="2"/>
    </row>
    <row r="808" spans="12:12">
      <c r="L808" s="2"/>
    </row>
  </sheetData>
  <mergeCells count="1">
    <mergeCell ref="B5:K5"/>
  </mergeCells>
  <phoneticPr fontId="0" type="noConversion"/>
  <pageMargins left="0.75" right="0.75" top="1" bottom="1" header="0.5" footer="0.5"/>
  <pageSetup orientation="portrait" horizontalDpi="0" verticalDpi="0" copies="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4580" r:id="rId3" name="Button 4">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24581"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24582" r:id="rId5" name="Button 6">
              <controlPr defaultSize="0" print="0" autoFill="0" autoPict="0" macro="[0]!Previous_Button_Click">
                <anchor moveWithCells="1" sizeWithCells="1">
                  <from>
                    <xdr:col>3</xdr:col>
                    <xdr:colOff>203200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4583"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24584" r:id="rId7" name="Button 8">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24585" r:id="rId8" name="Button 9">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24586" r:id="rId9" name="Button 10">
              <controlPr defaultSize="0" print="0" autoFill="0" autoPict="0" macro="[0]!Previous_Button_Click">
                <anchor moveWithCells="1" sizeWithCells="1">
                  <from>
                    <xdr:col>3</xdr:col>
                    <xdr:colOff>203200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4587" r:id="rId10" name="Button 11">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1" enableFormatConditionsCalculation="0"/>
  <dimension ref="A1:N243"/>
  <sheetViews>
    <sheetView workbookViewId="0"/>
  </sheetViews>
  <sheetFormatPr baseColWidth="10" defaultColWidth="8.83203125" defaultRowHeight="12" x14ac:dyDescent="0"/>
  <cols>
    <col min="1" max="1" width="11" customWidth="1"/>
    <col min="2" max="2" width="10.33203125" bestFit="1" customWidth="1"/>
    <col min="3" max="3" width="10.6640625" customWidth="1"/>
    <col min="4" max="5" width="12.3320312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784</v>
      </c>
      <c r="C3" s="21"/>
      <c r="D3" s="21"/>
      <c r="E3" s="21"/>
      <c r="F3" s="21"/>
      <c r="G3" s="21"/>
      <c r="H3" s="21"/>
      <c r="I3" s="21"/>
      <c r="J3" s="21"/>
      <c r="K3" s="21"/>
    </row>
    <row r="4" spans="1:14" ht="15">
      <c r="A4" s="19" t="s">
        <v>774</v>
      </c>
      <c r="B4" s="20" t="s">
        <v>440</v>
      </c>
      <c r="C4" s="21"/>
      <c r="D4" s="21"/>
      <c r="E4" s="21"/>
      <c r="F4" s="21"/>
      <c r="G4" s="21"/>
      <c r="H4" s="21"/>
      <c r="I4" s="21"/>
      <c r="J4" s="21"/>
      <c r="K4" s="21"/>
      <c r="L4" s="241"/>
    </row>
    <row r="5" spans="1:14" ht="30.75" customHeight="1">
      <c r="A5" s="118" t="s">
        <v>779</v>
      </c>
      <c r="B5" s="446" t="s">
        <v>1008</v>
      </c>
      <c r="C5" s="446"/>
      <c r="D5" s="446"/>
      <c r="E5" s="446"/>
      <c r="F5" s="446"/>
      <c r="G5" s="446"/>
      <c r="H5" s="446"/>
      <c r="I5" s="446"/>
      <c r="J5" s="446"/>
      <c r="K5" s="446"/>
      <c r="L5" s="241"/>
    </row>
    <row r="6" spans="1:14" ht="33.75" customHeight="1">
      <c r="A6" s="19"/>
      <c r="B6" s="446" t="s">
        <v>1009</v>
      </c>
      <c r="C6" s="446"/>
      <c r="D6" s="446"/>
      <c r="E6" s="446"/>
      <c r="F6" s="446"/>
      <c r="G6" s="446"/>
      <c r="H6" s="446"/>
      <c r="I6" s="446"/>
      <c r="J6" s="446"/>
      <c r="K6" s="446"/>
      <c r="L6" s="241"/>
    </row>
    <row r="7" spans="1:14" ht="39.75" customHeight="1">
      <c r="A7" s="19"/>
      <c r="B7" s="20"/>
      <c r="C7" s="21"/>
      <c r="D7" s="21"/>
      <c r="E7" s="21"/>
      <c r="F7" s="21"/>
      <c r="G7" s="21"/>
      <c r="H7" s="21"/>
      <c r="I7" s="21"/>
      <c r="J7" s="21"/>
      <c r="K7" s="21"/>
      <c r="L7" s="241"/>
    </row>
    <row r="8" spans="1:14">
      <c r="A8" s="19" t="s">
        <v>635</v>
      </c>
      <c r="B8" s="21" t="s">
        <v>750</v>
      </c>
      <c r="C8" s="21"/>
      <c r="D8" s="21"/>
      <c r="E8" s="21"/>
      <c r="F8" s="21"/>
      <c r="G8" s="21"/>
      <c r="H8" s="21"/>
      <c r="I8" s="21"/>
      <c r="J8" s="21"/>
      <c r="K8" s="21"/>
    </row>
    <row r="9" spans="1:14" ht="42" customHeight="1">
      <c r="A9" s="22" t="s">
        <v>1090</v>
      </c>
      <c r="B9" s="22" t="s">
        <v>1099</v>
      </c>
      <c r="C9" s="31" t="s">
        <v>1013</v>
      </c>
      <c r="D9" s="31" t="s">
        <v>1014</v>
      </c>
      <c r="E9" s="31" t="s">
        <v>1015</v>
      </c>
      <c r="F9" s="22"/>
      <c r="G9" s="22"/>
      <c r="H9" s="22"/>
      <c r="I9" s="22"/>
      <c r="J9" s="22"/>
      <c r="K9" s="22"/>
    </row>
    <row r="10" spans="1:14">
      <c r="A10" s="26">
        <v>33605</v>
      </c>
      <c r="B10" s="245">
        <v>9996</v>
      </c>
      <c r="C10" s="245"/>
      <c r="D10" s="245"/>
      <c r="E10" s="28"/>
      <c r="F10" s="28"/>
      <c r="G10" s="28"/>
      <c r="H10" s="28"/>
      <c r="I10" s="28"/>
      <c r="J10" s="28"/>
      <c r="K10" s="54"/>
    </row>
    <row r="11" spans="1:14">
      <c r="A11" s="26">
        <v>33606</v>
      </c>
      <c r="B11" s="245">
        <v>12940</v>
      </c>
      <c r="C11" s="245"/>
      <c r="D11" s="245"/>
      <c r="E11" s="28"/>
      <c r="F11" s="28"/>
      <c r="G11" s="28"/>
      <c r="H11" s="28"/>
      <c r="I11" s="28"/>
      <c r="J11" s="28"/>
      <c r="K11" s="54"/>
    </row>
    <row r="12" spans="1:14">
      <c r="A12" s="27">
        <v>33609</v>
      </c>
      <c r="B12" s="246">
        <v>37524</v>
      </c>
      <c r="C12" s="246"/>
      <c r="D12" s="246"/>
      <c r="E12" s="29"/>
      <c r="F12" s="29"/>
      <c r="G12" s="29"/>
      <c r="H12" s="29"/>
      <c r="I12" s="29"/>
      <c r="J12" s="29"/>
      <c r="K12" s="57"/>
    </row>
    <row r="13" spans="1:14">
      <c r="A13" s="27">
        <v>33610</v>
      </c>
      <c r="B13" s="246">
        <v>21032</v>
      </c>
      <c r="C13" s="246"/>
      <c r="D13" s="246"/>
      <c r="E13" s="29"/>
      <c r="F13" s="29"/>
      <c r="G13" s="29"/>
      <c r="H13" s="29"/>
      <c r="I13" s="29"/>
      <c r="J13" s="29"/>
      <c r="K13" s="57"/>
    </row>
    <row r="14" spans="1:14">
      <c r="A14" s="26">
        <v>33611</v>
      </c>
      <c r="B14" s="245">
        <v>14880</v>
      </c>
      <c r="C14" s="245"/>
      <c r="D14" s="245"/>
      <c r="E14" s="28"/>
      <c r="F14" s="28"/>
      <c r="G14" s="28"/>
      <c r="H14" s="28"/>
      <c r="I14" s="28"/>
      <c r="J14" s="28"/>
      <c r="K14" s="54"/>
    </row>
    <row r="15" spans="1:14">
      <c r="A15" s="26">
        <v>33612</v>
      </c>
      <c r="B15" s="245">
        <v>21304</v>
      </c>
      <c r="C15" s="245">
        <f>B10</f>
        <v>9996</v>
      </c>
      <c r="D15" s="245">
        <f>B15-C15</f>
        <v>11308</v>
      </c>
      <c r="E15" s="52">
        <f>D15/C15*100</f>
        <v>113.12525010004002</v>
      </c>
      <c r="F15" s="28"/>
      <c r="G15" s="28"/>
      <c r="H15" s="28"/>
      <c r="I15" s="28"/>
      <c r="J15" s="28"/>
      <c r="K15" s="54"/>
    </row>
    <row r="16" spans="1:14">
      <c r="A16" s="27">
        <v>33613</v>
      </c>
      <c r="B16" s="246">
        <v>15776</v>
      </c>
      <c r="C16" s="246">
        <f t="shared" ref="C16:C49" si="0">B11</f>
        <v>12940</v>
      </c>
      <c r="D16" s="246">
        <f t="shared" ref="D16:D49" si="1">B16-C16</f>
        <v>2836</v>
      </c>
      <c r="E16" s="55">
        <f t="shared" ref="E16:E49" si="2">D16/C16*100</f>
        <v>21.916537867078826</v>
      </c>
      <c r="F16" s="29"/>
      <c r="G16" s="29"/>
      <c r="H16" s="29"/>
      <c r="I16" s="29"/>
      <c r="J16" s="29"/>
      <c r="K16" s="57"/>
    </row>
    <row r="17" spans="1:11">
      <c r="A17" s="27">
        <v>33616</v>
      </c>
      <c r="B17" s="246">
        <v>10384</v>
      </c>
      <c r="C17" s="246">
        <f t="shared" si="0"/>
        <v>37524</v>
      </c>
      <c r="D17" s="246">
        <f t="shared" si="1"/>
        <v>-27140</v>
      </c>
      <c r="E17" s="55">
        <f t="shared" si="2"/>
        <v>-72.327044025157221</v>
      </c>
      <c r="F17" s="29"/>
      <c r="G17" s="29"/>
      <c r="H17" s="29"/>
      <c r="I17" s="29"/>
      <c r="J17" s="29"/>
      <c r="K17" s="57"/>
    </row>
    <row r="18" spans="1:11">
      <c r="A18" s="26">
        <v>33617</v>
      </c>
      <c r="B18" s="245">
        <v>20896</v>
      </c>
      <c r="C18" s="245">
        <f t="shared" si="0"/>
        <v>21032</v>
      </c>
      <c r="D18" s="245">
        <f t="shared" si="1"/>
        <v>-136</v>
      </c>
      <c r="E18" s="52">
        <f t="shared" si="2"/>
        <v>-0.64663370102700646</v>
      </c>
      <c r="F18" s="28"/>
      <c r="G18" s="28"/>
      <c r="H18" s="28"/>
      <c r="I18" s="28"/>
      <c r="J18" s="28"/>
      <c r="K18" s="54"/>
    </row>
    <row r="19" spans="1:11">
      <c r="A19" s="26">
        <v>33618</v>
      </c>
      <c r="B19" s="245">
        <v>24892</v>
      </c>
      <c r="C19" s="245">
        <f t="shared" si="0"/>
        <v>14880</v>
      </c>
      <c r="D19" s="245">
        <f t="shared" si="1"/>
        <v>10012</v>
      </c>
      <c r="E19" s="52">
        <f t="shared" si="2"/>
        <v>67.284946236559136</v>
      </c>
      <c r="F19" s="28"/>
      <c r="G19" s="28"/>
      <c r="H19" s="28"/>
      <c r="I19" s="28"/>
      <c r="J19" s="28"/>
      <c r="K19" s="54"/>
    </row>
    <row r="20" spans="1:11">
      <c r="A20" s="27">
        <v>33619</v>
      </c>
      <c r="B20" s="246">
        <v>25328</v>
      </c>
      <c r="C20" s="246">
        <f t="shared" si="0"/>
        <v>21304</v>
      </c>
      <c r="D20" s="246">
        <f t="shared" si="1"/>
        <v>4024</v>
      </c>
      <c r="E20" s="55">
        <f t="shared" si="2"/>
        <v>18.88847164851671</v>
      </c>
      <c r="F20" s="29"/>
      <c r="G20" s="29"/>
      <c r="H20" s="29"/>
      <c r="I20" s="29"/>
      <c r="J20" s="29"/>
      <c r="K20" s="57"/>
    </row>
    <row r="21" spans="1:11">
      <c r="A21" s="27">
        <v>33620</v>
      </c>
      <c r="B21" s="246">
        <v>21544</v>
      </c>
      <c r="C21" s="246">
        <f t="shared" si="0"/>
        <v>15776</v>
      </c>
      <c r="D21" s="246">
        <f t="shared" si="1"/>
        <v>5768</v>
      </c>
      <c r="E21" s="55">
        <f t="shared" si="2"/>
        <v>36.561866125760652</v>
      </c>
      <c r="F21" s="29"/>
      <c r="G21" s="29"/>
      <c r="H21" s="29"/>
      <c r="I21" s="29"/>
      <c r="J21" s="29"/>
      <c r="K21" s="57"/>
    </row>
    <row r="22" spans="1:11">
      <c r="A22" s="26">
        <v>33623</v>
      </c>
      <c r="B22" s="245">
        <v>9836</v>
      </c>
      <c r="C22" s="245">
        <f t="shared" si="0"/>
        <v>10384</v>
      </c>
      <c r="D22" s="245">
        <f t="shared" si="1"/>
        <v>-548</v>
      </c>
      <c r="E22" s="52">
        <f t="shared" si="2"/>
        <v>-5.2773497688751929</v>
      </c>
      <c r="F22" s="28"/>
      <c r="G22" s="28"/>
      <c r="H22" s="28"/>
      <c r="I22" s="28"/>
      <c r="J22" s="28"/>
      <c r="K22" s="54"/>
    </row>
    <row r="23" spans="1:11">
      <c r="A23" s="26">
        <v>33624</v>
      </c>
      <c r="B23" s="245">
        <v>14212</v>
      </c>
      <c r="C23" s="245">
        <f t="shared" si="0"/>
        <v>20896</v>
      </c>
      <c r="D23" s="245">
        <f t="shared" si="1"/>
        <v>-6684</v>
      </c>
      <c r="E23" s="52">
        <f t="shared" si="2"/>
        <v>-31.986983154670749</v>
      </c>
      <c r="F23" s="28"/>
      <c r="G23" s="28"/>
      <c r="H23" s="28"/>
      <c r="I23" s="28"/>
      <c r="J23" s="28"/>
      <c r="K23" s="54"/>
    </row>
    <row r="24" spans="1:11">
      <c r="A24" s="27">
        <v>33625</v>
      </c>
      <c r="B24" s="246">
        <v>12504</v>
      </c>
      <c r="C24" s="246">
        <f t="shared" si="0"/>
        <v>24892</v>
      </c>
      <c r="D24" s="246">
        <f t="shared" si="1"/>
        <v>-12388</v>
      </c>
      <c r="E24" s="55">
        <f t="shared" si="2"/>
        <v>-49.76699341153784</v>
      </c>
      <c r="F24" s="29"/>
      <c r="G24" s="29"/>
      <c r="H24" s="29"/>
      <c r="I24" s="29"/>
      <c r="J24" s="29"/>
      <c r="K24" s="57"/>
    </row>
    <row r="25" spans="1:11">
      <c r="A25" s="27">
        <v>33626</v>
      </c>
      <c r="B25" s="246">
        <v>20076</v>
      </c>
      <c r="C25" s="246">
        <f t="shared" si="0"/>
        <v>25328</v>
      </c>
      <c r="D25" s="246">
        <f t="shared" si="1"/>
        <v>-5252</v>
      </c>
      <c r="E25" s="55">
        <f t="shared" si="2"/>
        <v>-20.735944409349337</v>
      </c>
      <c r="F25" s="29"/>
      <c r="G25" s="29"/>
      <c r="H25" s="29"/>
      <c r="I25" s="29"/>
      <c r="J25" s="29"/>
      <c r="K25" s="57"/>
    </row>
    <row r="26" spans="1:11">
      <c r="A26" s="26">
        <v>33627</v>
      </c>
      <c r="B26" s="245">
        <v>32120</v>
      </c>
      <c r="C26" s="245">
        <f t="shared" si="0"/>
        <v>21544</v>
      </c>
      <c r="D26" s="245">
        <f t="shared" si="1"/>
        <v>10576</v>
      </c>
      <c r="E26" s="52">
        <f t="shared" si="2"/>
        <v>49.09023393984404</v>
      </c>
      <c r="F26" s="28"/>
      <c r="G26" s="28"/>
      <c r="H26" s="28"/>
      <c r="I26" s="28"/>
      <c r="J26" s="28"/>
      <c r="K26" s="54"/>
    </row>
    <row r="27" spans="1:11">
      <c r="A27" s="26">
        <v>33630</v>
      </c>
      <c r="B27" s="245">
        <v>11772</v>
      </c>
      <c r="C27" s="245">
        <f t="shared" si="0"/>
        <v>9836</v>
      </c>
      <c r="D27" s="245">
        <f t="shared" si="1"/>
        <v>1936</v>
      </c>
      <c r="E27" s="52">
        <f t="shared" si="2"/>
        <v>19.682797885319236</v>
      </c>
      <c r="F27" s="28"/>
      <c r="G27" s="28"/>
      <c r="H27" s="28"/>
      <c r="I27" s="28"/>
      <c r="J27" s="28"/>
      <c r="K27" s="54"/>
    </row>
    <row r="28" spans="1:11">
      <c r="A28" s="27">
        <v>33631</v>
      </c>
      <c r="B28" s="246">
        <v>9860</v>
      </c>
      <c r="C28" s="246">
        <f t="shared" si="0"/>
        <v>14212</v>
      </c>
      <c r="D28" s="246">
        <f t="shared" si="1"/>
        <v>-4352</v>
      </c>
      <c r="E28" s="55">
        <f t="shared" si="2"/>
        <v>-30.62200956937799</v>
      </c>
      <c r="F28" s="29"/>
      <c r="G28" s="29"/>
      <c r="H28" s="29"/>
      <c r="I28" s="29"/>
      <c r="J28" s="29"/>
      <c r="K28" s="57"/>
    </row>
    <row r="29" spans="1:11">
      <c r="A29" s="27">
        <v>33632</v>
      </c>
      <c r="B29" s="246">
        <v>28804</v>
      </c>
      <c r="C29" s="246">
        <f t="shared" si="0"/>
        <v>12504</v>
      </c>
      <c r="D29" s="246">
        <f t="shared" si="1"/>
        <v>16300</v>
      </c>
      <c r="E29" s="55">
        <f t="shared" si="2"/>
        <v>130.35828534868844</v>
      </c>
      <c r="F29" s="29"/>
      <c r="G29" s="29"/>
      <c r="H29" s="29"/>
      <c r="I29" s="29"/>
      <c r="J29" s="29"/>
      <c r="K29" s="57"/>
    </row>
    <row r="30" spans="1:11">
      <c r="A30" s="26">
        <v>33633</v>
      </c>
      <c r="B30" s="245">
        <v>16204</v>
      </c>
      <c r="C30" s="245">
        <f t="shared" si="0"/>
        <v>20076</v>
      </c>
      <c r="D30" s="245">
        <f t="shared" si="1"/>
        <v>-3872</v>
      </c>
      <c r="E30" s="52">
        <f t="shared" si="2"/>
        <v>-19.28671050009962</v>
      </c>
      <c r="F30" s="28"/>
      <c r="G30" s="28"/>
      <c r="H30" s="28"/>
      <c r="I30" s="28"/>
      <c r="J30" s="28"/>
      <c r="K30" s="54"/>
    </row>
    <row r="31" spans="1:11">
      <c r="A31" s="26">
        <v>33634</v>
      </c>
      <c r="B31" s="245">
        <v>8244</v>
      </c>
      <c r="C31" s="245">
        <f t="shared" si="0"/>
        <v>32120</v>
      </c>
      <c r="D31" s="245">
        <f t="shared" si="1"/>
        <v>-23876</v>
      </c>
      <c r="E31" s="52">
        <f t="shared" si="2"/>
        <v>-74.333748443337484</v>
      </c>
      <c r="F31" s="28"/>
      <c r="G31" s="28"/>
      <c r="H31" s="28"/>
      <c r="I31" s="28"/>
      <c r="J31" s="28"/>
      <c r="K31" s="54"/>
    </row>
    <row r="32" spans="1:11">
      <c r="A32" s="27">
        <v>33637</v>
      </c>
      <c r="B32" s="246">
        <v>7876</v>
      </c>
      <c r="C32" s="246">
        <f t="shared" si="0"/>
        <v>11772</v>
      </c>
      <c r="D32" s="246">
        <f t="shared" si="1"/>
        <v>-3896</v>
      </c>
      <c r="E32" s="55">
        <f t="shared" si="2"/>
        <v>-33.095480801902823</v>
      </c>
      <c r="F32" s="29"/>
      <c r="G32" s="29"/>
      <c r="H32" s="29"/>
      <c r="I32" s="29"/>
      <c r="J32" s="29"/>
      <c r="K32" s="57"/>
    </row>
    <row r="33" spans="1:11">
      <c r="A33" s="27">
        <v>33638</v>
      </c>
      <c r="B33" s="246">
        <v>7600</v>
      </c>
      <c r="C33" s="246">
        <f t="shared" si="0"/>
        <v>9860</v>
      </c>
      <c r="D33" s="246">
        <f t="shared" si="1"/>
        <v>-2260</v>
      </c>
      <c r="E33" s="55">
        <f t="shared" si="2"/>
        <v>-22.920892494929006</v>
      </c>
      <c r="F33" s="29"/>
      <c r="G33" s="29"/>
      <c r="H33" s="29"/>
      <c r="I33" s="29"/>
      <c r="J33" s="29"/>
      <c r="K33" s="57"/>
    </row>
    <row r="34" spans="1:11">
      <c r="A34" s="26">
        <v>33639</v>
      </c>
      <c r="B34" s="245">
        <v>31612</v>
      </c>
      <c r="C34" s="245">
        <f t="shared" si="0"/>
        <v>28804</v>
      </c>
      <c r="D34" s="245">
        <f t="shared" si="1"/>
        <v>2808</v>
      </c>
      <c r="E34" s="52">
        <f t="shared" si="2"/>
        <v>9.7486460213859196</v>
      </c>
      <c r="F34" s="28"/>
      <c r="G34" s="28"/>
      <c r="H34" s="28"/>
      <c r="I34" s="28"/>
      <c r="J34" s="28"/>
      <c r="K34" s="54"/>
    </row>
    <row r="35" spans="1:11">
      <c r="A35" s="26">
        <v>33640</v>
      </c>
      <c r="B35" s="245">
        <v>34736</v>
      </c>
      <c r="C35" s="245">
        <f t="shared" si="0"/>
        <v>16204</v>
      </c>
      <c r="D35" s="245">
        <f t="shared" si="1"/>
        <v>18532</v>
      </c>
      <c r="E35" s="52">
        <f t="shared" si="2"/>
        <v>114.36682300666503</v>
      </c>
      <c r="F35" s="28"/>
      <c r="G35" s="28"/>
      <c r="H35" s="28"/>
      <c r="I35" s="28"/>
      <c r="J35" s="28"/>
      <c r="K35" s="54"/>
    </row>
    <row r="36" spans="1:11">
      <c r="A36" s="27">
        <v>33641</v>
      </c>
      <c r="B36" s="246">
        <v>21720</v>
      </c>
      <c r="C36" s="246">
        <f t="shared" si="0"/>
        <v>8244</v>
      </c>
      <c r="D36" s="246">
        <f t="shared" si="1"/>
        <v>13476</v>
      </c>
      <c r="E36" s="55">
        <f t="shared" si="2"/>
        <v>163.46433770014556</v>
      </c>
      <c r="F36" s="29"/>
      <c r="G36" s="29"/>
      <c r="H36" s="29"/>
      <c r="I36" s="29"/>
      <c r="J36" s="29"/>
      <c r="K36" s="57"/>
    </row>
    <row r="37" spans="1:11">
      <c r="A37" s="27">
        <v>33644</v>
      </c>
      <c r="B37" s="246">
        <v>6504</v>
      </c>
      <c r="C37" s="246">
        <f t="shared" si="0"/>
        <v>7876</v>
      </c>
      <c r="D37" s="246">
        <f t="shared" si="1"/>
        <v>-1372</v>
      </c>
      <c r="E37" s="55">
        <f t="shared" si="2"/>
        <v>-17.420010157440323</v>
      </c>
      <c r="F37" s="29"/>
      <c r="G37" s="29"/>
      <c r="H37" s="29"/>
      <c r="I37" s="29"/>
      <c r="J37" s="29"/>
      <c r="K37" s="57"/>
    </row>
    <row r="38" spans="1:11">
      <c r="A38" s="26">
        <v>33645</v>
      </c>
      <c r="B38" s="245">
        <v>7192</v>
      </c>
      <c r="C38" s="245">
        <f t="shared" si="0"/>
        <v>7600</v>
      </c>
      <c r="D38" s="245">
        <f t="shared" si="1"/>
        <v>-408</v>
      </c>
      <c r="E38" s="52">
        <f t="shared" si="2"/>
        <v>-5.3684210526315796</v>
      </c>
      <c r="F38" s="28"/>
      <c r="G38" s="28"/>
      <c r="H38" s="28"/>
      <c r="I38" s="28"/>
      <c r="J38" s="28"/>
      <c r="K38" s="54"/>
    </row>
    <row r="39" spans="1:11">
      <c r="A39" s="26">
        <v>33646</v>
      </c>
      <c r="B39" s="245">
        <v>44004</v>
      </c>
      <c r="C39" s="245">
        <f t="shared" si="0"/>
        <v>31612</v>
      </c>
      <c r="D39" s="245">
        <f t="shared" si="1"/>
        <v>12392</v>
      </c>
      <c r="E39" s="52">
        <f t="shared" si="2"/>
        <v>39.200303682146021</v>
      </c>
      <c r="F39" s="28"/>
      <c r="G39" s="28"/>
      <c r="H39" s="28"/>
      <c r="I39" s="28"/>
      <c r="J39" s="28"/>
      <c r="K39" s="54"/>
    </row>
    <row r="40" spans="1:11">
      <c r="A40" s="27">
        <v>33647</v>
      </c>
      <c r="B40" s="246">
        <v>25408</v>
      </c>
      <c r="C40" s="246">
        <f t="shared" si="0"/>
        <v>34736</v>
      </c>
      <c r="D40" s="246">
        <f t="shared" si="1"/>
        <v>-9328</v>
      </c>
      <c r="E40" s="55">
        <f t="shared" si="2"/>
        <v>-26.853984339014282</v>
      </c>
      <c r="F40" s="29"/>
      <c r="G40" s="29"/>
      <c r="H40" s="29"/>
      <c r="I40" s="29"/>
      <c r="J40" s="29"/>
      <c r="K40" s="57"/>
    </row>
    <row r="41" spans="1:11">
      <c r="A41" s="27">
        <v>33648</v>
      </c>
      <c r="B41" s="246">
        <v>13552</v>
      </c>
      <c r="C41" s="246">
        <f t="shared" si="0"/>
        <v>21720</v>
      </c>
      <c r="D41" s="246">
        <f t="shared" si="1"/>
        <v>-8168</v>
      </c>
      <c r="E41" s="55">
        <f t="shared" si="2"/>
        <v>-37.605893186003684</v>
      </c>
      <c r="F41" s="29"/>
      <c r="G41" s="29"/>
      <c r="H41" s="29"/>
      <c r="I41" s="29"/>
      <c r="J41" s="29"/>
      <c r="K41" s="57"/>
    </row>
    <row r="42" spans="1:11">
      <c r="A42" s="26">
        <v>33652</v>
      </c>
      <c r="B42" s="245">
        <v>12328</v>
      </c>
      <c r="C42" s="245">
        <f t="shared" si="0"/>
        <v>6504</v>
      </c>
      <c r="D42" s="245">
        <f t="shared" si="1"/>
        <v>5824</v>
      </c>
      <c r="E42" s="52">
        <f t="shared" si="2"/>
        <v>89.544895448954492</v>
      </c>
      <c r="F42" s="28"/>
      <c r="G42" s="28"/>
      <c r="H42" s="28"/>
      <c r="I42" s="28"/>
      <c r="J42" s="28"/>
      <c r="K42" s="54"/>
    </row>
    <row r="43" spans="1:11">
      <c r="A43" s="26">
        <v>33653</v>
      </c>
      <c r="B43" s="245">
        <v>9564</v>
      </c>
      <c r="C43" s="245">
        <f t="shared" si="0"/>
        <v>7192</v>
      </c>
      <c r="D43" s="245">
        <f t="shared" si="1"/>
        <v>2372</v>
      </c>
      <c r="E43" s="52">
        <f t="shared" si="2"/>
        <v>32.981090100111231</v>
      </c>
      <c r="F43" s="28"/>
      <c r="G43" s="28"/>
      <c r="H43" s="28"/>
      <c r="I43" s="28"/>
      <c r="J43" s="28"/>
      <c r="K43" s="54"/>
    </row>
    <row r="44" spans="1:11">
      <c r="A44" s="27">
        <v>33654</v>
      </c>
      <c r="B44" s="246">
        <v>19436</v>
      </c>
      <c r="C44" s="246">
        <f t="shared" si="0"/>
        <v>44004</v>
      </c>
      <c r="D44" s="246">
        <f t="shared" si="1"/>
        <v>-24568</v>
      </c>
      <c r="E44" s="55">
        <f t="shared" si="2"/>
        <v>-55.831288064721385</v>
      </c>
      <c r="F44" s="29"/>
      <c r="G44" s="29"/>
      <c r="H44" s="29"/>
      <c r="I44" s="29"/>
      <c r="J44" s="29"/>
      <c r="K44" s="57"/>
    </row>
    <row r="45" spans="1:11">
      <c r="A45" s="27">
        <v>33655</v>
      </c>
      <c r="B45" s="246">
        <v>22068</v>
      </c>
      <c r="C45" s="246">
        <f t="shared" si="0"/>
        <v>25408</v>
      </c>
      <c r="D45" s="246">
        <f t="shared" si="1"/>
        <v>-3340</v>
      </c>
      <c r="E45" s="55">
        <f t="shared" si="2"/>
        <v>-13.145465994962215</v>
      </c>
      <c r="F45" s="29"/>
      <c r="G45" s="29"/>
      <c r="H45" s="29"/>
      <c r="I45" s="29"/>
      <c r="J45" s="29"/>
      <c r="K45" s="57"/>
    </row>
    <row r="46" spans="1:11">
      <c r="A46" s="26">
        <v>33658</v>
      </c>
      <c r="B46" s="245">
        <v>9064</v>
      </c>
      <c r="C46" s="245">
        <f t="shared" si="0"/>
        <v>13552</v>
      </c>
      <c r="D46" s="245">
        <f t="shared" si="1"/>
        <v>-4488</v>
      </c>
      <c r="E46" s="52">
        <f t="shared" si="2"/>
        <v>-33.116883116883116</v>
      </c>
      <c r="F46" s="28"/>
      <c r="G46" s="28"/>
      <c r="H46" s="28"/>
      <c r="I46" s="28"/>
      <c r="J46" s="28"/>
      <c r="K46" s="54"/>
    </row>
    <row r="47" spans="1:11">
      <c r="A47" s="26">
        <v>33659</v>
      </c>
      <c r="B47" s="245">
        <v>18648</v>
      </c>
      <c r="C47" s="245">
        <f t="shared" si="0"/>
        <v>12328</v>
      </c>
      <c r="D47" s="245">
        <f t="shared" si="1"/>
        <v>6320</v>
      </c>
      <c r="E47" s="52">
        <f t="shared" si="2"/>
        <v>51.265412070084359</v>
      </c>
      <c r="F47" s="28"/>
      <c r="G47" s="28"/>
      <c r="H47" s="28"/>
      <c r="I47" s="28"/>
      <c r="J47" s="28"/>
      <c r="K47" s="54"/>
    </row>
    <row r="48" spans="1:11">
      <c r="A48" s="27">
        <v>33660</v>
      </c>
      <c r="B48" s="246">
        <v>18588</v>
      </c>
      <c r="C48" s="246">
        <f t="shared" si="0"/>
        <v>9564</v>
      </c>
      <c r="D48" s="246">
        <f t="shared" si="1"/>
        <v>9024</v>
      </c>
      <c r="E48" s="55">
        <f t="shared" si="2"/>
        <v>94.353826850690098</v>
      </c>
      <c r="F48" s="29"/>
      <c r="G48" s="29"/>
      <c r="H48" s="29"/>
      <c r="I48" s="29"/>
      <c r="J48" s="29"/>
      <c r="K48" s="57"/>
    </row>
    <row r="49" spans="1:11">
      <c r="A49" s="27">
        <v>33661</v>
      </c>
      <c r="B49" s="246">
        <v>26288</v>
      </c>
      <c r="C49" s="246">
        <f t="shared" si="0"/>
        <v>19436</v>
      </c>
      <c r="D49" s="246">
        <f t="shared" si="1"/>
        <v>6852</v>
      </c>
      <c r="E49" s="55">
        <f t="shared" si="2"/>
        <v>35.254167524181931</v>
      </c>
      <c r="F49" s="29"/>
      <c r="G49" s="29"/>
      <c r="H49" s="29"/>
      <c r="I49" s="29"/>
      <c r="J49" s="29"/>
      <c r="K49" s="57"/>
    </row>
    <row r="50" spans="1:11">
      <c r="A50" s="8"/>
    </row>
    <row r="51" spans="1:11">
      <c r="A51" s="8"/>
    </row>
    <row r="52" spans="1:11" ht="15">
      <c r="A52" s="241" t="s">
        <v>1010</v>
      </c>
    </row>
    <row r="53" spans="1:11" ht="32.25" customHeight="1">
      <c r="A53" s="447" t="s">
        <v>1011</v>
      </c>
      <c r="B53" s="447"/>
      <c r="C53" s="447"/>
      <c r="D53" s="447"/>
      <c r="E53" s="447"/>
      <c r="F53" s="447"/>
      <c r="G53" s="447"/>
      <c r="H53" s="447"/>
      <c r="I53" s="447"/>
      <c r="J53" s="447"/>
      <c r="K53" s="447"/>
    </row>
    <row r="54" spans="1:11" ht="33" customHeight="1">
      <c r="A54" s="447" t="s">
        <v>1012</v>
      </c>
      <c r="B54" s="447"/>
      <c r="C54" s="447"/>
      <c r="D54" s="447"/>
      <c r="E54" s="447"/>
      <c r="F54" s="447"/>
      <c r="G54" s="447"/>
      <c r="H54" s="447"/>
      <c r="I54" s="447"/>
      <c r="J54" s="447"/>
      <c r="K54" s="447"/>
    </row>
    <row r="55" spans="1:11">
      <c r="A55" s="8"/>
    </row>
    <row r="56" spans="1:11">
      <c r="A56" s="8"/>
    </row>
    <row r="57" spans="1:11">
      <c r="A57" s="8"/>
    </row>
    <row r="101" spans="1:1">
      <c r="A101" s="8"/>
    </row>
    <row r="102" spans="1:1">
      <c r="A102" s="8"/>
    </row>
    <row r="103" spans="1:1">
      <c r="A103" s="8"/>
    </row>
    <row r="104" spans="1:1">
      <c r="A104" s="8"/>
    </row>
    <row r="105" spans="1:1">
      <c r="A105" s="8"/>
    </row>
    <row r="106" spans="1:1">
      <c r="A106" s="8"/>
    </row>
    <row r="107" spans="1:1">
      <c r="A107" s="8"/>
    </row>
    <row r="108" spans="1:1">
      <c r="A108" s="8"/>
    </row>
    <row r="109" spans="1:1">
      <c r="A109" s="8"/>
    </row>
    <row r="110" spans="1:1">
      <c r="A110" s="8"/>
    </row>
    <row r="111" spans="1:1">
      <c r="A111" s="8"/>
    </row>
    <row r="112" spans="1:1">
      <c r="A112" s="8"/>
    </row>
    <row r="113" spans="1:1">
      <c r="A113" s="8"/>
    </row>
    <row r="114" spans="1:1">
      <c r="A114" s="8"/>
    </row>
    <row r="115" spans="1:1">
      <c r="A115" s="8"/>
    </row>
    <row r="116" spans="1:1">
      <c r="A116" s="8"/>
    </row>
    <row r="117" spans="1:1">
      <c r="A117" s="8"/>
    </row>
    <row r="118" spans="1:1">
      <c r="A118" s="8"/>
    </row>
    <row r="119" spans="1:1">
      <c r="A119" s="8"/>
    </row>
    <row r="120" spans="1:1">
      <c r="A120" s="8"/>
    </row>
    <row r="121" spans="1:1">
      <c r="A121" s="8"/>
    </row>
    <row r="122" spans="1:1">
      <c r="A122" s="8"/>
    </row>
    <row r="123" spans="1:1">
      <c r="A123" s="8"/>
    </row>
    <row r="124" spans="1:1">
      <c r="A124" s="8"/>
    </row>
    <row r="125" spans="1:1">
      <c r="A125" s="8"/>
    </row>
    <row r="126" spans="1:1">
      <c r="A126" s="8"/>
    </row>
    <row r="127" spans="1:1">
      <c r="A127" s="8"/>
    </row>
    <row r="128" spans="1:1">
      <c r="A128" s="8"/>
    </row>
    <row r="129" spans="1:1">
      <c r="A129" s="8"/>
    </row>
    <row r="130" spans="1:1">
      <c r="A130" s="8"/>
    </row>
    <row r="131" spans="1:1">
      <c r="A131" s="8"/>
    </row>
    <row r="132" spans="1:1">
      <c r="A132" s="8"/>
    </row>
    <row r="133" spans="1:1">
      <c r="A133" s="8"/>
    </row>
    <row r="134" spans="1:1">
      <c r="A134" s="8"/>
    </row>
    <row r="135" spans="1:1">
      <c r="A135" s="8"/>
    </row>
    <row r="136" spans="1:1">
      <c r="A136" s="8"/>
    </row>
    <row r="137" spans="1:1">
      <c r="A137" s="8"/>
    </row>
    <row r="138" spans="1:1">
      <c r="A138" s="8"/>
    </row>
    <row r="139" spans="1:1">
      <c r="A139" s="8"/>
    </row>
    <row r="140" spans="1:1">
      <c r="A140" s="8"/>
    </row>
    <row r="141" spans="1:1">
      <c r="A141" s="8"/>
    </row>
    <row r="142" spans="1:1">
      <c r="A142" s="8"/>
    </row>
    <row r="143" spans="1:1">
      <c r="A143" s="8"/>
    </row>
    <row r="144" spans="1:1">
      <c r="A144" s="8"/>
    </row>
    <row r="145" spans="1:1">
      <c r="A145" s="8"/>
    </row>
    <row r="146" spans="1:1">
      <c r="A146" s="8"/>
    </row>
    <row r="147" spans="1:1">
      <c r="A147" s="8"/>
    </row>
    <row r="148" spans="1:1">
      <c r="A148" s="8"/>
    </row>
    <row r="149" spans="1:1">
      <c r="A149" s="8"/>
    </row>
    <row r="150" spans="1:1">
      <c r="A150" s="8"/>
    </row>
    <row r="151" spans="1:1">
      <c r="A151" s="8"/>
    </row>
    <row r="152" spans="1:1">
      <c r="A152" s="8"/>
    </row>
    <row r="153" spans="1:1">
      <c r="A153" s="8"/>
    </row>
    <row r="154" spans="1:1">
      <c r="A154" s="8"/>
    </row>
    <row r="155" spans="1:1">
      <c r="A155" s="8"/>
    </row>
    <row r="156" spans="1:1">
      <c r="A156" s="8"/>
    </row>
    <row r="157" spans="1:1">
      <c r="A157" s="8"/>
    </row>
    <row r="158" spans="1:1">
      <c r="A158" s="8"/>
    </row>
    <row r="159" spans="1:1">
      <c r="A159" s="8"/>
    </row>
    <row r="160" spans="1:1">
      <c r="A160" s="8"/>
    </row>
    <row r="161" spans="1:1">
      <c r="A161" s="8"/>
    </row>
    <row r="162" spans="1:1">
      <c r="A162" s="8"/>
    </row>
    <row r="163" spans="1:1">
      <c r="A163" s="8"/>
    </row>
    <row r="164" spans="1:1">
      <c r="A164" s="8"/>
    </row>
    <row r="165" spans="1:1">
      <c r="A165" s="8"/>
    </row>
    <row r="166" spans="1:1">
      <c r="A166" s="8"/>
    </row>
    <row r="167" spans="1:1">
      <c r="A167" s="8"/>
    </row>
    <row r="168" spans="1:1">
      <c r="A168" s="8"/>
    </row>
    <row r="169" spans="1:1">
      <c r="A169" s="8"/>
    </row>
    <row r="170" spans="1:1">
      <c r="A170" s="8"/>
    </row>
    <row r="171" spans="1:1">
      <c r="A171" s="8"/>
    </row>
    <row r="172" spans="1:1">
      <c r="A172" s="8"/>
    </row>
    <row r="173" spans="1:1">
      <c r="A173" s="8"/>
    </row>
    <row r="174" spans="1:1">
      <c r="A174" s="8"/>
    </row>
    <row r="175" spans="1:1">
      <c r="A175" s="8"/>
    </row>
    <row r="176" spans="1:1">
      <c r="A176" s="8"/>
    </row>
    <row r="177" spans="1:1">
      <c r="A177" s="8"/>
    </row>
    <row r="178" spans="1:1">
      <c r="A178" s="8"/>
    </row>
    <row r="179" spans="1:1">
      <c r="A179" s="8"/>
    </row>
    <row r="180" spans="1:1">
      <c r="A180" s="8"/>
    </row>
    <row r="181" spans="1:1">
      <c r="A181" s="8"/>
    </row>
    <row r="182" spans="1:1">
      <c r="A182" s="8"/>
    </row>
    <row r="183" spans="1:1">
      <c r="A183" s="8"/>
    </row>
    <row r="184" spans="1:1">
      <c r="A184" s="8"/>
    </row>
    <row r="185" spans="1:1">
      <c r="A185" s="8"/>
    </row>
    <row r="186" spans="1:1">
      <c r="A186" s="8"/>
    </row>
    <row r="187" spans="1:1">
      <c r="A187" s="8"/>
    </row>
    <row r="188" spans="1:1">
      <c r="A188" s="8"/>
    </row>
    <row r="189" spans="1:1">
      <c r="A189" s="8"/>
    </row>
    <row r="190" spans="1:1">
      <c r="A190" s="8"/>
    </row>
    <row r="191" spans="1:1">
      <c r="A191" s="8"/>
    </row>
    <row r="192" spans="1:1">
      <c r="A192" s="8"/>
    </row>
    <row r="193" spans="1:1">
      <c r="A193" s="8"/>
    </row>
    <row r="194" spans="1:1">
      <c r="A194" s="8"/>
    </row>
    <row r="195" spans="1:1">
      <c r="A195" s="8"/>
    </row>
    <row r="196" spans="1:1">
      <c r="A196" s="8"/>
    </row>
    <row r="197" spans="1:1">
      <c r="A197" s="8"/>
    </row>
    <row r="198" spans="1:1">
      <c r="A198" s="8"/>
    </row>
    <row r="199" spans="1:1">
      <c r="A199" s="8"/>
    </row>
    <row r="200" spans="1:1">
      <c r="A200" s="8"/>
    </row>
    <row r="201" spans="1:1">
      <c r="A201" s="8"/>
    </row>
    <row r="202" spans="1:1">
      <c r="A202" s="8"/>
    </row>
    <row r="203" spans="1:1">
      <c r="A203" s="8"/>
    </row>
    <row r="204" spans="1:1">
      <c r="A204" s="8"/>
    </row>
    <row r="205" spans="1:1">
      <c r="A205" s="8"/>
    </row>
    <row r="206" spans="1:1">
      <c r="A206" s="8"/>
    </row>
    <row r="207" spans="1:1">
      <c r="A207" s="8"/>
    </row>
    <row r="208" spans="1:1">
      <c r="A208" s="8"/>
    </row>
    <row r="209" spans="1:1">
      <c r="A209" s="8"/>
    </row>
    <row r="210" spans="1:1">
      <c r="A210" s="8"/>
    </row>
    <row r="211" spans="1:1">
      <c r="A211" s="8"/>
    </row>
    <row r="212" spans="1:1">
      <c r="A212" s="8"/>
    </row>
    <row r="213" spans="1:1">
      <c r="A213" s="8"/>
    </row>
    <row r="214" spans="1:1">
      <c r="A214" s="8"/>
    </row>
    <row r="215" spans="1:1">
      <c r="A215" s="8"/>
    </row>
    <row r="216" spans="1:1">
      <c r="A216" s="8"/>
    </row>
    <row r="217" spans="1:1">
      <c r="A217" s="8"/>
    </row>
    <row r="218" spans="1:1">
      <c r="A218" s="8"/>
    </row>
    <row r="219" spans="1:1">
      <c r="A219" s="8"/>
    </row>
    <row r="220" spans="1:1">
      <c r="A220" s="8"/>
    </row>
    <row r="221" spans="1:1">
      <c r="A221" s="8"/>
    </row>
    <row r="222" spans="1:1">
      <c r="A222" s="8"/>
    </row>
    <row r="223" spans="1:1">
      <c r="A223" s="8"/>
    </row>
    <row r="224" spans="1:1">
      <c r="A224" s="8"/>
    </row>
    <row r="225" spans="1:1">
      <c r="A225" s="8"/>
    </row>
    <row r="226" spans="1:1">
      <c r="A226" s="8"/>
    </row>
    <row r="227" spans="1:1">
      <c r="A227" s="8"/>
    </row>
    <row r="228" spans="1:1">
      <c r="A228" s="8"/>
    </row>
    <row r="229" spans="1:1">
      <c r="A229" s="8"/>
    </row>
    <row r="230" spans="1:1">
      <c r="A230" s="8"/>
    </row>
    <row r="231" spans="1:1">
      <c r="A231" s="8"/>
    </row>
    <row r="232" spans="1:1">
      <c r="A232" s="8"/>
    </row>
    <row r="233" spans="1:1">
      <c r="A233" s="8"/>
    </row>
    <row r="234" spans="1:1">
      <c r="A234" s="8"/>
    </row>
    <row r="235" spans="1:1">
      <c r="A235" s="8"/>
    </row>
    <row r="236" spans="1:1">
      <c r="A236" s="8"/>
    </row>
    <row r="237" spans="1:1">
      <c r="A237" s="8"/>
    </row>
    <row r="238" spans="1:1">
      <c r="A238" s="8"/>
    </row>
    <row r="239" spans="1:1">
      <c r="A239" s="8"/>
    </row>
    <row r="240" spans="1:1">
      <c r="A240" s="8"/>
    </row>
    <row r="241" spans="1:1">
      <c r="A241" s="8"/>
    </row>
    <row r="242" spans="1:1">
      <c r="A242" s="8"/>
    </row>
    <row r="243" spans="1:1">
      <c r="A243" s="8"/>
    </row>
  </sheetData>
  <mergeCells count="4">
    <mergeCell ref="B5:K5"/>
    <mergeCell ref="B6:K6"/>
    <mergeCell ref="A54:K54"/>
    <mergeCell ref="A53:K53"/>
  </mergeCells>
  <phoneticPr fontId="0" type="noConversion"/>
  <pageMargins left="0.75" right="0.75" top="1" bottom="1" header="0.5" footer="0.5"/>
  <pageSetup orientation="portrait" horizontalDpi="0" verticalDpi="0" copies="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1507"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21508"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21509"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1510"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21511" r:id="rId7" name="Button 7">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21512" r:id="rId8" name="Button 8">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21513" r:id="rId9" name="Button 9">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1514" r:id="rId10" name="Button 10">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2" enableFormatConditionsCalculation="0"/>
  <dimension ref="A1:N48"/>
  <sheetViews>
    <sheetView workbookViewId="0"/>
  </sheetViews>
  <sheetFormatPr baseColWidth="10" defaultColWidth="8.83203125" defaultRowHeight="12" x14ac:dyDescent="0"/>
  <cols>
    <col min="1" max="1" width="11.33203125" customWidth="1"/>
    <col min="2" max="3" width="9.33203125" bestFit="1" customWidth="1"/>
    <col min="4" max="4" width="11" customWidth="1"/>
    <col min="5" max="5" width="9.6640625" bestFit="1" customWidth="1"/>
    <col min="6" max="6" width="11.33203125" customWidth="1"/>
  </cols>
  <sheetData>
    <row r="1" spans="1:14">
      <c r="A1" s="21"/>
      <c r="B1" s="21"/>
      <c r="C1" s="21" t="s">
        <v>846</v>
      </c>
      <c r="D1" s="21"/>
      <c r="E1" s="21"/>
      <c r="F1" s="21"/>
      <c r="G1" s="21"/>
      <c r="H1" s="21"/>
      <c r="I1" s="21"/>
      <c r="J1" s="21"/>
      <c r="K1" s="21"/>
    </row>
    <row r="2" spans="1:14" ht="21" customHeight="1">
      <c r="A2" s="21"/>
      <c r="B2" s="21"/>
      <c r="C2" s="21"/>
      <c r="D2" s="374"/>
      <c r="E2" s="374"/>
      <c r="F2" s="374"/>
      <c r="G2" s="374"/>
      <c r="H2" s="374"/>
      <c r="I2" s="374"/>
      <c r="J2" s="374"/>
      <c r="K2" s="374"/>
      <c r="L2" s="372"/>
      <c r="M2" s="372"/>
      <c r="N2" s="372"/>
    </row>
    <row r="3" spans="1:14">
      <c r="A3" s="19" t="s">
        <v>1045</v>
      </c>
      <c r="B3" s="20" t="s">
        <v>628</v>
      </c>
      <c r="C3" s="21"/>
      <c r="D3" s="21"/>
      <c r="E3" s="21"/>
      <c r="F3" s="21"/>
      <c r="G3" s="21"/>
      <c r="H3" s="21"/>
      <c r="I3" s="21"/>
      <c r="J3" s="21"/>
      <c r="K3" s="21"/>
    </row>
    <row r="4" spans="1:14">
      <c r="A4" s="19" t="s">
        <v>774</v>
      </c>
      <c r="B4" s="20" t="s">
        <v>441</v>
      </c>
      <c r="C4" s="21"/>
      <c r="D4" s="21"/>
      <c r="E4" s="21"/>
      <c r="F4" s="21"/>
      <c r="G4" s="21"/>
      <c r="H4" s="21"/>
      <c r="I4" s="21"/>
      <c r="J4" s="21"/>
      <c r="K4" s="21"/>
    </row>
    <row r="5" spans="1:14" ht="32.25" customHeight="1">
      <c r="A5" s="118" t="s">
        <v>779</v>
      </c>
      <c r="B5" s="446" t="s">
        <v>1016</v>
      </c>
      <c r="C5" s="446"/>
      <c r="D5" s="446"/>
      <c r="E5" s="446"/>
      <c r="F5" s="446"/>
      <c r="G5" s="446"/>
      <c r="H5" s="446"/>
      <c r="I5" s="446"/>
      <c r="J5" s="446"/>
      <c r="K5" s="446"/>
      <c r="L5" s="241"/>
    </row>
    <row r="6" spans="1:14" ht="39.75" customHeight="1">
      <c r="A6" s="19"/>
      <c r="B6" s="20"/>
      <c r="C6" s="21"/>
      <c r="D6" s="21"/>
      <c r="E6" s="21"/>
      <c r="F6" s="21"/>
      <c r="G6" s="21"/>
      <c r="H6" s="21"/>
      <c r="I6" s="21"/>
      <c r="J6" s="21"/>
      <c r="K6" s="21"/>
      <c r="L6" s="241"/>
    </row>
    <row r="7" spans="1:14" ht="36">
      <c r="A7" s="22" t="s">
        <v>1090</v>
      </c>
      <c r="B7" s="22" t="s">
        <v>1096</v>
      </c>
      <c r="C7" s="22" t="s">
        <v>1097</v>
      </c>
      <c r="D7" s="22" t="s">
        <v>1098</v>
      </c>
      <c r="E7" s="31" t="s">
        <v>1019</v>
      </c>
      <c r="F7" s="31" t="s">
        <v>1199</v>
      </c>
      <c r="G7" s="22"/>
      <c r="H7" s="22"/>
      <c r="I7" s="22"/>
      <c r="J7" s="22"/>
      <c r="K7" s="22"/>
    </row>
    <row r="8" spans="1:14">
      <c r="A8" s="26">
        <v>36035</v>
      </c>
      <c r="B8" s="112">
        <v>39.75</v>
      </c>
      <c r="C8" s="112">
        <v>38.25</v>
      </c>
      <c r="D8" s="112">
        <v>39</v>
      </c>
      <c r="E8" s="112">
        <f>(D8*2) +B8+C8</f>
        <v>156</v>
      </c>
      <c r="F8" s="112">
        <f>E8/4</f>
        <v>39</v>
      </c>
      <c r="G8" s="28"/>
      <c r="H8" s="28"/>
      <c r="I8" s="28"/>
      <c r="J8" s="28"/>
      <c r="K8" s="54"/>
    </row>
    <row r="9" spans="1:14">
      <c r="A9" s="26">
        <v>36038</v>
      </c>
      <c r="B9" s="112">
        <v>39.625</v>
      </c>
      <c r="C9" s="112">
        <v>37.875</v>
      </c>
      <c r="D9" s="112">
        <v>38</v>
      </c>
      <c r="E9" s="112">
        <f t="shared" ref="E9:E45" si="0">(D9*2) +B9+C9</f>
        <v>153.5</v>
      </c>
      <c r="F9" s="112">
        <f t="shared" ref="F9:F45" si="1">E9/4</f>
        <v>38.375</v>
      </c>
      <c r="G9" s="28"/>
      <c r="H9" s="28"/>
      <c r="I9" s="28"/>
      <c r="J9" s="28"/>
      <c r="K9" s="54"/>
    </row>
    <row r="10" spans="1:14">
      <c r="A10" s="27">
        <v>36039</v>
      </c>
      <c r="B10" s="111">
        <v>38.75</v>
      </c>
      <c r="C10" s="111">
        <v>36.5</v>
      </c>
      <c r="D10" s="111">
        <v>38.75</v>
      </c>
      <c r="E10" s="111">
        <f t="shared" si="0"/>
        <v>152.75</v>
      </c>
      <c r="F10" s="111">
        <f t="shared" si="1"/>
        <v>38.1875</v>
      </c>
      <c r="G10" s="29"/>
      <c r="H10" s="29"/>
      <c r="I10" s="29"/>
      <c r="J10" s="29"/>
      <c r="K10" s="57"/>
    </row>
    <row r="11" spans="1:14">
      <c r="A11" s="27">
        <v>36040</v>
      </c>
      <c r="B11" s="111">
        <v>41.625</v>
      </c>
      <c r="C11" s="111">
        <v>38.5</v>
      </c>
      <c r="D11" s="111">
        <v>41.4375</v>
      </c>
      <c r="E11" s="111">
        <f t="shared" si="0"/>
        <v>163</v>
      </c>
      <c r="F11" s="111">
        <f t="shared" si="1"/>
        <v>40.75</v>
      </c>
      <c r="G11" s="29"/>
      <c r="H11" s="29"/>
      <c r="I11" s="29"/>
      <c r="J11" s="29"/>
      <c r="K11" s="57"/>
    </row>
    <row r="12" spans="1:14">
      <c r="A12" s="26">
        <v>36041</v>
      </c>
      <c r="B12" s="112">
        <v>41.25</v>
      </c>
      <c r="C12" s="112">
        <v>40.5</v>
      </c>
      <c r="D12" s="112">
        <v>40.6875</v>
      </c>
      <c r="E12" s="112">
        <f t="shared" si="0"/>
        <v>163.125</v>
      </c>
      <c r="F12" s="112">
        <f t="shared" si="1"/>
        <v>40.78125</v>
      </c>
      <c r="G12" s="28"/>
      <c r="H12" s="28"/>
      <c r="I12" s="28"/>
      <c r="J12" s="28"/>
      <c r="K12" s="54"/>
    </row>
    <row r="13" spans="1:14">
      <c r="A13" s="26">
        <v>36042</v>
      </c>
      <c r="B13" s="112">
        <v>41.125</v>
      </c>
      <c r="C13" s="112">
        <v>40.5</v>
      </c>
      <c r="D13" s="112">
        <v>41.125</v>
      </c>
      <c r="E13" s="112">
        <f t="shared" si="0"/>
        <v>163.875</v>
      </c>
      <c r="F13" s="112">
        <f t="shared" si="1"/>
        <v>40.96875</v>
      </c>
      <c r="G13" s="28"/>
      <c r="H13" s="28"/>
      <c r="I13" s="28"/>
      <c r="J13" s="28"/>
      <c r="K13" s="54"/>
    </row>
    <row r="14" spans="1:14">
      <c r="A14" s="27">
        <v>36046</v>
      </c>
      <c r="B14" s="111">
        <v>43.25</v>
      </c>
      <c r="C14" s="111">
        <v>41.875</v>
      </c>
      <c r="D14" s="111">
        <v>43.125</v>
      </c>
      <c r="E14" s="111">
        <f t="shared" si="0"/>
        <v>171.375</v>
      </c>
      <c r="F14" s="111">
        <f t="shared" si="1"/>
        <v>42.84375</v>
      </c>
      <c r="G14" s="29"/>
      <c r="H14" s="29"/>
      <c r="I14" s="29"/>
      <c r="J14" s="29"/>
      <c r="K14" s="57"/>
    </row>
    <row r="15" spans="1:14">
      <c r="A15" s="27">
        <v>36047</v>
      </c>
      <c r="B15" s="111">
        <v>43.75</v>
      </c>
      <c r="C15" s="111">
        <v>42.875</v>
      </c>
      <c r="D15" s="111">
        <v>43.375</v>
      </c>
      <c r="E15" s="111">
        <f t="shared" si="0"/>
        <v>173.375</v>
      </c>
      <c r="F15" s="111">
        <f t="shared" si="1"/>
        <v>43.34375</v>
      </c>
      <c r="G15" s="29"/>
      <c r="H15" s="29"/>
      <c r="I15" s="29"/>
      <c r="J15" s="29"/>
      <c r="K15" s="57"/>
    </row>
    <row r="16" spans="1:14">
      <c r="A16" s="26">
        <v>36048</v>
      </c>
      <c r="B16" s="112">
        <v>42.875</v>
      </c>
      <c r="C16" s="112">
        <v>40.625</v>
      </c>
      <c r="D16" s="112">
        <v>40.8125</v>
      </c>
      <c r="E16" s="112">
        <f t="shared" si="0"/>
        <v>165.125</v>
      </c>
      <c r="F16" s="112">
        <f t="shared" si="1"/>
        <v>41.28125</v>
      </c>
      <c r="G16" s="28"/>
      <c r="H16" s="28"/>
      <c r="I16" s="28"/>
      <c r="J16" s="28"/>
      <c r="K16" s="54"/>
    </row>
    <row r="17" spans="1:11">
      <c r="A17" s="26">
        <v>36049</v>
      </c>
      <c r="B17" s="112">
        <v>41.125</v>
      </c>
      <c r="C17" s="112">
        <v>40.125</v>
      </c>
      <c r="D17" s="112">
        <v>41.125</v>
      </c>
      <c r="E17" s="112">
        <f t="shared" si="0"/>
        <v>163.5</v>
      </c>
      <c r="F17" s="112">
        <f t="shared" si="1"/>
        <v>40.875</v>
      </c>
      <c r="G17" s="28"/>
      <c r="H17" s="28"/>
      <c r="I17" s="28"/>
      <c r="J17" s="28"/>
      <c r="K17" s="54"/>
    </row>
    <row r="18" spans="1:11">
      <c r="A18" s="27">
        <v>36052</v>
      </c>
      <c r="B18" s="111">
        <v>42.75</v>
      </c>
      <c r="C18" s="111">
        <v>41.125</v>
      </c>
      <c r="D18" s="111">
        <v>42.5</v>
      </c>
      <c r="E18" s="111">
        <f t="shared" si="0"/>
        <v>168.875</v>
      </c>
      <c r="F18" s="111">
        <f t="shared" si="1"/>
        <v>42.21875</v>
      </c>
      <c r="G18" s="29"/>
      <c r="H18" s="29"/>
      <c r="I18" s="29"/>
      <c r="J18" s="29"/>
      <c r="K18" s="57"/>
    </row>
    <row r="19" spans="1:11">
      <c r="A19" s="27">
        <v>36053</v>
      </c>
      <c r="B19" s="111">
        <v>44.375</v>
      </c>
      <c r="C19" s="111">
        <v>42.3125</v>
      </c>
      <c r="D19" s="111">
        <v>43.9375</v>
      </c>
      <c r="E19" s="111">
        <f t="shared" si="0"/>
        <v>174.5625</v>
      </c>
      <c r="F19" s="111">
        <f t="shared" si="1"/>
        <v>43.640625</v>
      </c>
      <c r="G19" s="29"/>
      <c r="H19" s="29"/>
      <c r="I19" s="29"/>
      <c r="J19" s="29"/>
      <c r="K19" s="57"/>
    </row>
    <row r="20" spans="1:11">
      <c r="A20" s="26">
        <v>36054</v>
      </c>
      <c r="B20" s="112">
        <v>45.125</v>
      </c>
      <c r="C20" s="112">
        <v>42.875</v>
      </c>
      <c r="D20" s="112">
        <v>42.9375</v>
      </c>
      <c r="E20" s="112">
        <f t="shared" si="0"/>
        <v>173.875</v>
      </c>
      <c r="F20" s="112">
        <f t="shared" si="1"/>
        <v>43.46875</v>
      </c>
      <c r="G20" s="28"/>
      <c r="H20" s="28"/>
      <c r="I20" s="28"/>
      <c r="J20" s="28"/>
      <c r="K20" s="54"/>
    </row>
    <row r="21" spans="1:11">
      <c r="A21" s="26">
        <v>36055</v>
      </c>
      <c r="B21" s="112">
        <v>42.875</v>
      </c>
      <c r="C21" s="112">
        <v>41</v>
      </c>
      <c r="D21" s="112">
        <v>41.625</v>
      </c>
      <c r="E21" s="112">
        <f t="shared" si="0"/>
        <v>167.125</v>
      </c>
      <c r="F21" s="112">
        <f t="shared" si="1"/>
        <v>41.78125</v>
      </c>
      <c r="G21" s="28"/>
      <c r="H21" s="28"/>
      <c r="I21" s="28"/>
      <c r="J21" s="28"/>
      <c r="K21" s="54"/>
    </row>
    <row r="22" spans="1:11">
      <c r="A22" s="27">
        <v>36056</v>
      </c>
      <c r="B22" s="111">
        <v>44.625</v>
      </c>
      <c r="C22" s="111">
        <v>41.75</v>
      </c>
      <c r="D22" s="111">
        <v>44.375</v>
      </c>
      <c r="E22" s="111">
        <f t="shared" si="0"/>
        <v>175.125</v>
      </c>
      <c r="F22" s="111">
        <f t="shared" si="1"/>
        <v>43.78125</v>
      </c>
      <c r="G22" s="29"/>
      <c r="H22" s="29"/>
      <c r="I22" s="29"/>
      <c r="J22" s="29"/>
      <c r="K22" s="57"/>
    </row>
    <row r="23" spans="1:11">
      <c r="A23" s="27">
        <v>36059</v>
      </c>
      <c r="B23" s="111">
        <v>45.25</v>
      </c>
      <c r="C23" s="111">
        <v>42.625</v>
      </c>
      <c r="D23" s="111">
        <v>45.125</v>
      </c>
      <c r="E23" s="111">
        <f t="shared" si="0"/>
        <v>178.125</v>
      </c>
      <c r="F23" s="111">
        <f t="shared" si="1"/>
        <v>44.53125</v>
      </c>
      <c r="G23" s="29"/>
      <c r="H23" s="29"/>
      <c r="I23" s="29"/>
      <c r="J23" s="29"/>
      <c r="K23" s="57"/>
    </row>
    <row r="24" spans="1:11">
      <c r="A24" s="26">
        <v>36060</v>
      </c>
      <c r="B24" s="112">
        <v>47.375</v>
      </c>
      <c r="C24" s="112">
        <v>44.4375</v>
      </c>
      <c r="D24" s="112">
        <v>46.875</v>
      </c>
      <c r="E24" s="112">
        <f t="shared" si="0"/>
        <v>185.5625</v>
      </c>
      <c r="F24" s="112">
        <f t="shared" si="1"/>
        <v>46.390625</v>
      </c>
      <c r="G24" s="28"/>
      <c r="H24" s="28"/>
      <c r="I24" s="28"/>
      <c r="J24" s="28"/>
      <c r="K24" s="54"/>
    </row>
    <row r="25" spans="1:11">
      <c r="A25" s="26">
        <v>36061</v>
      </c>
      <c r="B25" s="112">
        <v>48.75</v>
      </c>
      <c r="C25" s="112">
        <v>47.375</v>
      </c>
      <c r="D25" s="112">
        <v>47.625</v>
      </c>
      <c r="E25" s="112">
        <f t="shared" si="0"/>
        <v>191.375</v>
      </c>
      <c r="F25" s="112">
        <f t="shared" si="1"/>
        <v>47.84375</v>
      </c>
      <c r="G25" s="28"/>
      <c r="H25" s="28"/>
      <c r="I25" s="28"/>
      <c r="J25" s="28"/>
      <c r="K25" s="54"/>
    </row>
    <row r="26" spans="1:11">
      <c r="A26" s="27">
        <v>36062</v>
      </c>
      <c r="B26" s="111">
        <v>48.8125</v>
      </c>
      <c r="C26" s="111">
        <v>46.625</v>
      </c>
      <c r="D26" s="111">
        <v>47.5</v>
      </c>
      <c r="E26" s="111">
        <f t="shared" si="0"/>
        <v>190.4375</v>
      </c>
      <c r="F26" s="111">
        <f t="shared" si="1"/>
        <v>47.609375</v>
      </c>
      <c r="G26" s="29"/>
      <c r="H26" s="29"/>
      <c r="I26" s="29"/>
      <c r="J26" s="29"/>
      <c r="K26" s="57"/>
    </row>
    <row r="27" spans="1:11">
      <c r="A27" s="27">
        <v>36063</v>
      </c>
      <c r="B27" s="111">
        <v>47</v>
      </c>
      <c r="C27" s="111">
        <v>45.25</v>
      </c>
      <c r="D27" s="111">
        <v>46.125</v>
      </c>
      <c r="E27" s="111">
        <f t="shared" si="0"/>
        <v>184.5</v>
      </c>
      <c r="F27" s="111">
        <f t="shared" si="1"/>
        <v>46.125</v>
      </c>
      <c r="G27" s="29"/>
      <c r="H27" s="29"/>
      <c r="I27" s="29"/>
      <c r="J27" s="29"/>
      <c r="K27" s="57"/>
    </row>
    <row r="28" spans="1:11">
      <c r="A28" s="26">
        <v>36066</v>
      </c>
      <c r="B28" s="112">
        <v>46.625</v>
      </c>
      <c r="C28" s="112">
        <v>46.0625</v>
      </c>
      <c r="D28" s="112">
        <v>46.4375</v>
      </c>
      <c r="E28" s="112">
        <f t="shared" si="0"/>
        <v>185.5625</v>
      </c>
      <c r="F28" s="112">
        <f t="shared" si="1"/>
        <v>46.390625</v>
      </c>
      <c r="G28" s="28"/>
      <c r="H28" s="28"/>
      <c r="I28" s="28"/>
      <c r="J28" s="28"/>
      <c r="K28" s="54"/>
    </row>
    <row r="29" spans="1:11">
      <c r="A29" s="26">
        <v>36067</v>
      </c>
      <c r="B29" s="112">
        <v>46.625</v>
      </c>
      <c r="C29" s="112">
        <v>46.125</v>
      </c>
      <c r="D29" s="112">
        <v>46.25</v>
      </c>
      <c r="E29" s="112">
        <f t="shared" si="0"/>
        <v>185.25</v>
      </c>
      <c r="F29" s="112">
        <f t="shared" si="1"/>
        <v>46.3125</v>
      </c>
      <c r="G29" s="28"/>
      <c r="H29" s="28"/>
      <c r="I29" s="28"/>
      <c r="J29" s="28"/>
      <c r="K29" s="54"/>
    </row>
    <row r="30" spans="1:11">
      <c r="A30" s="27">
        <v>36068</v>
      </c>
      <c r="B30" s="111">
        <v>52</v>
      </c>
      <c r="C30" s="111">
        <v>48</v>
      </c>
      <c r="D30" s="111">
        <v>51.5625</v>
      </c>
      <c r="E30" s="111">
        <f t="shared" si="0"/>
        <v>203.125</v>
      </c>
      <c r="F30" s="111">
        <f t="shared" si="1"/>
        <v>50.78125</v>
      </c>
      <c r="G30" s="29"/>
      <c r="H30" s="29"/>
      <c r="I30" s="29"/>
      <c r="J30" s="29"/>
      <c r="K30" s="57"/>
    </row>
    <row r="31" spans="1:11">
      <c r="A31" s="27">
        <v>36069</v>
      </c>
      <c r="B31" s="111">
        <v>49.25</v>
      </c>
      <c r="C31" s="111">
        <v>42.625</v>
      </c>
      <c r="D31" s="111">
        <v>43.3125</v>
      </c>
      <c r="E31" s="111">
        <f t="shared" si="0"/>
        <v>178.5</v>
      </c>
      <c r="F31" s="111">
        <f t="shared" si="1"/>
        <v>44.625</v>
      </c>
      <c r="G31" s="29"/>
      <c r="H31" s="29"/>
      <c r="I31" s="29"/>
      <c r="J31" s="29"/>
      <c r="K31" s="57"/>
    </row>
    <row r="32" spans="1:11">
      <c r="A32" s="26">
        <v>36070</v>
      </c>
      <c r="B32" s="112">
        <v>45.75</v>
      </c>
      <c r="C32" s="112">
        <v>40.875</v>
      </c>
      <c r="D32" s="112">
        <v>45.5</v>
      </c>
      <c r="E32" s="112">
        <f t="shared" si="0"/>
        <v>177.625</v>
      </c>
      <c r="F32" s="112">
        <f t="shared" si="1"/>
        <v>44.40625</v>
      </c>
      <c r="G32" s="28"/>
      <c r="H32" s="28"/>
      <c r="I32" s="28"/>
      <c r="J32" s="28"/>
      <c r="K32" s="54"/>
    </row>
    <row r="33" spans="1:11">
      <c r="A33" s="26">
        <v>36073</v>
      </c>
      <c r="B33" s="112">
        <v>45.25</v>
      </c>
      <c r="C33" s="112">
        <v>41.375</v>
      </c>
      <c r="D33" s="112">
        <v>44.5625</v>
      </c>
      <c r="E33" s="112">
        <f t="shared" si="0"/>
        <v>175.75</v>
      </c>
      <c r="F33" s="112">
        <f t="shared" si="1"/>
        <v>43.9375</v>
      </c>
      <c r="G33" s="28"/>
      <c r="H33" s="28"/>
      <c r="I33" s="28"/>
      <c r="J33" s="28"/>
      <c r="K33" s="54"/>
    </row>
    <row r="34" spans="1:11">
      <c r="A34" s="27">
        <v>36074</v>
      </c>
      <c r="B34" s="111">
        <v>46.25</v>
      </c>
      <c r="C34" s="111">
        <v>44.5625</v>
      </c>
      <c r="D34" s="111">
        <v>45.625</v>
      </c>
      <c r="E34" s="111">
        <f t="shared" si="0"/>
        <v>182.0625</v>
      </c>
      <c r="F34" s="111">
        <f t="shared" si="1"/>
        <v>45.515625</v>
      </c>
      <c r="G34" s="29"/>
      <c r="H34" s="29"/>
      <c r="I34" s="29"/>
      <c r="J34" s="29"/>
      <c r="K34" s="57"/>
    </row>
    <row r="35" spans="1:11">
      <c r="A35" s="27">
        <v>36075</v>
      </c>
      <c r="B35" s="111">
        <v>45.125</v>
      </c>
      <c r="C35" s="111">
        <v>41.25</v>
      </c>
      <c r="D35" s="111">
        <v>41.9375</v>
      </c>
      <c r="E35" s="111">
        <f t="shared" si="0"/>
        <v>170.25</v>
      </c>
      <c r="F35" s="111">
        <f t="shared" si="1"/>
        <v>42.5625</v>
      </c>
      <c r="G35" s="29"/>
      <c r="H35" s="29"/>
      <c r="I35" s="29"/>
      <c r="J35" s="29"/>
      <c r="K35" s="57"/>
    </row>
    <row r="36" spans="1:11">
      <c r="A36" s="26">
        <v>36076</v>
      </c>
      <c r="B36" s="112">
        <v>42.75</v>
      </c>
      <c r="C36" s="112">
        <v>39.5</v>
      </c>
      <c r="D36" s="112">
        <v>41.875</v>
      </c>
      <c r="E36" s="112">
        <f t="shared" si="0"/>
        <v>166</v>
      </c>
      <c r="F36" s="112">
        <f t="shared" si="1"/>
        <v>41.5</v>
      </c>
      <c r="G36" s="28"/>
      <c r="H36" s="28"/>
      <c r="I36" s="28"/>
      <c r="J36" s="28"/>
      <c r="K36" s="54"/>
    </row>
    <row r="37" spans="1:11">
      <c r="A37" s="26">
        <v>36077</v>
      </c>
      <c r="B37" s="112">
        <v>42.75</v>
      </c>
      <c r="C37" s="112">
        <v>40.375</v>
      </c>
      <c r="D37" s="112">
        <v>42.75</v>
      </c>
      <c r="E37" s="112">
        <f t="shared" si="0"/>
        <v>168.625</v>
      </c>
      <c r="F37" s="112">
        <f t="shared" si="1"/>
        <v>42.15625</v>
      </c>
      <c r="G37" s="28"/>
      <c r="H37" s="28"/>
      <c r="I37" s="28"/>
      <c r="J37" s="28"/>
      <c r="K37" s="54"/>
    </row>
    <row r="38" spans="1:11">
      <c r="A38" s="27">
        <v>36080</v>
      </c>
      <c r="B38" s="111">
        <v>45.125</v>
      </c>
      <c r="C38" s="111">
        <v>43.375</v>
      </c>
      <c r="D38" s="111">
        <v>43.625</v>
      </c>
      <c r="E38" s="111">
        <f t="shared" si="0"/>
        <v>175.75</v>
      </c>
      <c r="F38" s="111">
        <f t="shared" si="1"/>
        <v>43.9375</v>
      </c>
      <c r="G38" s="29"/>
      <c r="H38" s="29"/>
      <c r="I38" s="29"/>
      <c r="J38" s="29"/>
      <c r="K38" s="57"/>
    </row>
    <row r="39" spans="1:11">
      <c r="A39" s="27">
        <v>36081</v>
      </c>
      <c r="B39" s="111">
        <v>43.5</v>
      </c>
      <c r="C39" s="111">
        <v>41.875</v>
      </c>
      <c r="D39" s="111">
        <v>42.5625</v>
      </c>
      <c r="E39" s="111">
        <f t="shared" si="0"/>
        <v>170.5</v>
      </c>
      <c r="F39" s="111">
        <f t="shared" si="1"/>
        <v>42.625</v>
      </c>
      <c r="G39" s="29"/>
      <c r="H39" s="29"/>
      <c r="I39" s="29"/>
      <c r="J39" s="29"/>
      <c r="K39" s="57"/>
    </row>
    <row r="40" spans="1:11">
      <c r="A40" s="26">
        <v>36082</v>
      </c>
      <c r="B40" s="112">
        <v>44.875</v>
      </c>
      <c r="C40" s="112">
        <v>42.0625</v>
      </c>
      <c r="D40" s="112">
        <v>44.875</v>
      </c>
      <c r="E40" s="112">
        <f t="shared" si="0"/>
        <v>176.6875</v>
      </c>
      <c r="F40" s="112">
        <f t="shared" si="1"/>
        <v>44.171875</v>
      </c>
      <c r="G40" s="28"/>
      <c r="H40" s="28"/>
      <c r="I40" s="28"/>
      <c r="J40" s="28"/>
      <c r="K40" s="54"/>
    </row>
    <row r="41" spans="1:11">
      <c r="A41" s="26">
        <v>36083</v>
      </c>
      <c r="B41" s="112">
        <v>45.375</v>
      </c>
      <c r="C41" s="112">
        <v>43.75</v>
      </c>
      <c r="D41" s="112">
        <v>45.25</v>
      </c>
      <c r="E41" s="112">
        <f t="shared" si="0"/>
        <v>179.625</v>
      </c>
      <c r="F41" s="112">
        <f t="shared" si="1"/>
        <v>44.90625</v>
      </c>
      <c r="G41" s="28"/>
      <c r="H41" s="28"/>
      <c r="I41" s="28"/>
      <c r="J41" s="28"/>
      <c r="K41" s="54"/>
    </row>
    <row r="42" spans="1:11">
      <c r="A42" s="27">
        <v>36084</v>
      </c>
      <c r="B42" s="111">
        <v>46.5</v>
      </c>
      <c r="C42" s="111">
        <v>42.375</v>
      </c>
      <c r="D42" s="111">
        <v>43.5</v>
      </c>
      <c r="E42" s="111">
        <f t="shared" si="0"/>
        <v>175.875</v>
      </c>
      <c r="F42" s="111">
        <f t="shared" si="1"/>
        <v>43.96875</v>
      </c>
      <c r="G42" s="29"/>
      <c r="H42" s="29"/>
      <c r="I42" s="29"/>
      <c r="J42" s="29"/>
      <c r="K42" s="57"/>
    </row>
    <row r="43" spans="1:11">
      <c r="A43" s="27">
        <v>36087</v>
      </c>
      <c r="B43" s="111">
        <v>46.5</v>
      </c>
      <c r="C43" s="111">
        <v>43.5625</v>
      </c>
      <c r="D43" s="111">
        <v>45.625</v>
      </c>
      <c r="E43" s="111">
        <f t="shared" si="0"/>
        <v>181.3125</v>
      </c>
      <c r="F43" s="111">
        <f t="shared" si="1"/>
        <v>45.328125</v>
      </c>
      <c r="G43" s="29"/>
      <c r="H43" s="29"/>
      <c r="I43" s="29"/>
      <c r="J43" s="29"/>
      <c r="K43" s="57"/>
    </row>
    <row r="44" spans="1:11">
      <c r="A44" s="26">
        <v>36088</v>
      </c>
      <c r="B44" s="112">
        <v>47.5</v>
      </c>
      <c r="C44" s="112">
        <v>44.75</v>
      </c>
      <c r="D44" s="112">
        <v>44.9375</v>
      </c>
      <c r="E44" s="112">
        <f t="shared" si="0"/>
        <v>182.125</v>
      </c>
      <c r="F44" s="112">
        <f t="shared" si="1"/>
        <v>45.53125</v>
      </c>
      <c r="G44" s="28"/>
      <c r="H44" s="28"/>
      <c r="I44" s="28"/>
      <c r="J44" s="28"/>
      <c r="K44" s="54"/>
    </row>
    <row r="45" spans="1:11">
      <c r="A45" s="26">
        <v>36089</v>
      </c>
      <c r="B45" s="112">
        <v>46.5</v>
      </c>
      <c r="C45" s="112">
        <v>44.875</v>
      </c>
      <c r="D45" s="112">
        <v>46.25</v>
      </c>
      <c r="E45" s="112">
        <f t="shared" si="0"/>
        <v>183.875</v>
      </c>
      <c r="F45" s="112">
        <f t="shared" si="1"/>
        <v>45.96875</v>
      </c>
      <c r="G45" s="28"/>
      <c r="H45" s="28"/>
      <c r="I45" s="28"/>
      <c r="J45" s="28"/>
      <c r="K45" s="54"/>
    </row>
    <row r="47" spans="1:11" ht="15">
      <c r="A47" s="241" t="s">
        <v>1017</v>
      </c>
    </row>
    <row r="48" spans="1:11" ht="15">
      <c r="A48" s="241" t="s">
        <v>1018</v>
      </c>
    </row>
  </sheetData>
  <mergeCells count="1">
    <mergeCell ref="B5:K5"/>
  </mergeCells>
  <phoneticPr fontId="0" type="noConversion"/>
  <pageMargins left="0.75" right="0.75" top="1" bottom="1" header="0.5" footer="0.5"/>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2531"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22532" r:id="rId4" name="Button 4">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22533" r:id="rId5" name="Button 5">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2534" r:id="rId6"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22535" r:id="rId7" name="Button 7">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22536" r:id="rId8" name="Button 8">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22537" r:id="rId9" name="Button 9">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2538" r:id="rId10" name="Button 10">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3" enableFormatConditionsCalculation="0"/>
  <dimension ref="A1:N502"/>
  <sheetViews>
    <sheetView workbookViewId="0"/>
  </sheetViews>
  <sheetFormatPr baseColWidth="10" defaultColWidth="8.83203125" defaultRowHeight="12" x14ac:dyDescent="0"/>
  <cols>
    <col min="1" max="1" width="12.6640625" customWidth="1"/>
    <col min="2" max="2" width="10.5" customWidth="1"/>
    <col min="3" max="3" width="10.6640625" customWidth="1"/>
    <col min="4" max="4" width="10.5" customWidth="1"/>
    <col min="5" max="5" width="11.5" customWidth="1"/>
  </cols>
  <sheetData>
    <row r="1" spans="1:14">
      <c r="A1" s="21"/>
      <c r="B1" s="21"/>
      <c r="C1" s="21" t="s">
        <v>846</v>
      </c>
      <c r="D1" s="21"/>
      <c r="E1" s="21"/>
      <c r="F1" s="21"/>
      <c r="G1" s="21"/>
      <c r="H1" s="21"/>
      <c r="I1" s="21"/>
      <c r="J1" s="21"/>
      <c r="K1" s="21"/>
      <c r="L1" s="21"/>
    </row>
    <row r="2" spans="1:14" ht="21" customHeight="1">
      <c r="A2" s="21"/>
      <c r="B2" s="21"/>
      <c r="C2" s="21"/>
      <c r="D2" s="374"/>
      <c r="E2" s="374"/>
      <c r="F2" s="374"/>
      <c r="G2" s="374"/>
      <c r="H2" s="374"/>
      <c r="I2" s="374"/>
      <c r="J2" s="374"/>
      <c r="K2" s="374"/>
      <c r="L2" s="374"/>
      <c r="M2" s="372"/>
      <c r="N2" s="372"/>
    </row>
    <row r="3" spans="1:14">
      <c r="A3" s="19" t="s">
        <v>1045</v>
      </c>
      <c r="B3" s="20" t="s">
        <v>782</v>
      </c>
      <c r="C3" s="20"/>
      <c r="D3" s="20"/>
      <c r="E3" s="20"/>
      <c r="F3" s="21"/>
      <c r="G3" s="21"/>
      <c r="H3" s="21"/>
      <c r="I3" s="21"/>
      <c r="J3" s="21"/>
      <c r="K3" s="21"/>
      <c r="L3" s="21"/>
    </row>
    <row r="4" spans="1:14">
      <c r="A4" s="19" t="s">
        <v>774</v>
      </c>
      <c r="B4" s="20" t="s">
        <v>783</v>
      </c>
      <c r="C4" s="20"/>
      <c r="D4" s="20"/>
      <c r="E4" s="20"/>
      <c r="F4" s="21"/>
      <c r="G4" s="21"/>
      <c r="H4" s="21"/>
      <c r="I4" s="21"/>
      <c r="J4" s="21"/>
      <c r="K4" s="21"/>
      <c r="L4" s="21"/>
    </row>
    <row r="5" spans="1:14" ht="15">
      <c r="A5" s="118" t="s">
        <v>779</v>
      </c>
      <c r="B5" s="127" t="s">
        <v>1020</v>
      </c>
      <c r="C5" s="20"/>
      <c r="D5" s="20"/>
      <c r="E5" s="20"/>
      <c r="F5" s="21"/>
      <c r="G5" s="21"/>
      <c r="H5" s="21"/>
      <c r="I5" s="21"/>
      <c r="J5" s="21"/>
      <c r="K5" s="21"/>
      <c r="L5" s="21"/>
      <c r="M5" s="241"/>
    </row>
    <row r="6" spans="1:14" ht="45.75" customHeight="1">
      <c r="A6" s="19"/>
      <c r="B6" s="20"/>
      <c r="C6" s="20"/>
      <c r="D6" s="20"/>
      <c r="E6" s="20"/>
      <c r="F6" s="21"/>
      <c r="G6" s="21"/>
      <c r="H6" s="21"/>
      <c r="I6" s="21"/>
      <c r="J6" s="21"/>
      <c r="K6" s="21"/>
      <c r="L6" s="21"/>
      <c r="M6" s="241"/>
    </row>
    <row r="7" spans="1:14">
      <c r="A7" s="19" t="s">
        <v>635</v>
      </c>
      <c r="B7" s="21">
        <v>5</v>
      </c>
      <c r="C7" s="21" t="s">
        <v>794</v>
      </c>
      <c r="D7" s="21"/>
      <c r="E7" s="21"/>
      <c r="F7" s="21"/>
      <c r="G7" s="21"/>
      <c r="H7" s="21"/>
      <c r="I7" s="21"/>
      <c r="J7" s="21"/>
      <c r="K7" s="21"/>
      <c r="L7" s="21"/>
    </row>
    <row r="8" spans="1:14" s="1" customFormat="1" ht="50.25" customHeight="1">
      <c r="A8" s="22" t="s">
        <v>1090</v>
      </c>
      <c r="B8" s="22" t="s">
        <v>1098</v>
      </c>
      <c r="C8" s="31" t="s">
        <v>1025</v>
      </c>
      <c r="D8" s="31" t="s">
        <v>1026</v>
      </c>
      <c r="E8" s="31" t="s">
        <v>1027</v>
      </c>
      <c r="F8" s="22"/>
      <c r="G8" s="22"/>
      <c r="H8" s="22"/>
      <c r="I8" s="22"/>
      <c r="J8" s="22"/>
      <c r="K8" s="22"/>
      <c r="L8" s="22"/>
    </row>
    <row r="9" spans="1:14">
      <c r="A9" s="26">
        <v>35844</v>
      </c>
      <c r="B9" s="100">
        <v>62.125</v>
      </c>
      <c r="C9" s="100"/>
      <c r="D9" s="100"/>
      <c r="E9" s="100"/>
      <c r="F9" s="28"/>
      <c r="G9" s="28"/>
      <c r="H9" s="28"/>
      <c r="I9" s="28"/>
      <c r="J9" s="28"/>
      <c r="K9" s="28"/>
      <c r="L9" s="54"/>
    </row>
    <row r="10" spans="1:14">
      <c r="A10" s="26">
        <v>35845</v>
      </c>
      <c r="B10" s="100">
        <v>61.125</v>
      </c>
      <c r="C10" s="100"/>
      <c r="D10" s="100"/>
      <c r="E10" s="100"/>
      <c r="F10" s="28"/>
      <c r="G10" s="28"/>
      <c r="H10" s="28"/>
      <c r="I10" s="28"/>
      <c r="J10" s="28"/>
      <c r="K10" s="28"/>
      <c r="L10" s="54"/>
    </row>
    <row r="11" spans="1:14">
      <c r="A11" s="27">
        <v>35846</v>
      </c>
      <c r="B11" s="99">
        <v>62.343800000000002</v>
      </c>
      <c r="C11" s="99"/>
      <c r="D11" s="99"/>
      <c r="E11" s="99"/>
      <c r="F11" s="29"/>
      <c r="G11" s="29"/>
      <c r="H11" s="29"/>
      <c r="I11" s="29"/>
      <c r="J11" s="29"/>
      <c r="K11" s="29"/>
      <c r="L11" s="57"/>
    </row>
    <row r="12" spans="1:14">
      <c r="A12" s="27">
        <v>35849</v>
      </c>
      <c r="B12" s="99">
        <v>65.3125</v>
      </c>
      <c r="C12" s="99"/>
      <c r="D12" s="99"/>
      <c r="E12" s="99"/>
      <c r="F12" s="29"/>
      <c r="G12" s="29"/>
      <c r="H12" s="29"/>
      <c r="I12" s="29"/>
      <c r="J12" s="29"/>
      <c r="K12" s="29"/>
      <c r="L12" s="57"/>
    </row>
    <row r="13" spans="1:14">
      <c r="A13" s="26">
        <v>35850</v>
      </c>
      <c r="B13" s="100">
        <v>63.968800000000002</v>
      </c>
      <c r="C13" s="100"/>
      <c r="D13" s="100"/>
      <c r="E13" s="100">
        <f>SUM(B9:B13)/5</f>
        <v>62.975019999999994</v>
      </c>
      <c r="F13" s="28"/>
      <c r="G13" s="28"/>
      <c r="H13" s="28"/>
      <c r="I13" s="28"/>
      <c r="J13" s="28"/>
      <c r="K13" s="28"/>
      <c r="L13" s="54"/>
    </row>
    <row r="14" spans="1:14">
      <c r="A14" s="26">
        <v>35851</v>
      </c>
      <c r="B14" s="100">
        <v>63.4375</v>
      </c>
      <c r="C14" s="100">
        <f t="shared" ref="C14:C45" si="0">B14-E13</f>
        <v>0.46248000000000644</v>
      </c>
      <c r="D14" s="100">
        <f>C14/$B$7</f>
        <v>9.2496000000001286E-2</v>
      </c>
      <c r="E14" s="100">
        <f t="shared" ref="E14:E45" si="1">D14+E13</f>
        <v>63.067515999999998</v>
      </c>
      <c r="F14" s="28"/>
      <c r="G14" s="28"/>
      <c r="H14" s="28"/>
      <c r="I14" s="28"/>
      <c r="J14" s="28"/>
      <c r="K14" s="28"/>
      <c r="L14" s="54"/>
    </row>
    <row r="15" spans="1:14">
      <c r="A15" s="27">
        <v>35852</v>
      </c>
      <c r="B15" s="99">
        <v>63</v>
      </c>
      <c r="C15" s="99">
        <f t="shared" si="0"/>
        <v>-6.7515999999997689E-2</v>
      </c>
      <c r="D15" s="99">
        <f t="shared" ref="D15:D62" si="2">C15/$B$7</f>
        <v>-1.3503199999999538E-2</v>
      </c>
      <c r="E15" s="99">
        <f t="shared" si="1"/>
        <v>63.054012799999995</v>
      </c>
      <c r="F15" s="29"/>
      <c r="G15" s="29"/>
      <c r="H15" s="29"/>
      <c r="I15" s="29"/>
      <c r="J15" s="29"/>
      <c r="K15" s="29"/>
      <c r="L15" s="57"/>
    </row>
    <row r="16" spans="1:14">
      <c r="A16" s="27">
        <v>35853</v>
      </c>
      <c r="B16" s="99">
        <v>63.781199999999998</v>
      </c>
      <c r="C16" s="99">
        <f t="shared" si="0"/>
        <v>0.72718720000000303</v>
      </c>
      <c r="D16" s="99">
        <f t="shared" si="2"/>
        <v>0.14543744000000061</v>
      </c>
      <c r="E16" s="99">
        <f t="shared" si="1"/>
        <v>63.199450239999997</v>
      </c>
      <c r="F16" s="29"/>
      <c r="G16" s="29"/>
      <c r="H16" s="29"/>
      <c r="I16" s="29"/>
      <c r="J16" s="29"/>
      <c r="K16" s="29"/>
      <c r="L16" s="57"/>
    </row>
    <row r="17" spans="1:12">
      <c r="A17" s="26">
        <v>35856</v>
      </c>
      <c r="B17" s="100">
        <v>63.406199999999998</v>
      </c>
      <c r="C17" s="100">
        <f t="shared" si="0"/>
        <v>0.206749760000001</v>
      </c>
      <c r="D17" s="100">
        <f t="shared" si="2"/>
        <v>4.1349952000000204E-2</v>
      </c>
      <c r="E17" s="100">
        <f t="shared" si="1"/>
        <v>63.240800191999995</v>
      </c>
      <c r="F17" s="28"/>
      <c r="G17" s="28"/>
      <c r="H17" s="28"/>
      <c r="I17" s="28"/>
      <c r="J17" s="28"/>
      <c r="K17" s="28"/>
      <c r="L17" s="54"/>
    </row>
    <row r="18" spans="1:12">
      <c r="A18" s="26">
        <v>35857</v>
      </c>
      <c r="B18" s="100">
        <v>63.406199999999998</v>
      </c>
      <c r="C18" s="100">
        <f t="shared" si="0"/>
        <v>0.16539980800000365</v>
      </c>
      <c r="D18" s="100">
        <f t="shared" si="2"/>
        <v>3.3079961600000728E-2</v>
      </c>
      <c r="E18" s="100">
        <f t="shared" si="1"/>
        <v>63.273880153599997</v>
      </c>
      <c r="F18" s="28"/>
      <c r="G18" s="28"/>
      <c r="H18" s="28"/>
      <c r="I18" s="28"/>
      <c r="J18" s="28"/>
      <c r="K18" s="28"/>
      <c r="L18" s="54"/>
    </row>
    <row r="19" spans="1:12">
      <c r="A19" s="27">
        <v>35858</v>
      </c>
      <c r="B19" s="99">
        <v>62.4375</v>
      </c>
      <c r="C19" s="99">
        <f t="shared" si="0"/>
        <v>-0.83638015359999685</v>
      </c>
      <c r="D19" s="99">
        <f t="shared" si="2"/>
        <v>-0.16727603071999936</v>
      </c>
      <c r="E19" s="99">
        <f t="shared" si="1"/>
        <v>63.10660412288</v>
      </c>
      <c r="F19" s="29"/>
      <c r="G19" s="29"/>
      <c r="H19" s="29"/>
      <c r="I19" s="29"/>
      <c r="J19" s="29"/>
      <c r="K19" s="29"/>
      <c r="L19" s="57"/>
    </row>
    <row r="20" spans="1:12">
      <c r="A20" s="27">
        <v>35859</v>
      </c>
      <c r="B20" s="99">
        <v>61.843800000000002</v>
      </c>
      <c r="C20" s="99">
        <f t="shared" si="0"/>
        <v>-1.2628041228799987</v>
      </c>
      <c r="D20" s="99">
        <f t="shared" si="2"/>
        <v>-0.25256082457599971</v>
      </c>
      <c r="E20" s="99">
        <f t="shared" si="1"/>
        <v>62.854043298303999</v>
      </c>
      <c r="F20" s="29"/>
      <c r="G20" s="29"/>
      <c r="H20" s="29"/>
      <c r="I20" s="29"/>
      <c r="J20" s="29"/>
      <c r="K20" s="29"/>
      <c r="L20" s="57"/>
    </row>
    <row r="21" spans="1:12">
      <c r="A21" s="26">
        <v>35860</v>
      </c>
      <c r="B21" s="100">
        <v>63.6875</v>
      </c>
      <c r="C21" s="100">
        <f t="shared" si="0"/>
        <v>0.83345670169600083</v>
      </c>
      <c r="D21" s="100">
        <f t="shared" si="2"/>
        <v>0.16669134033920016</v>
      </c>
      <c r="E21" s="100">
        <f t="shared" si="1"/>
        <v>63.020734638643198</v>
      </c>
      <c r="F21" s="28"/>
      <c r="G21" s="28"/>
      <c r="H21" s="28"/>
      <c r="I21" s="28"/>
      <c r="J21" s="28"/>
      <c r="K21" s="28"/>
      <c r="L21" s="54"/>
    </row>
    <row r="22" spans="1:12">
      <c r="A22" s="26">
        <v>35863</v>
      </c>
      <c r="B22" s="100">
        <v>64.343800000000002</v>
      </c>
      <c r="C22" s="100">
        <f t="shared" si="0"/>
        <v>1.3230653613568037</v>
      </c>
      <c r="D22" s="100">
        <f t="shared" si="2"/>
        <v>0.26461307227136077</v>
      </c>
      <c r="E22" s="100">
        <f t="shared" si="1"/>
        <v>63.285347710914557</v>
      </c>
      <c r="F22" s="28"/>
      <c r="G22" s="28"/>
      <c r="H22" s="28"/>
      <c r="I22" s="28"/>
      <c r="J22" s="28"/>
      <c r="K22" s="28"/>
      <c r="L22" s="54"/>
    </row>
    <row r="23" spans="1:12">
      <c r="A23" s="27">
        <v>35864</v>
      </c>
      <c r="B23" s="99">
        <v>65.406199999999998</v>
      </c>
      <c r="C23" s="99">
        <f t="shared" si="0"/>
        <v>2.1208522890854411</v>
      </c>
      <c r="D23" s="99">
        <f t="shared" si="2"/>
        <v>0.42417045781708823</v>
      </c>
      <c r="E23" s="99">
        <f t="shared" si="1"/>
        <v>63.709518168731648</v>
      </c>
      <c r="F23" s="29"/>
      <c r="G23" s="29"/>
      <c r="H23" s="29"/>
      <c r="I23" s="29"/>
      <c r="J23" s="29"/>
      <c r="K23" s="29"/>
      <c r="L23" s="57"/>
    </row>
    <row r="24" spans="1:12">
      <c r="A24" s="27">
        <v>35865</v>
      </c>
      <c r="B24" s="99">
        <v>64.875</v>
      </c>
      <c r="C24" s="99">
        <f t="shared" si="0"/>
        <v>1.1654818312683517</v>
      </c>
      <c r="D24" s="99">
        <f t="shared" si="2"/>
        <v>0.23309636625367033</v>
      </c>
      <c r="E24" s="99">
        <f t="shared" si="1"/>
        <v>63.942614534985317</v>
      </c>
      <c r="F24" s="29"/>
      <c r="G24" s="29"/>
      <c r="H24" s="29"/>
      <c r="I24" s="29"/>
      <c r="J24" s="29"/>
      <c r="K24" s="29"/>
      <c r="L24" s="57"/>
    </row>
    <row r="25" spans="1:12">
      <c r="A25" s="26">
        <v>35866</v>
      </c>
      <c r="B25" s="100">
        <v>64.531199999999998</v>
      </c>
      <c r="C25" s="100">
        <f t="shared" si="0"/>
        <v>0.58858546501468112</v>
      </c>
      <c r="D25" s="100">
        <f t="shared" si="2"/>
        <v>0.11771709300293623</v>
      </c>
      <c r="E25" s="100">
        <f t="shared" si="1"/>
        <v>64.060331627988248</v>
      </c>
      <c r="F25" s="28"/>
      <c r="G25" s="28"/>
      <c r="H25" s="28"/>
      <c r="I25" s="28"/>
      <c r="J25" s="28"/>
      <c r="K25" s="28"/>
      <c r="L25" s="54"/>
    </row>
    <row r="26" spans="1:12">
      <c r="A26" s="26">
        <v>35867</v>
      </c>
      <c r="B26" s="100">
        <v>64.125</v>
      </c>
      <c r="C26" s="100">
        <f t="shared" si="0"/>
        <v>6.466837201175224E-2</v>
      </c>
      <c r="D26" s="100">
        <f t="shared" si="2"/>
        <v>1.2933674402350447E-2</v>
      </c>
      <c r="E26" s="100">
        <f t="shared" si="1"/>
        <v>64.073265302390595</v>
      </c>
      <c r="F26" s="28"/>
      <c r="G26" s="28"/>
      <c r="H26" s="28"/>
      <c r="I26" s="28"/>
      <c r="J26" s="28"/>
      <c r="K26" s="28"/>
      <c r="L26" s="54"/>
    </row>
    <row r="27" spans="1:12">
      <c r="A27" s="27">
        <v>35870</v>
      </c>
      <c r="B27" s="99">
        <v>64.75</v>
      </c>
      <c r="C27" s="99">
        <f t="shared" si="0"/>
        <v>0.67673469760940463</v>
      </c>
      <c r="D27" s="99">
        <f t="shared" si="2"/>
        <v>0.13534693952188093</v>
      </c>
      <c r="E27" s="99">
        <f t="shared" si="1"/>
        <v>64.208612241912476</v>
      </c>
      <c r="F27" s="29"/>
      <c r="G27" s="29"/>
      <c r="H27" s="29"/>
      <c r="I27" s="29"/>
      <c r="J27" s="29"/>
      <c r="K27" s="29"/>
      <c r="L27" s="57"/>
    </row>
    <row r="28" spans="1:12">
      <c r="A28" s="27">
        <v>35871</v>
      </c>
      <c r="B28" s="99">
        <v>66.0625</v>
      </c>
      <c r="C28" s="99">
        <f t="shared" si="0"/>
        <v>1.8538877580875237</v>
      </c>
      <c r="D28" s="99">
        <f t="shared" si="2"/>
        <v>0.37077755161750475</v>
      </c>
      <c r="E28" s="99">
        <f t="shared" si="1"/>
        <v>64.579389793529984</v>
      </c>
      <c r="F28" s="29"/>
      <c r="G28" s="29"/>
      <c r="H28" s="29"/>
      <c r="I28" s="29"/>
      <c r="J28" s="29"/>
      <c r="K28" s="29"/>
      <c r="L28" s="57"/>
    </row>
    <row r="29" spans="1:12">
      <c r="A29" s="26">
        <v>35872</v>
      </c>
      <c r="B29" s="100">
        <v>65.75</v>
      </c>
      <c r="C29" s="100">
        <f t="shared" si="0"/>
        <v>1.1706102064700161</v>
      </c>
      <c r="D29" s="100">
        <f t="shared" si="2"/>
        <v>0.23412204129400321</v>
      </c>
      <c r="E29" s="100">
        <f t="shared" si="1"/>
        <v>64.813511834823984</v>
      </c>
      <c r="F29" s="28"/>
      <c r="G29" s="28"/>
      <c r="H29" s="28"/>
      <c r="I29" s="28"/>
      <c r="J29" s="28"/>
      <c r="K29" s="28"/>
      <c r="L29" s="54"/>
    </row>
    <row r="30" spans="1:12">
      <c r="A30" s="26">
        <v>35873</v>
      </c>
      <c r="B30" s="100">
        <v>65.5</v>
      </c>
      <c r="C30" s="100">
        <f t="shared" si="0"/>
        <v>0.68648816517601574</v>
      </c>
      <c r="D30" s="100">
        <f t="shared" si="2"/>
        <v>0.13729763303520315</v>
      </c>
      <c r="E30" s="100">
        <f t="shared" si="1"/>
        <v>64.950809467859187</v>
      </c>
      <c r="F30" s="28"/>
      <c r="G30" s="28"/>
      <c r="H30" s="28"/>
      <c r="I30" s="28"/>
      <c r="J30" s="28"/>
      <c r="K30" s="28"/>
      <c r="L30" s="54"/>
    </row>
    <row r="31" spans="1:12">
      <c r="A31" s="27">
        <v>35874</v>
      </c>
      <c r="B31" s="99">
        <v>65.9375</v>
      </c>
      <c r="C31" s="99">
        <f t="shared" si="0"/>
        <v>0.98669053214081259</v>
      </c>
      <c r="D31" s="99">
        <f t="shared" si="2"/>
        <v>0.19733810642816252</v>
      </c>
      <c r="E31" s="99">
        <f t="shared" si="1"/>
        <v>65.14814757428735</v>
      </c>
      <c r="F31" s="29"/>
      <c r="G31" s="29"/>
      <c r="H31" s="29"/>
      <c r="I31" s="29"/>
      <c r="J31" s="29"/>
      <c r="K31" s="29"/>
      <c r="L31" s="57"/>
    </row>
    <row r="32" spans="1:12">
      <c r="A32" s="27">
        <v>35877</v>
      </c>
      <c r="B32" s="99">
        <v>65.531199999999998</v>
      </c>
      <c r="C32" s="99">
        <f t="shared" si="0"/>
        <v>0.38305242571264841</v>
      </c>
      <c r="D32" s="99">
        <f t="shared" si="2"/>
        <v>7.6610485142529688E-2</v>
      </c>
      <c r="E32" s="99">
        <f t="shared" si="1"/>
        <v>65.224758059429874</v>
      </c>
      <c r="F32" s="29"/>
      <c r="G32" s="29"/>
      <c r="H32" s="29"/>
      <c r="I32" s="29"/>
      <c r="J32" s="29"/>
      <c r="K32" s="29"/>
      <c r="L32" s="57"/>
    </row>
    <row r="33" spans="1:12">
      <c r="A33" s="26">
        <v>35878</v>
      </c>
      <c r="B33" s="100">
        <v>65.9375</v>
      </c>
      <c r="C33" s="100">
        <f t="shared" si="0"/>
        <v>0.71274194057012608</v>
      </c>
      <c r="D33" s="100">
        <f t="shared" si="2"/>
        <v>0.1425483881140252</v>
      </c>
      <c r="E33" s="100">
        <f t="shared" si="1"/>
        <v>65.367306447543896</v>
      </c>
      <c r="F33" s="28"/>
      <c r="G33" s="28"/>
      <c r="H33" s="28"/>
      <c r="I33" s="28"/>
      <c r="J33" s="28"/>
      <c r="K33" s="28"/>
      <c r="L33" s="54"/>
    </row>
    <row r="34" spans="1:12">
      <c r="A34" s="26">
        <v>35879</v>
      </c>
      <c r="B34" s="100">
        <v>65</v>
      </c>
      <c r="C34" s="100">
        <f t="shared" si="0"/>
        <v>-0.3673064475438963</v>
      </c>
      <c r="D34" s="100">
        <f t="shared" si="2"/>
        <v>-7.3461289508779254E-2</v>
      </c>
      <c r="E34" s="100">
        <f t="shared" si="1"/>
        <v>65.293845158035111</v>
      </c>
      <c r="F34" s="28"/>
      <c r="G34" s="28"/>
      <c r="H34" s="28"/>
      <c r="I34" s="28"/>
      <c r="J34" s="28"/>
      <c r="K34" s="28"/>
      <c r="L34" s="54"/>
    </row>
    <row r="35" spans="1:12">
      <c r="A35" s="27">
        <v>35880</v>
      </c>
      <c r="B35" s="99">
        <v>64.25</v>
      </c>
      <c r="C35" s="99">
        <f t="shared" si="0"/>
        <v>-1.0438451580351114</v>
      </c>
      <c r="D35" s="99">
        <f t="shared" si="2"/>
        <v>-0.20876903160702226</v>
      </c>
      <c r="E35" s="99">
        <f t="shared" si="1"/>
        <v>65.085076126428092</v>
      </c>
      <c r="F35" s="29"/>
      <c r="G35" s="29"/>
      <c r="H35" s="29"/>
      <c r="I35" s="29"/>
      <c r="J35" s="29"/>
      <c r="K35" s="29"/>
      <c r="L35" s="57"/>
    </row>
    <row r="36" spans="1:12">
      <c r="A36" s="27">
        <v>35881</v>
      </c>
      <c r="B36" s="99">
        <v>63.875</v>
      </c>
      <c r="C36" s="99">
        <f t="shared" si="0"/>
        <v>-1.2100761264280919</v>
      </c>
      <c r="D36" s="99">
        <f t="shared" si="2"/>
        <v>-0.24201522528561839</v>
      </c>
      <c r="E36" s="99">
        <f t="shared" si="1"/>
        <v>64.843060901142479</v>
      </c>
      <c r="F36" s="29"/>
      <c r="G36" s="29"/>
      <c r="H36" s="29"/>
      <c r="I36" s="29"/>
      <c r="J36" s="29"/>
      <c r="K36" s="29"/>
      <c r="L36" s="57"/>
    </row>
    <row r="37" spans="1:12">
      <c r="A37" s="26">
        <v>35884</v>
      </c>
      <c r="B37" s="100">
        <v>63.125</v>
      </c>
      <c r="C37" s="100">
        <f t="shared" si="0"/>
        <v>-1.7180609011424792</v>
      </c>
      <c r="D37" s="100">
        <f t="shared" si="2"/>
        <v>-0.34361218022849582</v>
      </c>
      <c r="E37" s="100">
        <f t="shared" si="1"/>
        <v>64.499448720913989</v>
      </c>
      <c r="F37" s="28"/>
      <c r="G37" s="28"/>
      <c r="H37" s="28"/>
      <c r="I37" s="28"/>
      <c r="J37" s="28"/>
      <c r="K37" s="28"/>
      <c r="L37" s="54"/>
    </row>
    <row r="38" spans="1:12">
      <c r="A38" s="26">
        <v>35885</v>
      </c>
      <c r="B38" s="100">
        <v>64.093800000000002</v>
      </c>
      <c r="C38" s="100">
        <f t="shared" si="0"/>
        <v>-0.4056487209139874</v>
      </c>
      <c r="D38" s="100">
        <f t="shared" si="2"/>
        <v>-8.1129744182797475E-2</v>
      </c>
      <c r="E38" s="100">
        <f t="shared" si="1"/>
        <v>64.418318976731186</v>
      </c>
      <c r="F38" s="28"/>
      <c r="G38" s="28"/>
      <c r="H38" s="28"/>
      <c r="I38" s="28"/>
      <c r="J38" s="28"/>
      <c r="K38" s="28"/>
      <c r="L38" s="54"/>
    </row>
    <row r="39" spans="1:12">
      <c r="A39" s="27">
        <v>35886</v>
      </c>
      <c r="B39" s="99">
        <v>64.9375</v>
      </c>
      <c r="C39" s="99">
        <f t="shared" si="0"/>
        <v>0.5191810232688141</v>
      </c>
      <c r="D39" s="99">
        <f t="shared" si="2"/>
        <v>0.10383620465376282</v>
      </c>
      <c r="E39" s="99">
        <f t="shared" si="1"/>
        <v>64.522155181384946</v>
      </c>
      <c r="F39" s="29"/>
      <c r="G39" s="29"/>
      <c r="H39" s="29"/>
      <c r="I39" s="29"/>
      <c r="J39" s="29"/>
      <c r="K39" s="29"/>
      <c r="L39" s="57"/>
    </row>
    <row r="40" spans="1:12">
      <c r="A40" s="27">
        <v>35887</v>
      </c>
      <c r="B40" s="99">
        <v>66.1875</v>
      </c>
      <c r="C40" s="99">
        <f t="shared" si="0"/>
        <v>1.6653448186150541</v>
      </c>
      <c r="D40" s="99">
        <f t="shared" si="2"/>
        <v>0.33306896372301081</v>
      </c>
      <c r="E40" s="99">
        <f t="shared" si="1"/>
        <v>64.855224145107954</v>
      </c>
      <c r="F40" s="29"/>
      <c r="G40" s="29"/>
      <c r="H40" s="29"/>
      <c r="I40" s="29"/>
      <c r="J40" s="29"/>
      <c r="K40" s="29"/>
      <c r="L40" s="57"/>
    </row>
    <row r="41" spans="1:12">
      <c r="A41" s="26">
        <v>35888</v>
      </c>
      <c r="B41" s="100">
        <v>65.718800000000002</v>
      </c>
      <c r="C41" s="100">
        <f t="shared" si="0"/>
        <v>0.8635758548920478</v>
      </c>
      <c r="D41" s="100">
        <f t="shared" si="2"/>
        <v>0.17271517097840955</v>
      </c>
      <c r="E41" s="100">
        <f t="shared" si="1"/>
        <v>65.027939316086361</v>
      </c>
      <c r="F41" s="28"/>
      <c r="G41" s="28"/>
      <c r="H41" s="28"/>
      <c r="I41" s="28"/>
      <c r="J41" s="28"/>
      <c r="K41" s="28"/>
      <c r="L41" s="54"/>
    </row>
    <row r="42" spans="1:12">
      <c r="A42" s="26">
        <v>35891</v>
      </c>
      <c r="B42" s="100">
        <v>65.968800000000002</v>
      </c>
      <c r="C42" s="100">
        <f t="shared" si="0"/>
        <v>0.94086068391364108</v>
      </c>
      <c r="D42" s="100">
        <f t="shared" si="2"/>
        <v>0.18817213678272821</v>
      </c>
      <c r="E42" s="100">
        <f t="shared" si="1"/>
        <v>65.216111452869086</v>
      </c>
      <c r="F42" s="28"/>
      <c r="G42" s="28"/>
      <c r="H42" s="28"/>
      <c r="I42" s="28"/>
      <c r="J42" s="28"/>
      <c r="K42" s="28"/>
      <c r="L42" s="54"/>
    </row>
    <row r="43" spans="1:12">
      <c r="A43" s="27">
        <v>35892</v>
      </c>
      <c r="B43" s="99">
        <v>65.375</v>
      </c>
      <c r="C43" s="99">
        <f t="shared" si="0"/>
        <v>0.15888854713091405</v>
      </c>
      <c r="D43" s="99">
        <f t="shared" si="2"/>
        <v>3.1777709426182812E-2</v>
      </c>
      <c r="E43" s="99">
        <f t="shared" si="1"/>
        <v>65.247889162295266</v>
      </c>
      <c r="F43" s="29"/>
      <c r="G43" s="29"/>
      <c r="H43" s="29"/>
      <c r="I43" s="29"/>
      <c r="J43" s="29"/>
      <c r="K43" s="29"/>
      <c r="L43" s="57"/>
    </row>
    <row r="44" spans="1:12">
      <c r="A44" s="27">
        <v>35893</v>
      </c>
      <c r="B44" s="99">
        <v>63.906199999999998</v>
      </c>
      <c r="C44" s="99">
        <f t="shared" si="0"/>
        <v>-1.3416891622952676</v>
      </c>
      <c r="D44" s="99">
        <f t="shared" si="2"/>
        <v>-0.26833783245905352</v>
      </c>
      <c r="E44" s="99">
        <f t="shared" si="1"/>
        <v>64.979551329836212</v>
      </c>
      <c r="F44" s="29"/>
      <c r="G44" s="29"/>
      <c r="H44" s="29"/>
      <c r="I44" s="29"/>
      <c r="J44" s="29"/>
      <c r="K44" s="29"/>
      <c r="L44" s="57"/>
    </row>
    <row r="45" spans="1:12">
      <c r="A45" s="26">
        <v>35894</v>
      </c>
      <c r="B45" s="100">
        <v>63.125</v>
      </c>
      <c r="C45" s="100">
        <f t="shared" si="0"/>
        <v>-1.8545513298362124</v>
      </c>
      <c r="D45" s="100">
        <f t="shared" si="2"/>
        <v>-0.37091026596724247</v>
      </c>
      <c r="E45" s="100">
        <f t="shared" si="1"/>
        <v>64.608641063868973</v>
      </c>
      <c r="F45" s="28"/>
      <c r="G45" s="28"/>
      <c r="H45" s="28"/>
      <c r="I45" s="28"/>
      <c r="J45" s="28"/>
      <c r="K45" s="28"/>
      <c r="L45" s="54"/>
    </row>
    <row r="46" spans="1:12">
      <c r="A46" s="26">
        <v>35898</v>
      </c>
      <c r="B46" s="100">
        <v>62.625</v>
      </c>
      <c r="C46" s="100">
        <f t="shared" ref="C46:C62" si="3">B46-E45</f>
        <v>-1.9836410638689728</v>
      </c>
      <c r="D46" s="100">
        <f t="shared" si="2"/>
        <v>-0.39672821277379455</v>
      </c>
      <c r="E46" s="100">
        <f t="shared" ref="E46:E62" si="4">D46+E45</f>
        <v>64.211912851095178</v>
      </c>
      <c r="F46" s="28"/>
      <c r="G46" s="28"/>
      <c r="H46" s="28"/>
      <c r="I46" s="28"/>
      <c r="J46" s="28"/>
      <c r="K46" s="28"/>
      <c r="L46" s="54"/>
    </row>
    <row r="47" spans="1:12">
      <c r="A47" s="27">
        <v>35899</v>
      </c>
      <c r="B47" s="99">
        <v>62.5</v>
      </c>
      <c r="C47" s="99">
        <f t="shared" si="3"/>
        <v>-1.7119128510951782</v>
      </c>
      <c r="D47" s="99">
        <f t="shared" si="2"/>
        <v>-0.34238257021903562</v>
      </c>
      <c r="E47" s="99">
        <f t="shared" si="4"/>
        <v>63.869530280876141</v>
      </c>
      <c r="F47" s="29"/>
      <c r="G47" s="29"/>
      <c r="H47" s="29"/>
      <c r="I47" s="29"/>
      <c r="J47" s="29"/>
      <c r="K47" s="29"/>
      <c r="L47" s="57"/>
    </row>
    <row r="48" spans="1:12">
      <c r="A48" s="27">
        <v>35900</v>
      </c>
      <c r="B48" s="99">
        <v>61.75</v>
      </c>
      <c r="C48" s="99">
        <f t="shared" si="3"/>
        <v>-2.1195302808761411</v>
      </c>
      <c r="D48" s="99">
        <f t="shared" si="2"/>
        <v>-0.42390605617522825</v>
      </c>
      <c r="E48" s="99">
        <f t="shared" si="4"/>
        <v>63.445624224700914</v>
      </c>
      <c r="F48" s="29"/>
      <c r="G48" s="29"/>
      <c r="H48" s="29"/>
      <c r="I48" s="29"/>
      <c r="J48" s="29"/>
      <c r="K48" s="29"/>
      <c r="L48" s="57"/>
    </row>
    <row r="49" spans="1:12">
      <c r="A49" s="26">
        <v>35901</v>
      </c>
      <c r="B49" s="100">
        <v>59.718800000000002</v>
      </c>
      <c r="C49" s="100">
        <f t="shared" si="3"/>
        <v>-3.7268242247009127</v>
      </c>
      <c r="D49" s="100">
        <f t="shared" si="2"/>
        <v>-0.74536484494018251</v>
      </c>
      <c r="E49" s="100">
        <f t="shared" si="4"/>
        <v>62.70025937976073</v>
      </c>
      <c r="F49" s="28"/>
      <c r="G49" s="28"/>
      <c r="H49" s="28"/>
      <c r="I49" s="28"/>
      <c r="J49" s="28"/>
      <c r="K49" s="28"/>
      <c r="L49" s="54"/>
    </row>
    <row r="50" spans="1:12">
      <c r="A50" s="26">
        <v>35902</v>
      </c>
      <c r="B50" s="100">
        <v>60.1875</v>
      </c>
      <c r="C50" s="100">
        <f t="shared" si="3"/>
        <v>-2.5127593797607304</v>
      </c>
      <c r="D50" s="100">
        <f t="shared" si="2"/>
        <v>-0.50255187595214612</v>
      </c>
      <c r="E50" s="100">
        <f t="shared" si="4"/>
        <v>62.197707503808587</v>
      </c>
      <c r="F50" s="28"/>
      <c r="G50" s="28"/>
      <c r="H50" s="28"/>
      <c r="I50" s="28"/>
      <c r="J50" s="28"/>
      <c r="K50" s="28"/>
      <c r="L50" s="54"/>
    </row>
    <row r="51" spans="1:12">
      <c r="A51" s="27">
        <v>35905</v>
      </c>
      <c r="B51" s="99">
        <v>61.125</v>
      </c>
      <c r="C51" s="99">
        <f t="shared" si="3"/>
        <v>-1.0727075038085871</v>
      </c>
      <c r="D51" s="99">
        <f t="shared" si="2"/>
        <v>-0.21454150076171744</v>
      </c>
      <c r="E51" s="99">
        <f t="shared" si="4"/>
        <v>61.983166003046868</v>
      </c>
      <c r="F51" s="29"/>
      <c r="G51" s="29"/>
      <c r="H51" s="29"/>
      <c r="I51" s="29"/>
      <c r="J51" s="29"/>
      <c r="K51" s="29"/>
      <c r="L51" s="57"/>
    </row>
    <row r="52" spans="1:12">
      <c r="A52" s="27">
        <v>35906</v>
      </c>
      <c r="B52" s="99">
        <v>60.0625</v>
      </c>
      <c r="C52" s="99">
        <f t="shared" si="3"/>
        <v>-1.9206660030468683</v>
      </c>
      <c r="D52" s="99">
        <f t="shared" si="2"/>
        <v>-0.38413320060937367</v>
      </c>
      <c r="E52" s="99">
        <f t="shared" si="4"/>
        <v>61.599032802437492</v>
      </c>
      <c r="F52" s="29"/>
      <c r="G52" s="29"/>
      <c r="H52" s="29"/>
      <c r="I52" s="29"/>
      <c r="J52" s="29"/>
      <c r="K52" s="29"/>
      <c r="L52" s="57"/>
    </row>
    <row r="53" spans="1:12">
      <c r="A53" s="26">
        <v>35907</v>
      </c>
      <c r="B53" s="100">
        <v>59.8125</v>
      </c>
      <c r="C53" s="100">
        <f t="shared" si="3"/>
        <v>-1.7865328024374918</v>
      </c>
      <c r="D53" s="100">
        <f t="shared" si="2"/>
        <v>-0.35730656048749837</v>
      </c>
      <c r="E53" s="100">
        <f t="shared" si="4"/>
        <v>61.241726241949991</v>
      </c>
      <c r="F53" s="28"/>
      <c r="G53" s="28"/>
      <c r="H53" s="28"/>
      <c r="I53" s="28"/>
      <c r="J53" s="28"/>
      <c r="K53" s="28"/>
      <c r="L53" s="54"/>
    </row>
    <row r="54" spans="1:12">
      <c r="A54" s="26">
        <v>35908</v>
      </c>
      <c r="B54" s="100">
        <v>60.1875</v>
      </c>
      <c r="C54" s="100">
        <f t="shared" si="3"/>
        <v>-1.0542262419499906</v>
      </c>
      <c r="D54" s="100">
        <f t="shared" si="2"/>
        <v>-0.21084524838999813</v>
      </c>
      <c r="E54" s="100">
        <f t="shared" si="4"/>
        <v>61.03088099355999</v>
      </c>
      <c r="F54" s="28"/>
      <c r="G54" s="28"/>
      <c r="H54" s="28"/>
      <c r="I54" s="28"/>
      <c r="J54" s="28"/>
      <c r="K54" s="28"/>
      <c r="L54" s="54"/>
    </row>
    <row r="55" spans="1:12">
      <c r="A55" s="27">
        <v>35909</v>
      </c>
      <c r="B55" s="99">
        <v>58.25</v>
      </c>
      <c r="C55" s="99">
        <f t="shared" si="3"/>
        <v>-2.7808809935599896</v>
      </c>
      <c r="D55" s="99">
        <f t="shared" si="2"/>
        <v>-0.55617619871199797</v>
      </c>
      <c r="E55" s="99">
        <f t="shared" si="4"/>
        <v>60.474704794847995</v>
      </c>
      <c r="F55" s="29"/>
      <c r="G55" s="29"/>
      <c r="H55" s="29"/>
      <c r="I55" s="29"/>
      <c r="J55" s="29"/>
      <c r="K55" s="29"/>
      <c r="L55" s="57"/>
    </row>
    <row r="56" spans="1:12">
      <c r="A56" s="27">
        <v>35912</v>
      </c>
      <c r="B56" s="99">
        <v>56.406199999999998</v>
      </c>
      <c r="C56" s="99">
        <f t="shared" si="3"/>
        <v>-4.0685047948479962</v>
      </c>
      <c r="D56" s="99">
        <f t="shared" si="2"/>
        <v>-0.81370095896959926</v>
      </c>
      <c r="E56" s="99">
        <f t="shared" si="4"/>
        <v>59.661003835878397</v>
      </c>
      <c r="F56" s="29"/>
      <c r="G56" s="29"/>
      <c r="H56" s="29"/>
      <c r="I56" s="29"/>
      <c r="J56" s="29"/>
      <c r="K56" s="29"/>
      <c r="L56" s="57"/>
    </row>
    <row r="57" spans="1:12">
      <c r="A57" s="26">
        <v>35913</v>
      </c>
      <c r="B57" s="100">
        <v>57.75</v>
      </c>
      <c r="C57" s="100">
        <f t="shared" si="3"/>
        <v>-1.9110038358783967</v>
      </c>
      <c r="D57" s="100">
        <f t="shared" si="2"/>
        <v>-0.38220076717567936</v>
      </c>
      <c r="E57" s="100">
        <f t="shared" si="4"/>
        <v>59.278803068702715</v>
      </c>
      <c r="F57" s="28"/>
      <c r="G57" s="28"/>
      <c r="H57" s="28"/>
      <c r="I57" s="28"/>
      <c r="J57" s="28"/>
      <c r="K57" s="28"/>
      <c r="L57" s="54"/>
    </row>
    <row r="58" spans="1:12">
      <c r="A58" s="26">
        <v>35914</v>
      </c>
      <c r="B58" s="100">
        <v>58</v>
      </c>
      <c r="C58" s="100">
        <f t="shared" si="3"/>
        <v>-1.2788030687027145</v>
      </c>
      <c r="D58" s="100">
        <f t="shared" si="2"/>
        <v>-0.25576061374054293</v>
      </c>
      <c r="E58" s="100">
        <f t="shared" si="4"/>
        <v>59.023042454962173</v>
      </c>
      <c r="F58" s="28"/>
      <c r="G58" s="28"/>
      <c r="H58" s="28"/>
      <c r="I58" s="28"/>
      <c r="J58" s="28"/>
      <c r="K58" s="28"/>
      <c r="L58" s="54"/>
    </row>
    <row r="59" spans="1:12">
      <c r="A59" s="27">
        <v>35915</v>
      </c>
      <c r="B59" s="99">
        <v>60.25</v>
      </c>
      <c r="C59" s="99">
        <f t="shared" si="3"/>
        <v>1.2269575450378269</v>
      </c>
      <c r="D59" s="99">
        <f t="shared" si="2"/>
        <v>0.2453915090075654</v>
      </c>
      <c r="E59" s="99">
        <f t="shared" si="4"/>
        <v>59.268433963969741</v>
      </c>
      <c r="F59" s="29"/>
      <c r="G59" s="29"/>
      <c r="H59" s="29"/>
      <c r="I59" s="29"/>
      <c r="J59" s="29"/>
      <c r="K59" s="29"/>
      <c r="L59" s="57"/>
    </row>
    <row r="60" spans="1:12">
      <c r="A60" s="27">
        <v>35916</v>
      </c>
      <c r="B60" s="99">
        <v>58.156199999999998</v>
      </c>
      <c r="C60" s="99">
        <f t="shared" si="3"/>
        <v>-1.1122339639697429</v>
      </c>
      <c r="D60" s="99">
        <f t="shared" si="2"/>
        <v>-0.22244679279394858</v>
      </c>
      <c r="E60" s="99">
        <f t="shared" si="4"/>
        <v>59.045987171175796</v>
      </c>
      <c r="F60" s="29"/>
      <c r="G60" s="29"/>
      <c r="H60" s="29"/>
      <c r="I60" s="29"/>
      <c r="J60" s="29"/>
      <c r="K60" s="29"/>
      <c r="L60" s="57"/>
    </row>
    <row r="61" spans="1:12">
      <c r="A61" s="26">
        <v>35919</v>
      </c>
      <c r="B61" s="100">
        <v>58.093800000000002</v>
      </c>
      <c r="C61" s="100">
        <f t="shared" si="3"/>
        <v>-0.95218717117579388</v>
      </c>
      <c r="D61" s="100">
        <f t="shared" si="2"/>
        <v>-0.19043743423515877</v>
      </c>
      <c r="E61" s="100">
        <f t="shared" si="4"/>
        <v>58.855549736940638</v>
      </c>
      <c r="F61" s="28"/>
      <c r="G61" s="28"/>
      <c r="H61" s="28"/>
      <c r="I61" s="28"/>
      <c r="J61" s="28"/>
      <c r="K61" s="28"/>
      <c r="L61" s="54"/>
    </row>
    <row r="62" spans="1:12">
      <c r="A62" s="26">
        <v>35920</v>
      </c>
      <c r="B62" s="100">
        <v>57.968800000000002</v>
      </c>
      <c r="C62" s="100">
        <f t="shared" si="3"/>
        <v>-0.88674973694063652</v>
      </c>
      <c r="D62" s="100">
        <f t="shared" si="2"/>
        <v>-0.17734994738812732</v>
      </c>
      <c r="E62" s="100">
        <f t="shared" si="4"/>
        <v>58.678199789552508</v>
      </c>
      <c r="F62" s="28"/>
      <c r="G62" s="28"/>
      <c r="H62" s="28"/>
      <c r="I62" s="28"/>
      <c r="J62" s="28"/>
      <c r="K62" s="28"/>
      <c r="L62" s="54"/>
    </row>
    <row r="63" spans="1:12">
      <c r="A63" s="2"/>
    </row>
    <row r="64" spans="1:12">
      <c r="A64" s="2"/>
    </row>
    <row r="65" spans="1:12" ht="34.5" customHeight="1">
      <c r="A65" s="447" t="s">
        <v>1021</v>
      </c>
      <c r="B65" s="447"/>
      <c r="C65" s="447"/>
      <c r="D65" s="447"/>
      <c r="E65" s="447"/>
      <c r="F65" s="447"/>
      <c r="G65" s="447"/>
      <c r="H65" s="447"/>
      <c r="I65" s="447"/>
      <c r="J65" s="447"/>
      <c r="K65" s="447"/>
      <c r="L65" s="447"/>
    </row>
    <row r="66" spans="1:12" ht="15">
      <c r="A66" s="241" t="s">
        <v>1022</v>
      </c>
    </row>
    <row r="67" spans="1:12" ht="15">
      <c r="A67" s="241" t="s">
        <v>1023</v>
      </c>
    </row>
    <row r="68" spans="1:12" ht="15">
      <c r="A68" s="241" t="s">
        <v>1024</v>
      </c>
    </row>
    <row r="69" spans="1:12">
      <c r="A69" s="2"/>
    </row>
    <row r="70" spans="1:12">
      <c r="A70" s="2"/>
    </row>
    <row r="71" spans="1:12">
      <c r="A71" s="2"/>
    </row>
    <row r="72" spans="1:12">
      <c r="A72" s="2"/>
    </row>
    <row r="73" spans="1:12">
      <c r="A73" s="2"/>
    </row>
    <row r="74" spans="1:12">
      <c r="A74" s="2"/>
    </row>
    <row r="75" spans="1:12">
      <c r="A75" s="2"/>
    </row>
    <row r="76" spans="1:12">
      <c r="A76" s="2"/>
    </row>
    <row r="77" spans="1:12">
      <c r="A77" s="2"/>
    </row>
    <row r="78" spans="1:12">
      <c r="A78" s="2"/>
    </row>
    <row r="79" spans="1:12">
      <c r="A79" s="2"/>
    </row>
    <row r="80" spans="1:12">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row r="135" spans="1:1">
      <c r="A135" s="2"/>
    </row>
    <row r="136" spans="1:1">
      <c r="A136" s="2"/>
    </row>
    <row r="137" spans="1:1">
      <c r="A137" s="2"/>
    </row>
    <row r="138" spans="1:1">
      <c r="A138" s="8"/>
    </row>
    <row r="139" spans="1:1">
      <c r="A139" s="8"/>
    </row>
    <row r="140" spans="1:1">
      <c r="A140" s="8"/>
    </row>
    <row r="141" spans="1:1">
      <c r="A141" s="8"/>
    </row>
    <row r="142" spans="1:1">
      <c r="A142" s="8"/>
    </row>
    <row r="143" spans="1:1">
      <c r="A143" s="8"/>
    </row>
    <row r="144" spans="1:1">
      <c r="A144" s="8"/>
    </row>
    <row r="145" spans="1:1">
      <c r="A145" s="8"/>
    </row>
    <row r="146" spans="1:1">
      <c r="A146" s="8"/>
    </row>
    <row r="147" spans="1:1">
      <c r="A147" s="8"/>
    </row>
    <row r="148" spans="1:1">
      <c r="A148" s="8"/>
    </row>
    <row r="149" spans="1:1">
      <c r="A149" s="8"/>
    </row>
    <row r="150" spans="1:1">
      <c r="A150" s="8"/>
    </row>
    <row r="151" spans="1:1">
      <c r="A151" s="8"/>
    </row>
    <row r="152" spans="1:1">
      <c r="A152" s="8"/>
    </row>
    <row r="153" spans="1:1">
      <c r="A153" s="8"/>
    </row>
    <row r="154" spans="1:1">
      <c r="A154" s="8"/>
    </row>
    <row r="155" spans="1:1">
      <c r="A155" s="8"/>
    </row>
    <row r="156" spans="1:1">
      <c r="A156" s="8"/>
    </row>
    <row r="157" spans="1:1">
      <c r="A157" s="8"/>
    </row>
    <row r="158" spans="1:1">
      <c r="A158" s="8"/>
    </row>
    <row r="159" spans="1:1">
      <c r="A159" s="8"/>
    </row>
    <row r="160" spans="1:1">
      <c r="A160" s="8"/>
    </row>
    <row r="161" spans="1:1">
      <c r="A161" s="8"/>
    </row>
    <row r="162" spans="1:1">
      <c r="A162" s="8"/>
    </row>
    <row r="163" spans="1:1">
      <c r="A163" s="8"/>
    </row>
    <row r="164" spans="1:1">
      <c r="A164" s="8"/>
    </row>
    <row r="165" spans="1:1">
      <c r="A165" s="8"/>
    </row>
    <row r="166" spans="1:1">
      <c r="A166" s="8"/>
    </row>
    <row r="167" spans="1:1">
      <c r="A167" s="8"/>
    </row>
    <row r="168" spans="1:1">
      <c r="A168" s="8"/>
    </row>
    <row r="169" spans="1:1">
      <c r="A169" s="8"/>
    </row>
    <row r="170" spans="1:1">
      <c r="A170" s="8"/>
    </row>
    <row r="171" spans="1:1">
      <c r="A171" s="8"/>
    </row>
    <row r="172" spans="1:1">
      <c r="A172" s="8"/>
    </row>
    <row r="173" spans="1:1">
      <c r="A173" s="8"/>
    </row>
    <row r="174" spans="1:1">
      <c r="A174" s="8"/>
    </row>
    <row r="175" spans="1:1">
      <c r="A175" s="8"/>
    </row>
    <row r="176" spans="1:1">
      <c r="A176" s="8"/>
    </row>
    <row r="177" spans="1:1">
      <c r="A177" s="8"/>
    </row>
    <row r="178" spans="1:1">
      <c r="A178" s="8"/>
    </row>
    <row r="179" spans="1:1">
      <c r="A179" s="8"/>
    </row>
    <row r="180" spans="1:1">
      <c r="A180" s="8"/>
    </row>
    <row r="181" spans="1:1">
      <c r="A181" s="8"/>
    </row>
    <row r="182" spans="1:1">
      <c r="A182" s="8"/>
    </row>
    <row r="183" spans="1:1">
      <c r="A183" s="8"/>
    </row>
    <row r="184" spans="1:1">
      <c r="A184" s="8"/>
    </row>
    <row r="185" spans="1:1">
      <c r="A185" s="8"/>
    </row>
    <row r="186" spans="1:1">
      <c r="A186" s="8"/>
    </row>
    <row r="187" spans="1:1">
      <c r="A187" s="8"/>
    </row>
    <row r="188" spans="1:1">
      <c r="A188" s="8"/>
    </row>
    <row r="189" spans="1:1">
      <c r="A189" s="8"/>
    </row>
    <row r="190" spans="1:1">
      <c r="A190" s="8"/>
    </row>
    <row r="191" spans="1:1">
      <c r="A191" s="8"/>
    </row>
    <row r="192" spans="1:1">
      <c r="A192" s="8"/>
    </row>
    <row r="193" spans="1:1">
      <c r="A193" s="8"/>
    </row>
    <row r="194" spans="1:1">
      <c r="A194" s="8"/>
    </row>
    <row r="195" spans="1:1">
      <c r="A195" s="8"/>
    </row>
    <row r="196" spans="1:1">
      <c r="A196" s="8"/>
    </row>
    <row r="197" spans="1:1">
      <c r="A197" s="8"/>
    </row>
    <row r="198" spans="1:1">
      <c r="A198" s="8"/>
    </row>
    <row r="199" spans="1:1">
      <c r="A199" s="8"/>
    </row>
    <row r="200" spans="1:1">
      <c r="A200" s="8"/>
    </row>
    <row r="201" spans="1:1">
      <c r="A201" s="8"/>
    </row>
    <row r="202" spans="1:1">
      <c r="A202" s="8"/>
    </row>
    <row r="203" spans="1:1">
      <c r="A203" s="8"/>
    </row>
    <row r="204" spans="1:1">
      <c r="A204" s="8"/>
    </row>
    <row r="205" spans="1:1">
      <c r="A205" s="8"/>
    </row>
    <row r="206" spans="1:1">
      <c r="A206" s="8"/>
    </row>
    <row r="207" spans="1:1">
      <c r="A207" s="8"/>
    </row>
    <row r="208" spans="1:1">
      <c r="A208" s="8"/>
    </row>
    <row r="209" spans="1:1">
      <c r="A209" s="8"/>
    </row>
    <row r="210" spans="1:1">
      <c r="A210" s="8"/>
    </row>
    <row r="211" spans="1:1">
      <c r="A211" s="8"/>
    </row>
    <row r="212" spans="1:1">
      <c r="A212" s="8"/>
    </row>
    <row r="213" spans="1:1">
      <c r="A213" s="8"/>
    </row>
    <row r="214" spans="1:1">
      <c r="A214" s="8"/>
    </row>
    <row r="215" spans="1:1">
      <c r="A215" s="8"/>
    </row>
    <row r="216" spans="1:1">
      <c r="A216" s="8"/>
    </row>
    <row r="217" spans="1:1">
      <c r="A217" s="8"/>
    </row>
    <row r="218" spans="1:1">
      <c r="A218" s="8"/>
    </row>
    <row r="219" spans="1:1">
      <c r="A219" s="8"/>
    </row>
    <row r="220" spans="1:1">
      <c r="A220" s="8"/>
    </row>
    <row r="221" spans="1:1">
      <c r="A221" s="8"/>
    </row>
    <row r="222" spans="1:1">
      <c r="A222" s="8"/>
    </row>
    <row r="223" spans="1:1">
      <c r="A223" s="8"/>
    </row>
    <row r="224" spans="1:1">
      <c r="A224" s="8"/>
    </row>
    <row r="225" spans="1:1">
      <c r="A225" s="8"/>
    </row>
    <row r="226" spans="1:1">
      <c r="A226" s="8"/>
    </row>
    <row r="227" spans="1:1">
      <c r="A227" s="8"/>
    </row>
    <row r="228" spans="1:1">
      <c r="A228" s="8"/>
    </row>
    <row r="229" spans="1:1">
      <c r="A229" s="8"/>
    </row>
    <row r="230" spans="1:1">
      <c r="A230" s="8"/>
    </row>
    <row r="231" spans="1:1">
      <c r="A231" s="8"/>
    </row>
    <row r="232" spans="1:1">
      <c r="A232" s="8"/>
    </row>
    <row r="233" spans="1:1">
      <c r="A233" s="8"/>
    </row>
    <row r="234" spans="1:1">
      <c r="A234" s="8"/>
    </row>
    <row r="235" spans="1:1">
      <c r="A235" s="8"/>
    </row>
    <row r="236" spans="1:1">
      <c r="A236" s="8"/>
    </row>
    <row r="237" spans="1:1">
      <c r="A237" s="8"/>
    </row>
    <row r="238" spans="1:1">
      <c r="A238" s="8"/>
    </row>
    <row r="239" spans="1:1">
      <c r="A239" s="8"/>
    </row>
    <row r="240" spans="1:1">
      <c r="A240" s="8"/>
    </row>
    <row r="241" spans="1:1">
      <c r="A241" s="8"/>
    </row>
    <row r="242" spans="1:1">
      <c r="A242" s="8"/>
    </row>
    <row r="243" spans="1:1">
      <c r="A243" s="8"/>
    </row>
    <row r="244" spans="1:1">
      <c r="A244" s="8"/>
    </row>
    <row r="245" spans="1:1">
      <c r="A245" s="8"/>
    </row>
    <row r="246" spans="1:1">
      <c r="A246" s="8"/>
    </row>
    <row r="247" spans="1:1">
      <c r="A247" s="8"/>
    </row>
    <row r="248" spans="1:1">
      <c r="A248" s="8"/>
    </row>
    <row r="249" spans="1:1">
      <c r="A249" s="8"/>
    </row>
    <row r="250" spans="1:1">
      <c r="A250" s="8"/>
    </row>
    <row r="251" spans="1:1">
      <c r="A251" s="8"/>
    </row>
    <row r="252" spans="1:1">
      <c r="A252" s="8"/>
    </row>
    <row r="253" spans="1:1">
      <c r="A253" s="8"/>
    </row>
    <row r="254" spans="1:1">
      <c r="A254" s="8"/>
    </row>
    <row r="255" spans="1:1">
      <c r="A255" s="8"/>
    </row>
    <row r="256" spans="1:1">
      <c r="A256" s="8"/>
    </row>
    <row r="257" spans="1:1">
      <c r="A257" s="8"/>
    </row>
    <row r="258" spans="1:1">
      <c r="A258" s="8"/>
    </row>
    <row r="259" spans="1:1">
      <c r="A259" s="8"/>
    </row>
    <row r="260" spans="1:1">
      <c r="A260" s="8"/>
    </row>
    <row r="261" spans="1:1">
      <c r="A261" s="8"/>
    </row>
    <row r="262" spans="1:1">
      <c r="A262" s="8"/>
    </row>
    <row r="263" spans="1:1">
      <c r="A263" s="8"/>
    </row>
    <row r="264" spans="1:1">
      <c r="A264" s="8"/>
    </row>
    <row r="265" spans="1:1">
      <c r="A265" s="8"/>
    </row>
    <row r="266" spans="1:1">
      <c r="A266" s="8"/>
    </row>
    <row r="267" spans="1:1">
      <c r="A267" s="8"/>
    </row>
    <row r="268" spans="1:1">
      <c r="A268" s="8"/>
    </row>
    <row r="269" spans="1:1">
      <c r="A269" s="8"/>
    </row>
    <row r="270" spans="1:1">
      <c r="A270" s="8"/>
    </row>
    <row r="271" spans="1:1">
      <c r="A271" s="8"/>
    </row>
    <row r="272" spans="1:1">
      <c r="A272" s="8"/>
    </row>
    <row r="273" spans="1:1">
      <c r="A273" s="8"/>
    </row>
    <row r="274" spans="1:1">
      <c r="A274" s="8"/>
    </row>
    <row r="275" spans="1:1">
      <c r="A275" s="8"/>
    </row>
    <row r="276" spans="1:1">
      <c r="A276" s="8"/>
    </row>
    <row r="277" spans="1:1">
      <c r="A277" s="8"/>
    </row>
    <row r="278" spans="1:1">
      <c r="A278" s="8"/>
    </row>
    <row r="279" spans="1:1">
      <c r="A279" s="8"/>
    </row>
    <row r="280" spans="1:1">
      <c r="A280" s="8"/>
    </row>
    <row r="281" spans="1:1">
      <c r="A281" s="8"/>
    </row>
    <row r="282" spans="1:1">
      <c r="A282" s="8"/>
    </row>
    <row r="283" spans="1:1">
      <c r="A283" s="8"/>
    </row>
    <row r="284" spans="1:1">
      <c r="A284" s="8"/>
    </row>
    <row r="285" spans="1:1">
      <c r="A285" s="8"/>
    </row>
    <row r="286" spans="1:1">
      <c r="A286" s="8"/>
    </row>
    <row r="287" spans="1:1">
      <c r="A287" s="8"/>
    </row>
    <row r="288" spans="1:1">
      <c r="A288" s="8"/>
    </row>
    <row r="289" spans="1:1">
      <c r="A289" s="8"/>
    </row>
    <row r="290" spans="1:1">
      <c r="A290" s="8"/>
    </row>
    <row r="291" spans="1:1">
      <c r="A291" s="8"/>
    </row>
    <row r="292" spans="1:1">
      <c r="A292" s="8"/>
    </row>
    <row r="293" spans="1:1">
      <c r="A293" s="8"/>
    </row>
    <row r="294" spans="1:1">
      <c r="A294" s="8"/>
    </row>
    <row r="295" spans="1:1">
      <c r="A295" s="8"/>
    </row>
    <row r="296" spans="1:1">
      <c r="A296" s="8"/>
    </row>
    <row r="297" spans="1:1">
      <c r="A297" s="8"/>
    </row>
    <row r="298" spans="1:1">
      <c r="A298" s="8"/>
    </row>
    <row r="299" spans="1:1">
      <c r="A299" s="8"/>
    </row>
    <row r="300" spans="1:1">
      <c r="A300" s="8"/>
    </row>
    <row r="301" spans="1:1">
      <c r="A301" s="8"/>
    </row>
    <row r="302" spans="1:1">
      <c r="A302" s="8"/>
    </row>
    <row r="303" spans="1:1">
      <c r="A303" s="8"/>
    </row>
    <row r="304" spans="1:1">
      <c r="A304" s="8"/>
    </row>
    <row r="305" spans="1:1">
      <c r="A305" s="8"/>
    </row>
    <row r="306" spans="1:1">
      <c r="A306" s="8"/>
    </row>
    <row r="307" spans="1:1">
      <c r="A307" s="8"/>
    </row>
    <row r="308" spans="1:1">
      <c r="A308" s="8"/>
    </row>
    <row r="309" spans="1:1">
      <c r="A309" s="8"/>
    </row>
    <row r="310" spans="1:1">
      <c r="A310" s="8"/>
    </row>
    <row r="311" spans="1:1">
      <c r="A311" s="8"/>
    </row>
    <row r="312" spans="1:1">
      <c r="A312" s="8"/>
    </row>
    <row r="313" spans="1:1">
      <c r="A313" s="8"/>
    </row>
    <row r="314" spans="1:1">
      <c r="A314" s="8"/>
    </row>
    <row r="315" spans="1:1">
      <c r="A315" s="8"/>
    </row>
    <row r="316" spans="1:1">
      <c r="A316" s="8"/>
    </row>
    <row r="317" spans="1:1">
      <c r="A317" s="8"/>
    </row>
    <row r="318" spans="1:1">
      <c r="A318" s="8"/>
    </row>
    <row r="319" spans="1:1">
      <c r="A319" s="8"/>
    </row>
    <row r="320" spans="1:1">
      <c r="A320" s="8"/>
    </row>
    <row r="321" spans="1:1">
      <c r="A321" s="8"/>
    </row>
    <row r="322" spans="1:1">
      <c r="A322" s="8"/>
    </row>
    <row r="323" spans="1:1">
      <c r="A323" s="8"/>
    </row>
    <row r="324" spans="1:1">
      <c r="A324" s="8"/>
    </row>
    <row r="325" spans="1:1">
      <c r="A325" s="8"/>
    </row>
    <row r="326" spans="1:1">
      <c r="A326" s="8"/>
    </row>
    <row r="327" spans="1:1">
      <c r="A327" s="8"/>
    </row>
    <row r="328" spans="1:1">
      <c r="A328" s="8"/>
    </row>
    <row r="329" spans="1:1">
      <c r="A329" s="8"/>
    </row>
    <row r="330" spans="1:1">
      <c r="A330" s="8"/>
    </row>
    <row r="331" spans="1:1">
      <c r="A331" s="8"/>
    </row>
    <row r="332" spans="1:1">
      <c r="A332" s="8"/>
    </row>
    <row r="333" spans="1:1">
      <c r="A333" s="8"/>
    </row>
    <row r="334" spans="1:1">
      <c r="A334" s="8"/>
    </row>
    <row r="335" spans="1:1">
      <c r="A335" s="8"/>
    </row>
    <row r="336" spans="1:1">
      <c r="A336" s="8"/>
    </row>
    <row r="337" spans="1:1">
      <c r="A337" s="8"/>
    </row>
    <row r="338" spans="1:1">
      <c r="A338" s="8"/>
    </row>
    <row r="339" spans="1:1">
      <c r="A339" s="8"/>
    </row>
    <row r="340" spans="1:1">
      <c r="A340" s="8"/>
    </row>
    <row r="341" spans="1:1">
      <c r="A341" s="8"/>
    </row>
    <row r="342" spans="1:1">
      <c r="A342" s="8"/>
    </row>
    <row r="343" spans="1:1">
      <c r="A343" s="8"/>
    </row>
    <row r="344" spans="1:1">
      <c r="A344" s="8"/>
    </row>
    <row r="345" spans="1:1">
      <c r="A345" s="8"/>
    </row>
    <row r="346" spans="1:1">
      <c r="A346" s="8"/>
    </row>
    <row r="347" spans="1:1">
      <c r="A347" s="8"/>
    </row>
    <row r="348" spans="1:1">
      <c r="A348" s="8"/>
    </row>
    <row r="349" spans="1:1">
      <c r="A349" s="8"/>
    </row>
    <row r="350" spans="1:1">
      <c r="A350" s="8"/>
    </row>
    <row r="351" spans="1:1">
      <c r="A351" s="8"/>
    </row>
    <row r="352" spans="1:1">
      <c r="A352" s="8"/>
    </row>
    <row r="353" spans="1:1">
      <c r="A353" s="8"/>
    </row>
    <row r="354" spans="1:1">
      <c r="A354" s="8"/>
    </row>
    <row r="355" spans="1:1">
      <c r="A355" s="8"/>
    </row>
    <row r="356" spans="1:1">
      <c r="A356" s="8"/>
    </row>
    <row r="357" spans="1:1">
      <c r="A357" s="8"/>
    </row>
    <row r="358" spans="1:1">
      <c r="A358" s="8"/>
    </row>
    <row r="359" spans="1:1">
      <c r="A359" s="8"/>
    </row>
    <row r="360" spans="1:1">
      <c r="A360" s="8"/>
    </row>
    <row r="361" spans="1:1">
      <c r="A361" s="8"/>
    </row>
    <row r="362" spans="1:1">
      <c r="A362" s="8"/>
    </row>
    <row r="363" spans="1:1">
      <c r="A363" s="8"/>
    </row>
    <row r="364" spans="1:1">
      <c r="A364" s="8"/>
    </row>
    <row r="365" spans="1:1">
      <c r="A365" s="8"/>
    </row>
    <row r="366" spans="1:1">
      <c r="A366" s="8"/>
    </row>
    <row r="367" spans="1:1">
      <c r="A367" s="8"/>
    </row>
    <row r="368" spans="1:1">
      <c r="A368" s="8"/>
    </row>
    <row r="369" spans="1:1">
      <c r="A369" s="8"/>
    </row>
    <row r="370" spans="1:1">
      <c r="A370" s="8"/>
    </row>
    <row r="371" spans="1:1">
      <c r="A371" s="8"/>
    </row>
    <row r="372" spans="1:1">
      <c r="A372" s="8"/>
    </row>
    <row r="373" spans="1:1">
      <c r="A373" s="8"/>
    </row>
    <row r="374" spans="1:1">
      <c r="A374" s="8"/>
    </row>
    <row r="375" spans="1:1">
      <c r="A375" s="8"/>
    </row>
    <row r="376" spans="1:1">
      <c r="A376" s="8"/>
    </row>
    <row r="377" spans="1:1">
      <c r="A377" s="8"/>
    </row>
    <row r="378" spans="1:1">
      <c r="A378" s="8"/>
    </row>
    <row r="379" spans="1:1">
      <c r="A379" s="8"/>
    </row>
    <row r="380" spans="1:1">
      <c r="A380" s="8"/>
    </row>
    <row r="381" spans="1:1">
      <c r="A381" s="8"/>
    </row>
    <row r="382" spans="1:1">
      <c r="A382" s="8"/>
    </row>
    <row r="383" spans="1:1">
      <c r="A383" s="8"/>
    </row>
    <row r="384" spans="1:1">
      <c r="A384" s="8"/>
    </row>
    <row r="385" spans="1:1">
      <c r="A385" s="8"/>
    </row>
    <row r="386" spans="1:1">
      <c r="A386" s="8"/>
    </row>
    <row r="387" spans="1:1">
      <c r="A387" s="8"/>
    </row>
    <row r="388" spans="1:1">
      <c r="A388" s="8"/>
    </row>
    <row r="389" spans="1:1">
      <c r="A389" s="8"/>
    </row>
    <row r="390" spans="1:1">
      <c r="A390" s="8"/>
    </row>
    <row r="391" spans="1:1">
      <c r="A391" s="8"/>
    </row>
    <row r="392" spans="1:1">
      <c r="A392" s="8"/>
    </row>
    <row r="393" spans="1:1">
      <c r="A393" s="8"/>
    </row>
    <row r="394" spans="1:1">
      <c r="A394" s="8"/>
    </row>
    <row r="395" spans="1:1">
      <c r="A395" s="8"/>
    </row>
    <row r="396" spans="1:1">
      <c r="A396" s="8"/>
    </row>
    <row r="397" spans="1:1">
      <c r="A397" s="8"/>
    </row>
    <row r="398" spans="1:1">
      <c r="A398" s="8"/>
    </row>
    <row r="399" spans="1:1">
      <c r="A399" s="8"/>
    </row>
    <row r="400" spans="1:1">
      <c r="A400" s="8"/>
    </row>
    <row r="401" spans="1:1">
      <c r="A401" s="8"/>
    </row>
    <row r="402" spans="1:1">
      <c r="A402" s="8"/>
    </row>
    <row r="403" spans="1:1">
      <c r="A403" s="8"/>
    </row>
    <row r="404" spans="1:1">
      <c r="A404" s="8"/>
    </row>
    <row r="405" spans="1:1">
      <c r="A405" s="8"/>
    </row>
    <row r="406" spans="1:1">
      <c r="A406" s="8"/>
    </row>
    <row r="407" spans="1:1">
      <c r="A407" s="8"/>
    </row>
    <row r="408" spans="1:1">
      <c r="A408" s="8"/>
    </row>
    <row r="409" spans="1:1">
      <c r="A409" s="8"/>
    </row>
    <row r="410" spans="1:1">
      <c r="A410" s="8"/>
    </row>
    <row r="411" spans="1:1">
      <c r="A411" s="8"/>
    </row>
    <row r="412" spans="1:1">
      <c r="A412" s="8"/>
    </row>
    <row r="413" spans="1:1">
      <c r="A413" s="8"/>
    </row>
    <row r="414" spans="1:1">
      <c r="A414" s="8"/>
    </row>
    <row r="415" spans="1:1">
      <c r="A415" s="8"/>
    </row>
    <row r="416" spans="1:1">
      <c r="A416" s="8"/>
    </row>
    <row r="417" spans="1:1">
      <c r="A417" s="8"/>
    </row>
    <row r="418" spans="1:1">
      <c r="A418" s="8"/>
    </row>
    <row r="419" spans="1:1">
      <c r="A419" s="8"/>
    </row>
    <row r="420" spans="1:1">
      <c r="A420" s="8"/>
    </row>
    <row r="421" spans="1:1">
      <c r="A421" s="8"/>
    </row>
    <row r="422" spans="1:1">
      <c r="A422" s="8"/>
    </row>
    <row r="423" spans="1:1">
      <c r="A423" s="8"/>
    </row>
    <row r="424" spans="1:1">
      <c r="A424" s="8"/>
    </row>
    <row r="425" spans="1:1">
      <c r="A425" s="8"/>
    </row>
    <row r="426" spans="1:1">
      <c r="A426" s="8"/>
    </row>
    <row r="427" spans="1:1">
      <c r="A427" s="8"/>
    </row>
    <row r="428" spans="1:1">
      <c r="A428" s="8"/>
    </row>
    <row r="429" spans="1:1">
      <c r="A429" s="8"/>
    </row>
    <row r="430" spans="1:1">
      <c r="A430" s="8"/>
    </row>
    <row r="431" spans="1:1">
      <c r="A431" s="8"/>
    </row>
    <row r="432" spans="1:1">
      <c r="A432" s="8"/>
    </row>
    <row r="433" spans="1:1">
      <c r="A433" s="8"/>
    </row>
    <row r="434" spans="1:1">
      <c r="A434" s="8"/>
    </row>
    <row r="435" spans="1:1">
      <c r="A435" s="8"/>
    </row>
    <row r="436" spans="1:1">
      <c r="A436" s="8"/>
    </row>
    <row r="437" spans="1:1">
      <c r="A437" s="8"/>
    </row>
    <row r="438" spans="1:1">
      <c r="A438" s="8"/>
    </row>
    <row r="439" spans="1:1">
      <c r="A439" s="8"/>
    </row>
    <row r="440" spans="1:1">
      <c r="A440" s="8"/>
    </row>
    <row r="441" spans="1:1">
      <c r="A441" s="8"/>
    </row>
    <row r="442" spans="1:1">
      <c r="A442" s="8"/>
    </row>
    <row r="443" spans="1:1">
      <c r="A443" s="8"/>
    </row>
    <row r="444" spans="1:1">
      <c r="A444" s="8"/>
    </row>
    <row r="445" spans="1:1">
      <c r="A445" s="8"/>
    </row>
    <row r="446" spans="1:1">
      <c r="A446" s="8"/>
    </row>
    <row r="447" spans="1:1">
      <c r="A447" s="8"/>
    </row>
    <row r="448" spans="1:1">
      <c r="A448" s="8"/>
    </row>
    <row r="449" spans="1:1">
      <c r="A449" s="8"/>
    </row>
    <row r="450" spans="1:1">
      <c r="A450" s="8"/>
    </row>
    <row r="451" spans="1:1">
      <c r="A451" s="8"/>
    </row>
    <row r="452" spans="1:1">
      <c r="A452" s="8"/>
    </row>
    <row r="453" spans="1:1">
      <c r="A453" s="8"/>
    </row>
    <row r="454" spans="1:1">
      <c r="A454" s="8"/>
    </row>
    <row r="455" spans="1:1">
      <c r="A455" s="8"/>
    </row>
    <row r="456" spans="1:1">
      <c r="A456" s="8"/>
    </row>
    <row r="457" spans="1:1">
      <c r="A457" s="8"/>
    </row>
    <row r="458" spans="1:1">
      <c r="A458" s="8"/>
    </row>
    <row r="459" spans="1:1">
      <c r="A459" s="8"/>
    </row>
    <row r="460" spans="1:1">
      <c r="A460" s="8"/>
    </row>
    <row r="461" spans="1:1">
      <c r="A461" s="8"/>
    </row>
    <row r="462" spans="1:1">
      <c r="A462" s="8"/>
    </row>
    <row r="463" spans="1:1">
      <c r="A463" s="8"/>
    </row>
    <row r="464" spans="1:1">
      <c r="A464" s="8"/>
    </row>
    <row r="465" spans="1:1">
      <c r="A465" s="8"/>
    </row>
    <row r="466" spans="1:1">
      <c r="A466" s="8"/>
    </row>
    <row r="467" spans="1:1">
      <c r="A467" s="8"/>
    </row>
    <row r="468" spans="1:1">
      <c r="A468" s="8"/>
    </row>
    <row r="469" spans="1:1">
      <c r="A469" s="8"/>
    </row>
    <row r="470" spans="1:1">
      <c r="A470" s="8"/>
    </row>
    <row r="471" spans="1:1">
      <c r="A471" s="8"/>
    </row>
    <row r="472" spans="1:1">
      <c r="A472" s="8"/>
    </row>
    <row r="473" spans="1:1">
      <c r="A473" s="8"/>
    </row>
    <row r="474" spans="1:1">
      <c r="A474" s="8"/>
    </row>
    <row r="475" spans="1:1">
      <c r="A475" s="8"/>
    </row>
    <row r="476" spans="1:1">
      <c r="A476" s="8"/>
    </row>
    <row r="477" spans="1:1">
      <c r="A477" s="8"/>
    </row>
    <row r="478" spans="1:1">
      <c r="A478" s="8"/>
    </row>
    <row r="479" spans="1:1">
      <c r="A479" s="8"/>
    </row>
    <row r="480" spans="1:1">
      <c r="A480" s="8"/>
    </row>
    <row r="481" spans="1:1">
      <c r="A481" s="8"/>
    </row>
    <row r="482" spans="1:1">
      <c r="A482" s="8"/>
    </row>
    <row r="483" spans="1:1">
      <c r="A483" s="8"/>
    </row>
    <row r="484" spans="1:1">
      <c r="A484" s="8"/>
    </row>
    <row r="485" spans="1:1">
      <c r="A485" s="8"/>
    </row>
    <row r="486" spans="1:1">
      <c r="A486" s="8"/>
    </row>
    <row r="487" spans="1:1">
      <c r="A487" s="8"/>
    </row>
    <row r="488" spans="1:1">
      <c r="A488" s="8"/>
    </row>
    <row r="489" spans="1:1">
      <c r="A489" s="8"/>
    </row>
    <row r="490" spans="1:1">
      <c r="A490" s="8"/>
    </row>
    <row r="491" spans="1:1">
      <c r="A491" s="8"/>
    </row>
    <row r="492" spans="1:1">
      <c r="A492" s="8"/>
    </row>
    <row r="493" spans="1:1">
      <c r="A493" s="8"/>
    </row>
    <row r="494" spans="1:1">
      <c r="A494" s="8"/>
    </row>
    <row r="495" spans="1:1">
      <c r="A495" s="8"/>
    </row>
    <row r="496" spans="1:1">
      <c r="A496" s="8"/>
    </row>
    <row r="497" spans="1:1">
      <c r="A497" s="8"/>
    </row>
    <row r="498" spans="1:1">
      <c r="A498" s="8"/>
    </row>
    <row r="499" spans="1:1">
      <c r="A499" s="8"/>
    </row>
    <row r="500" spans="1:1">
      <c r="A500" s="8"/>
    </row>
    <row r="501" spans="1:1">
      <c r="A501" s="8"/>
    </row>
    <row r="502" spans="1:1">
      <c r="A502" s="8"/>
    </row>
  </sheetData>
  <mergeCells count="1">
    <mergeCell ref="A65:L65"/>
  </mergeCells>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9700" r:id="rId3" name="Button 4">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29701" r:id="rId4" name="Button 5">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29702" r:id="rId5" name="Button 6">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9703" r:id="rId6" name="Button 7">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29704" r:id="rId7" name="Button 8">
              <controlPr defaultSize="0" print="0" autoFill="0" autoPict="0" macro="[0]!First_Button_Click">
                <anchor moveWithCells="1" sizeWithCells="1">
                  <from>
                    <xdr:col>2</xdr:col>
                    <xdr:colOff>38100</xdr:colOff>
                    <xdr:row>1</xdr:row>
                    <xdr:rowOff>25400</xdr:rowOff>
                  </from>
                  <to>
                    <xdr:col>3</xdr:col>
                    <xdr:colOff>177800</xdr:colOff>
                    <xdr:row>1</xdr:row>
                    <xdr:rowOff>254000</xdr:rowOff>
                  </to>
                </anchor>
              </controlPr>
            </control>
          </mc:Choice>
          <mc:Fallback/>
        </mc:AlternateContent>
        <mc:AlternateContent xmlns:mc="http://schemas.openxmlformats.org/markup-compatibility/2006">
          <mc:Choice Requires="x14">
            <control shapeId="29705" r:id="rId8" name="Button 9">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29706" r:id="rId9" name="Button 10">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9707" r:id="rId10" name="Button 11">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4" enableFormatConditionsCalculation="0"/>
  <dimension ref="A1:N312"/>
  <sheetViews>
    <sheetView workbookViewId="0"/>
  </sheetViews>
  <sheetFormatPr baseColWidth="10" defaultColWidth="8.83203125" defaultRowHeight="12" x14ac:dyDescent="0"/>
  <cols>
    <col min="1" max="1" width="12.33203125" customWidth="1"/>
    <col min="2" max="3" width="9.33203125" bestFit="1" customWidth="1"/>
    <col min="4" max="4" width="11.33203125" customWidth="1"/>
    <col min="5" max="6" width="10.5" bestFit="1" customWidth="1"/>
    <col min="7" max="7" width="10.1640625" bestFit="1" customWidth="1"/>
    <col min="8" max="8" width="12.33203125" customWidth="1"/>
    <col min="9" max="9" width="11.33203125" customWidth="1"/>
  </cols>
  <sheetData>
    <row r="1" spans="1:14">
      <c r="A1" s="21"/>
      <c r="B1" s="21"/>
      <c r="C1" s="21" t="s">
        <v>846</v>
      </c>
      <c r="D1" s="21"/>
      <c r="E1" s="21"/>
      <c r="F1" s="21"/>
      <c r="G1" s="21"/>
      <c r="H1" s="21"/>
      <c r="I1" s="21"/>
    </row>
    <row r="2" spans="1:14" ht="21" customHeight="1">
      <c r="A2" s="21"/>
      <c r="B2" s="21"/>
      <c r="C2" s="21"/>
      <c r="D2" s="374"/>
      <c r="E2" s="374"/>
      <c r="F2" s="374"/>
      <c r="G2" s="374"/>
      <c r="H2" s="374"/>
      <c r="I2" s="374"/>
      <c r="J2" s="372"/>
      <c r="K2" s="372"/>
      <c r="L2" s="372"/>
      <c r="M2" s="372"/>
      <c r="N2" s="372"/>
    </row>
    <row r="3" spans="1:14">
      <c r="A3" s="19" t="s">
        <v>1045</v>
      </c>
      <c r="B3" s="20" t="s">
        <v>109</v>
      </c>
      <c r="C3" s="21"/>
      <c r="D3" s="21"/>
      <c r="E3" s="21"/>
      <c r="F3" s="21"/>
      <c r="G3" s="21"/>
      <c r="H3" s="21"/>
      <c r="I3" s="21"/>
    </row>
    <row r="4" spans="1:14">
      <c r="A4" s="19" t="s">
        <v>774</v>
      </c>
      <c r="B4" s="20" t="s">
        <v>629</v>
      </c>
      <c r="C4" s="21"/>
      <c r="D4" s="21"/>
      <c r="E4" s="21"/>
      <c r="F4" s="21"/>
      <c r="G4" s="21"/>
      <c r="H4" s="21"/>
      <c r="I4" s="21"/>
    </row>
    <row r="5" spans="1:14" ht="27" customHeight="1">
      <c r="A5" s="118" t="s">
        <v>779</v>
      </c>
      <c r="B5" s="462" t="s">
        <v>1028</v>
      </c>
      <c r="C5" s="462"/>
      <c r="D5" s="462"/>
      <c r="E5" s="462"/>
      <c r="F5" s="462"/>
      <c r="G5" s="462"/>
      <c r="H5" s="462"/>
      <c r="I5" s="462"/>
      <c r="J5" s="241"/>
    </row>
    <row r="6" spans="1:14" ht="15">
      <c r="A6" s="19"/>
      <c r="B6" s="368" t="s">
        <v>1029</v>
      </c>
      <c r="C6" s="21"/>
      <c r="D6" s="21"/>
      <c r="E6" s="21"/>
      <c r="F6" s="21"/>
      <c r="G6" s="21"/>
      <c r="H6" s="21"/>
      <c r="I6" s="21"/>
      <c r="J6" s="241"/>
    </row>
    <row r="7" spans="1:14" ht="15">
      <c r="A7" s="19"/>
      <c r="B7" s="368" t="s">
        <v>1030</v>
      </c>
      <c r="C7" s="21"/>
      <c r="D7" s="21"/>
      <c r="E7" s="21"/>
      <c r="F7" s="21"/>
      <c r="G7" s="21"/>
      <c r="H7" s="21"/>
      <c r="I7" s="21"/>
    </row>
    <row r="8" spans="1:14" ht="34.5" customHeight="1">
      <c r="A8" s="19"/>
      <c r="B8" s="446" t="s">
        <v>1032</v>
      </c>
      <c r="C8" s="446"/>
      <c r="D8" s="446"/>
      <c r="E8" s="446"/>
      <c r="F8" s="446"/>
      <c r="G8" s="446"/>
      <c r="H8" s="446"/>
      <c r="I8" s="446"/>
    </row>
    <row r="9" spans="1:14">
      <c r="A9" s="19"/>
      <c r="B9" s="21"/>
      <c r="C9" s="21"/>
      <c r="D9" s="21"/>
      <c r="E9" s="21"/>
      <c r="F9" s="21"/>
      <c r="G9" s="21"/>
      <c r="H9" s="21"/>
      <c r="I9" s="21"/>
    </row>
    <row r="10" spans="1:14" ht="15">
      <c r="A10" s="19"/>
      <c r="B10" s="124" t="s">
        <v>1039</v>
      </c>
      <c r="C10" s="21"/>
      <c r="D10" s="21"/>
      <c r="E10" s="21"/>
      <c r="F10" s="21"/>
      <c r="G10" s="21"/>
      <c r="H10" s="21"/>
      <c r="I10" s="21"/>
    </row>
    <row r="11" spans="1:14" ht="15">
      <c r="A11" s="19"/>
      <c r="B11" s="21"/>
      <c r="C11" s="21"/>
      <c r="D11" s="149" t="s">
        <v>1040</v>
      </c>
      <c r="E11" s="21"/>
      <c r="F11" s="21"/>
      <c r="G11" s="21"/>
      <c r="H11" s="21"/>
      <c r="I11" s="21"/>
    </row>
    <row r="12" spans="1:14" ht="15">
      <c r="A12" s="19"/>
      <c r="B12" s="124" t="s">
        <v>1041</v>
      </c>
      <c r="C12" s="21"/>
      <c r="D12" s="21"/>
      <c r="E12" s="21"/>
      <c r="F12" s="21"/>
      <c r="G12" s="21"/>
      <c r="H12" s="21"/>
      <c r="I12" s="21"/>
    </row>
    <row r="13" spans="1:14" ht="15">
      <c r="A13" s="19"/>
      <c r="B13" s="21"/>
      <c r="C13" s="21"/>
      <c r="D13" s="149" t="s">
        <v>1042</v>
      </c>
      <c r="E13" s="21"/>
      <c r="F13" s="21"/>
      <c r="G13" s="21"/>
      <c r="H13" s="21"/>
      <c r="I13" s="21"/>
      <c r="J13" s="359"/>
    </row>
    <row r="14" spans="1:14" ht="15">
      <c r="A14" s="19"/>
      <c r="B14" s="124" t="s">
        <v>986</v>
      </c>
      <c r="C14" s="21"/>
      <c r="D14" s="21"/>
      <c r="E14" s="21"/>
      <c r="F14" s="21"/>
      <c r="G14" s="21"/>
      <c r="H14" s="21"/>
      <c r="I14" s="21"/>
    </row>
    <row r="15" spans="1:14" ht="15">
      <c r="A15" s="19"/>
      <c r="B15" s="21"/>
      <c r="C15" s="149" t="s">
        <v>1043</v>
      </c>
      <c r="D15" s="21"/>
      <c r="E15" s="21"/>
      <c r="F15" s="21"/>
      <c r="G15" s="21"/>
      <c r="H15" s="21"/>
      <c r="I15" s="21"/>
    </row>
    <row r="16" spans="1:14" ht="15">
      <c r="A16" s="19"/>
      <c r="B16" s="21"/>
      <c r="C16" s="149"/>
      <c r="D16" s="21"/>
      <c r="E16" s="21"/>
      <c r="F16" s="21"/>
      <c r="G16" s="21"/>
      <c r="H16" s="21"/>
      <c r="I16" s="21"/>
    </row>
    <row r="17" spans="1:10" ht="15">
      <c r="A17" s="19"/>
      <c r="B17" s="127" t="s">
        <v>1033</v>
      </c>
      <c r="C17" s="21"/>
      <c r="D17" s="21"/>
      <c r="E17" s="21"/>
      <c r="F17" s="21"/>
      <c r="G17" s="21"/>
      <c r="H17" s="21"/>
      <c r="I17" s="21"/>
      <c r="J17" s="359"/>
    </row>
    <row r="18" spans="1:10" ht="34.5" customHeight="1">
      <c r="A18" s="19"/>
      <c r="B18" s="469" t="s">
        <v>1031</v>
      </c>
      <c r="C18" s="469"/>
      <c r="D18" s="469"/>
      <c r="E18" s="469"/>
      <c r="F18" s="469"/>
      <c r="G18" s="469"/>
      <c r="H18" s="469"/>
      <c r="I18" s="469"/>
    </row>
    <row r="19" spans="1:10">
      <c r="A19" s="19"/>
      <c r="B19" s="21"/>
      <c r="C19" s="21"/>
      <c r="D19" s="21"/>
      <c r="E19" s="21"/>
      <c r="F19" s="21"/>
      <c r="G19" s="21"/>
      <c r="H19" s="21"/>
      <c r="I19" s="21"/>
    </row>
    <row r="20" spans="1:10" ht="36">
      <c r="A20" s="22" t="s">
        <v>1090</v>
      </c>
      <c r="B20" s="22" t="s">
        <v>1096</v>
      </c>
      <c r="C20" s="22" t="s">
        <v>1097</v>
      </c>
      <c r="D20" s="22" t="s">
        <v>1098</v>
      </c>
      <c r="E20" s="22" t="s">
        <v>630</v>
      </c>
      <c r="F20" s="22" t="s">
        <v>631</v>
      </c>
      <c r="G20" s="22" t="s">
        <v>632</v>
      </c>
      <c r="H20" s="31" t="s">
        <v>759</v>
      </c>
      <c r="I20" s="22"/>
    </row>
    <row r="21" spans="1:10">
      <c r="A21" s="26">
        <v>35538</v>
      </c>
      <c r="B21" s="100">
        <v>21.5</v>
      </c>
      <c r="C21" s="100">
        <v>20.75</v>
      </c>
      <c r="D21" s="100">
        <v>21.25</v>
      </c>
      <c r="E21" s="52"/>
      <c r="F21" s="52"/>
      <c r="G21" s="52"/>
      <c r="H21" s="52"/>
      <c r="I21" s="54"/>
    </row>
    <row r="22" spans="1:10">
      <c r="A22" s="26">
        <v>35541</v>
      </c>
      <c r="B22" s="100">
        <v>21.625</v>
      </c>
      <c r="C22" s="100">
        <v>21</v>
      </c>
      <c r="D22" s="100">
        <v>21.030999999999999</v>
      </c>
      <c r="E22" s="296">
        <f>MAX(D21,B22)</f>
        <v>21.625</v>
      </c>
      <c r="F22" s="296">
        <f>MIN(D21,C22)</f>
        <v>21</v>
      </c>
      <c r="G22" s="296">
        <f t="shared" ref="G22:G53" si="0">IF(D22&gt;D21,D22-F22,IF(D22&lt;D21,D22-E22,0))</f>
        <v>-0.59400000000000119</v>
      </c>
      <c r="H22" s="296">
        <f>G22</f>
        <v>-0.59400000000000119</v>
      </c>
      <c r="I22" s="54"/>
    </row>
    <row r="23" spans="1:10">
      <c r="A23" s="27">
        <v>35542</v>
      </c>
      <c r="B23" s="99">
        <v>21.125</v>
      </c>
      <c r="C23" s="99">
        <v>20.5</v>
      </c>
      <c r="D23" s="99">
        <v>20.875</v>
      </c>
      <c r="E23" s="297">
        <f t="shared" ref="E23:E38" si="1">MAX(D22,B23)</f>
        <v>21.125</v>
      </c>
      <c r="F23" s="297">
        <f t="shared" ref="F23:F38" si="2">MIN(D22,C23)</f>
        <v>20.5</v>
      </c>
      <c r="G23" s="297">
        <f t="shared" si="0"/>
        <v>-0.25</v>
      </c>
      <c r="H23" s="297">
        <f>H22+G23</f>
        <v>-0.84400000000000119</v>
      </c>
      <c r="I23" s="57"/>
    </row>
    <row r="24" spans="1:10">
      <c r="A24" s="27">
        <v>35543</v>
      </c>
      <c r="B24" s="99">
        <v>22.437999999999999</v>
      </c>
      <c r="C24" s="99">
        <v>20.875</v>
      </c>
      <c r="D24" s="99">
        <v>22</v>
      </c>
      <c r="E24" s="297">
        <f t="shared" si="1"/>
        <v>22.437999999999999</v>
      </c>
      <c r="F24" s="297">
        <f t="shared" si="2"/>
        <v>20.875</v>
      </c>
      <c r="G24" s="297">
        <f t="shared" si="0"/>
        <v>1.125</v>
      </c>
      <c r="H24" s="297">
        <f t="shared" ref="H24:H39" si="3">H23+G24</f>
        <v>0.28099999999999881</v>
      </c>
      <c r="I24" s="57"/>
    </row>
    <row r="25" spans="1:10">
      <c r="A25" s="26">
        <v>35544</v>
      </c>
      <c r="B25" s="100">
        <v>23.5</v>
      </c>
      <c r="C25" s="100">
        <v>22.437999999999999</v>
      </c>
      <c r="D25" s="100">
        <v>22.5</v>
      </c>
      <c r="E25" s="296">
        <f t="shared" si="1"/>
        <v>23.5</v>
      </c>
      <c r="F25" s="296">
        <f t="shared" si="2"/>
        <v>22</v>
      </c>
      <c r="G25" s="296">
        <f t="shared" si="0"/>
        <v>0.5</v>
      </c>
      <c r="H25" s="296">
        <f t="shared" si="3"/>
        <v>0.78099999999999881</v>
      </c>
      <c r="I25" s="54"/>
    </row>
    <row r="26" spans="1:10">
      <c r="A26" s="26">
        <v>35545</v>
      </c>
      <c r="B26" s="100">
        <v>23.25</v>
      </c>
      <c r="C26" s="100">
        <v>22.437999999999999</v>
      </c>
      <c r="D26" s="100">
        <v>23</v>
      </c>
      <c r="E26" s="296">
        <f t="shared" si="1"/>
        <v>23.25</v>
      </c>
      <c r="F26" s="296">
        <f t="shared" si="2"/>
        <v>22.437999999999999</v>
      </c>
      <c r="G26" s="296">
        <f t="shared" si="0"/>
        <v>0.56200000000000117</v>
      </c>
      <c r="H26" s="296">
        <f t="shared" si="3"/>
        <v>1.343</v>
      </c>
      <c r="I26" s="54"/>
    </row>
    <row r="27" spans="1:10">
      <c r="A27" s="27">
        <v>35548</v>
      </c>
      <c r="B27" s="99">
        <v>25</v>
      </c>
      <c r="C27" s="99">
        <v>22.875</v>
      </c>
      <c r="D27" s="99">
        <v>24.562999999999999</v>
      </c>
      <c r="E27" s="297">
        <f t="shared" si="1"/>
        <v>25</v>
      </c>
      <c r="F27" s="297">
        <f t="shared" si="2"/>
        <v>22.875</v>
      </c>
      <c r="G27" s="297">
        <f t="shared" si="0"/>
        <v>1.6879999999999988</v>
      </c>
      <c r="H27" s="297">
        <f t="shared" si="3"/>
        <v>3.0309999999999988</v>
      </c>
      <c r="I27" s="57"/>
    </row>
    <row r="28" spans="1:10">
      <c r="A28" s="27">
        <v>35549</v>
      </c>
      <c r="B28" s="99">
        <v>25.625</v>
      </c>
      <c r="C28" s="99">
        <v>23.75</v>
      </c>
      <c r="D28" s="99">
        <v>25.375</v>
      </c>
      <c r="E28" s="297">
        <f t="shared" si="1"/>
        <v>25.625</v>
      </c>
      <c r="F28" s="297">
        <f t="shared" si="2"/>
        <v>23.75</v>
      </c>
      <c r="G28" s="297">
        <f t="shared" si="0"/>
        <v>1.625</v>
      </c>
      <c r="H28" s="297">
        <f t="shared" si="3"/>
        <v>4.6559999999999988</v>
      </c>
      <c r="I28" s="57"/>
    </row>
    <row r="29" spans="1:10">
      <c r="A29" s="26">
        <v>35550</v>
      </c>
      <c r="B29" s="100">
        <v>27.125</v>
      </c>
      <c r="C29" s="100">
        <v>24.937999999999999</v>
      </c>
      <c r="D29" s="100">
        <v>26.875</v>
      </c>
      <c r="E29" s="296">
        <f t="shared" si="1"/>
        <v>27.125</v>
      </c>
      <c r="F29" s="296">
        <f t="shared" si="2"/>
        <v>24.937999999999999</v>
      </c>
      <c r="G29" s="296">
        <f t="shared" si="0"/>
        <v>1.9370000000000012</v>
      </c>
      <c r="H29" s="296">
        <f t="shared" si="3"/>
        <v>6.593</v>
      </c>
      <c r="I29" s="54"/>
    </row>
    <row r="30" spans="1:10">
      <c r="A30" s="26">
        <v>35551</v>
      </c>
      <c r="B30" s="100">
        <v>28.75</v>
      </c>
      <c r="C30" s="100">
        <v>26.875</v>
      </c>
      <c r="D30" s="100">
        <v>27.375</v>
      </c>
      <c r="E30" s="296">
        <f t="shared" si="1"/>
        <v>28.75</v>
      </c>
      <c r="F30" s="296">
        <f t="shared" si="2"/>
        <v>26.875</v>
      </c>
      <c r="G30" s="296">
        <f t="shared" si="0"/>
        <v>0.5</v>
      </c>
      <c r="H30" s="296">
        <f t="shared" si="3"/>
        <v>7.093</v>
      </c>
      <c r="I30" s="54"/>
    </row>
    <row r="31" spans="1:10">
      <c r="A31" s="27">
        <v>35552</v>
      </c>
      <c r="B31" s="99">
        <v>28</v>
      </c>
      <c r="C31" s="99">
        <v>26.25</v>
      </c>
      <c r="D31" s="99">
        <v>27.75</v>
      </c>
      <c r="E31" s="297">
        <f t="shared" si="1"/>
        <v>28</v>
      </c>
      <c r="F31" s="297">
        <f t="shared" si="2"/>
        <v>26.25</v>
      </c>
      <c r="G31" s="297">
        <f t="shared" si="0"/>
        <v>1.5</v>
      </c>
      <c r="H31" s="297">
        <f t="shared" si="3"/>
        <v>8.593</v>
      </c>
      <c r="I31" s="57"/>
    </row>
    <row r="32" spans="1:10">
      <c r="A32" s="27">
        <v>35555</v>
      </c>
      <c r="B32" s="99">
        <v>30.375</v>
      </c>
      <c r="C32" s="99">
        <v>27.625</v>
      </c>
      <c r="D32" s="99">
        <v>29.5</v>
      </c>
      <c r="E32" s="297">
        <f t="shared" si="1"/>
        <v>30.375</v>
      </c>
      <c r="F32" s="297">
        <f t="shared" si="2"/>
        <v>27.625</v>
      </c>
      <c r="G32" s="297">
        <f t="shared" si="0"/>
        <v>1.875</v>
      </c>
      <c r="H32" s="297">
        <f t="shared" si="3"/>
        <v>10.468</v>
      </c>
      <c r="I32" s="57"/>
    </row>
    <row r="33" spans="1:9">
      <c r="A33" s="26">
        <v>35556</v>
      </c>
      <c r="B33" s="100">
        <v>29.625</v>
      </c>
      <c r="C33" s="100">
        <v>27.75</v>
      </c>
      <c r="D33" s="100">
        <v>28</v>
      </c>
      <c r="E33" s="296">
        <f t="shared" si="1"/>
        <v>29.625</v>
      </c>
      <c r="F33" s="296">
        <f t="shared" si="2"/>
        <v>27.75</v>
      </c>
      <c r="G33" s="296">
        <f t="shared" si="0"/>
        <v>-1.625</v>
      </c>
      <c r="H33" s="296">
        <f t="shared" si="3"/>
        <v>8.843</v>
      </c>
      <c r="I33" s="54"/>
    </row>
    <row r="34" spans="1:9">
      <c r="A34" s="26">
        <v>35557</v>
      </c>
      <c r="B34" s="100">
        <v>28.25</v>
      </c>
      <c r="C34" s="100">
        <v>26.125</v>
      </c>
      <c r="D34" s="100">
        <v>27.312999999999999</v>
      </c>
      <c r="E34" s="296">
        <f t="shared" si="1"/>
        <v>28.25</v>
      </c>
      <c r="F34" s="296">
        <f t="shared" si="2"/>
        <v>26.125</v>
      </c>
      <c r="G34" s="296">
        <f t="shared" si="0"/>
        <v>-0.93700000000000117</v>
      </c>
      <c r="H34" s="296">
        <f t="shared" si="3"/>
        <v>7.9059999999999988</v>
      </c>
      <c r="I34" s="54"/>
    </row>
    <row r="35" spans="1:9">
      <c r="A35" s="27">
        <v>35558</v>
      </c>
      <c r="B35" s="99">
        <v>28</v>
      </c>
      <c r="C35" s="99">
        <v>26</v>
      </c>
      <c r="D35" s="99">
        <v>26.812999999999999</v>
      </c>
      <c r="E35" s="297">
        <f t="shared" si="1"/>
        <v>28</v>
      </c>
      <c r="F35" s="297">
        <f t="shared" si="2"/>
        <v>26</v>
      </c>
      <c r="G35" s="297">
        <f t="shared" si="0"/>
        <v>-1.1870000000000012</v>
      </c>
      <c r="H35" s="297">
        <f t="shared" si="3"/>
        <v>6.7189999999999976</v>
      </c>
      <c r="I35" s="57"/>
    </row>
    <row r="36" spans="1:9">
      <c r="A36" s="27">
        <v>35559</v>
      </c>
      <c r="B36" s="99">
        <v>28.125</v>
      </c>
      <c r="C36" s="99">
        <v>26.875</v>
      </c>
      <c r="D36" s="99">
        <v>27.25</v>
      </c>
      <c r="E36" s="297">
        <f t="shared" si="1"/>
        <v>28.125</v>
      </c>
      <c r="F36" s="297">
        <f t="shared" si="2"/>
        <v>26.812999999999999</v>
      </c>
      <c r="G36" s="297">
        <f t="shared" si="0"/>
        <v>0.43700000000000117</v>
      </c>
      <c r="H36" s="297">
        <f t="shared" si="3"/>
        <v>7.1559999999999988</v>
      </c>
      <c r="I36" s="57"/>
    </row>
    <row r="37" spans="1:9">
      <c r="A37" s="26">
        <v>35562</v>
      </c>
      <c r="B37" s="100">
        <v>28.125</v>
      </c>
      <c r="C37" s="100">
        <v>26.062999999999999</v>
      </c>
      <c r="D37" s="100">
        <v>26.75</v>
      </c>
      <c r="E37" s="296">
        <f t="shared" si="1"/>
        <v>28.125</v>
      </c>
      <c r="F37" s="296">
        <f t="shared" si="2"/>
        <v>26.062999999999999</v>
      </c>
      <c r="G37" s="296">
        <f t="shared" si="0"/>
        <v>-1.375</v>
      </c>
      <c r="H37" s="296">
        <f t="shared" si="3"/>
        <v>5.7809999999999988</v>
      </c>
      <c r="I37" s="54"/>
    </row>
    <row r="38" spans="1:9">
      <c r="A38" s="26">
        <v>35563</v>
      </c>
      <c r="B38" s="100">
        <v>27.5</v>
      </c>
      <c r="C38" s="100">
        <v>26</v>
      </c>
      <c r="D38" s="100">
        <v>26.937999999999999</v>
      </c>
      <c r="E38" s="296">
        <f t="shared" si="1"/>
        <v>27.5</v>
      </c>
      <c r="F38" s="296">
        <f t="shared" si="2"/>
        <v>26</v>
      </c>
      <c r="G38" s="296">
        <f t="shared" si="0"/>
        <v>0.93799999999999883</v>
      </c>
      <c r="H38" s="296">
        <f t="shared" si="3"/>
        <v>6.7189999999999976</v>
      </c>
      <c r="I38" s="54"/>
    </row>
    <row r="39" spans="1:9">
      <c r="A39" s="27">
        <v>35564</v>
      </c>
      <c r="B39" s="99">
        <v>27.75</v>
      </c>
      <c r="C39" s="99">
        <v>26.437999999999999</v>
      </c>
      <c r="D39" s="99">
        <v>26.562999999999999</v>
      </c>
      <c r="E39" s="297">
        <f t="shared" ref="E39:E54" si="4">MAX(D38,B39)</f>
        <v>27.75</v>
      </c>
      <c r="F39" s="297">
        <f t="shared" ref="F39:F54" si="5">MIN(D38,C39)</f>
        <v>26.437999999999999</v>
      </c>
      <c r="G39" s="297">
        <f t="shared" si="0"/>
        <v>-1.1870000000000012</v>
      </c>
      <c r="H39" s="297">
        <f t="shared" si="3"/>
        <v>5.5319999999999965</v>
      </c>
      <c r="I39" s="57"/>
    </row>
    <row r="40" spans="1:9">
      <c r="A40" s="27">
        <v>35565</v>
      </c>
      <c r="B40" s="99">
        <v>27</v>
      </c>
      <c r="C40" s="99">
        <v>25.25</v>
      </c>
      <c r="D40" s="99">
        <v>26.25</v>
      </c>
      <c r="E40" s="297">
        <f t="shared" si="4"/>
        <v>27</v>
      </c>
      <c r="F40" s="297">
        <f t="shared" si="5"/>
        <v>25.25</v>
      </c>
      <c r="G40" s="297">
        <f t="shared" si="0"/>
        <v>-0.75</v>
      </c>
      <c r="H40" s="297">
        <f t="shared" ref="H40:H55" si="6">H39+G40</f>
        <v>4.7819999999999965</v>
      </c>
      <c r="I40" s="57"/>
    </row>
    <row r="41" spans="1:9">
      <c r="A41" s="26">
        <v>35566</v>
      </c>
      <c r="B41" s="100">
        <v>26</v>
      </c>
      <c r="C41" s="100">
        <v>25.375</v>
      </c>
      <c r="D41" s="100">
        <v>25.625</v>
      </c>
      <c r="E41" s="296">
        <f t="shared" si="4"/>
        <v>26.25</v>
      </c>
      <c r="F41" s="296">
        <f t="shared" si="5"/>
        <v>25.375</v>
      </c>
      <c r="G41" s="296">
        <f t="shared" si="0"/>
        <v>-0.625</v>
      </c>
      <c r="H41" s="296">
        <f t="shared" si="6"/>
        <v>4.1569999999999965</v>
      </c>
      <c r="I41" s="54"/>
    </row>
    <row r="42" spans="1:9">
      <c r="A42" s="26">
        <v>35569</v>
      </c>
      <c r="B42" s="100">
        <v>26.062999999999999</v>
      </c>
      <c r="C42" s="100">
        <v>25.375</v>
      </c>
      <c r="D42" s="100">
        <v>26</v>
      </c>
      <c r="E42" s="296">
        <f t="shared" si="4"/>
        <v>26.062999999999999</v>
      </c>
      <c r="F42" s="296">
        <f t="shared" si="5"/>
        <v>25.375</v>
      </c>
      <c r="G42" s="296">
        <f t="shared" si="0"/>
        <v>0.625</v>
      </c>
      <c r="H42" s="296">
        <f t="shared" si="6"/>
        <v>4.7819999999999965</v>
      </c>
      <c r="I42" s="54"/>
    </row>
    <row r="43" spans="1:9">
      <c r="A43" s="27">
        <v>35570</v>
      </c>
      <c r="B43" s="99">
        <v>27.625</v>
      </c>
      <c r="C43" s="99">
        <v>25.5</v>
      </c>
      <c r="D43" s="99">
        <v>27.5</v>
      </c>
      <c r="E43" s="297">
        <f t="shared" si="4"/>
        <v>27.625</v>
      </c>
      <c r="F43" s="297">
        <f t="shared" si="5"/>
        <v>25.5</v>
      </c>
      <c r="G43" s="297">
        <f t="shared" si="0"/>
        <v>2</v>
      </c>
      <c r="H43" s="297">
        <f t="shared" si="6"/>
        <v>6.7819999999999965</v>
      </c>
      <c r="I43" s="57"/>
    </row>
    <row r="44" spans="1:9">
      <c r="A44" s="27">
        <v>35571</v>
      </c>
      <c r="B44" s="99">
        <v>29.375</v>
      </c>
      <c r="C44" s="99">
        <v>27.5</v>
      </c>
      <c r="D44" s="99">
        <v>29.125</v>
      </c>
      <c r="E44" s="297">
        <f t="shared" si="4"/>
        <v>29.375</v>
      </c>
      <c r="F44" s="297">
        <f t="shared" si="5"/>
        <v>27.5</v>
      </c>
      <c r="G44" s="297">
        <f t="shared" si="0"/>
        <v>1.625</v>
      </c>
      <c r="H44" s="297">
        <f t="shared" si="6"/>
        <v>8.4069999999999965</v>
      </c>
      <c r="I44" s="57"/>
    </row>
    <row r="45" spans="1:9">
      <c r="A45" s="26">
        <v>35572</v>
      </c>
      <c r="B45" s="100">
        <v>31.625</v>
      </c>
      <c r="C45" s="100">
        <v>29</v>
      </c>
      <c r="D45" s="100">
        <v>30.437999999999999</v>
      </c>
      <c r="E45" s="296">
        <f t="shared" si="4"/>
        <v>31.625</v>
      </c>
      <c r="F45" s="296">
        <f t="shared" si="5"/>
        <v>29</v>
      </c>
      <c r="G45" s="296">
        <f t="shared" si="0"/>
        <v>1.4379999999999988</v>
      </c>
      <c r="H45" s="296">
        <f t="shared" si="6"/>
        <v>9.8449999999999953</v>
      </c>
      <c r="I45" s="54"/>
    </row>
    <row r="46" spans="1:9">
      <c r="A46" s="26">
        <v>35573</v>
      </c>
      <c r="B46" s="100">
        <v>31.5</v>
      </c>
      <c r="C46" s="100">
        <v>30.125</v>
      </c>
      <c r="D46" s="100">
        <v>31.25</v>
      </c>
      <c r="E46" s="296">
        <f t="shared" si="4"/>
        <v>31.5</v>
      </c>
      <c r="F46" s="296">
        <f t="shared" si="5"/>
        <v>30.125</v>
      </c>
      <c r="G46" s="296">
        <f t="shared" si="0"/>
        <v>1.125</v>
      </c>
      <c r="H46" s="296">
        <f t="shared" si="6"/>
        <v>10.969999999999995</v>
      </c>
      <c r="I46" s="54"/>
    </row>
    <row r="47" spans="1:9">
      <c r="A47" s="27">
        <v>35577</v>
      </c>
      <c r="B47" s="99">
        <v>33.875</v>
      </c>
      <c r="C47" s="99">
        <v>30.625</v>
      </c>
      <c r="D47" s="99">
        <v>32.125</v>
      </c>
      <c r="E47" s="297">
        <f t="shared" si="4"/>
        <v>33.875</v>
      </c>
      <c r="F47" s="297">
        <f t="shared" si="5"/>
        <v>30.625</v>
      </c>
      <c r="G47" s="297">
        <f t="shared" si="0"/>
        <v>1.5</v>
      </c>
      <c r="H47" s="297">
        <f t="shared" si="6"/>
        <v>12.469999999999995</v>
      </c>
      <c r="I47" s="57"/>
    </row>
    <row r="48" spans="1:9">
      <c r="A48" s="27">
        <v>35578</v>
      </c>
      <c r="B48" s="99">
        <v>34</v>
      </c>
      <c r="C48" s="99">
        <v>32.125</v>
      </c>
      <c r="D48" s="99">
        <v>33.625</v>
      </c>
      <c r="E48" s="297">
        <f t="shared" si="4"/>
        <v>34</v>
      </c>
      <c r="F48" s="297">
        <f t="shared" si="5"/>
        <v>32.125</v>
      </c>
      <c r="G48" s="297">
        <f t="shared" si="0"/>
        <v>1.5</v>
      </c>
      <c r="H48" s="297">
        <f t="shared" si="6"/>
        <v>13.969999999999995</v>
      </c>
      <c r="I48" s="57"/>
    </row>
    <row r="49" spans="1:9">
      <c r="A49" s="26">
        <v>35579</v>
      </c>
      <c r="B49" s="100">
        <v>34</v>
      </c>
      <c r="C49" s="100">
        <v>31.375</v>
      </c>
      <c r="D49" s="100">
        <v>31.75</v>
      </c>
      <c r="E49" s="296">
        <f t="shared" si="4"/>
        <v>34</v>
      </c>
      <c r="F49" s="296">
        <f t="shared" si="5"/>
        <v>31.375</v>
      </c>
      <c r="G49" s="296">
        <f t="shared" si="0"/>
        <v>-2.25</v>
      </c>
      <c r="H49" s="296">
        <f t="shared" si="6"/>
        <v>11.719999999999995</v>
      </c>
      <c r="I49" s="54"/>
    </row>
    <row r="50" spans="1:9">
      <c r="A50" s="26">
        <v>35580</v>
      </c>
      <c r="B50" s="100">
        <v>32.875</v>
      </c>
      <c r="C50" s="100">
        <v>29.75</v>
      </c>
      <c r="D50" s="100">
        <v>32.5</v>
      </c>
      <c r="E50" s="296">
        <f t="shared" si="4"/>
        <v>32.875</v>
      </c>
      <c r="F50" s="296">
        <f t="shared" si="5"/>
        <v>29.75</v>
      </c>
      <c r="G50" s="296">
        <f t="shared" si="0"/>
        <v>2.75</v>
      </c>
      <c r="H50" s="296">
        <f t="shared" si="6"/>
        <v>14.469999999999995</v>
      </c>
      <c r="I50" s="54"/>
    </row>
    <row r="51" spans="1:9">
      <c r="A51" s="27">
        <v>35583</v>
      </c>
      <c r="B51" s="99">
        <v>33.125</v>
      </c>
      <c r="C51" s="99">
        <v>31.625</v>
      </c>
      <c r="D51" s="99">
        <v>32.5</v>
      </c>
      <c r="E51" s="297">
        <f t="shared" si="4"/>
        <v>33.125</v>
      </c>
      <c r="F51" s="297">
        <f t="shared" si="5"/>
        <v>31.625</v>
      </c>
      <c r="G51" s="297">
        <f t="shared" si="0"/>
        <v>0</v>
      </c>
      <c r="H51" s="297">
        <f t="shared" si="6"/>
        <v>14.469999999999995</v>
      </c>
      <c r="I51" s="57"/>
    </row>
    <row r="52" spans="1:9">
      <c r="A52" s="27">
        <v>35584</v>
      </c>
      <c r="B52" s="99">
        <v>32.75</v>
      </c>
      <c r="C52" s="99">
        <v>30.875</v>
      </c>
      <c r="D52" s="99">
        <v>30.937999999999999</v>
      </c>
      <c r="E52" s="297">
        <f t="shared" si="4"/>
        <v>32.75</v>
      </c>
      <c r="F52" s="297">
        <f t="shared" si="5"/>
        <v>30.875</v>
      </c>
      <c r="G52" s="297">
        <f t="shared" si="0"/>
        <v>-1.8120000000000012</v>
      </c>
      <c r="H52" s="297">
        <f t="shared" si="6"/>
        <v>12.657999999999994</v>
      </c>
      <c r="I52" s="57"/>
    </row>
    <row r="53" spans="1:9">
      <c r="A53" s="26">
        <v>35585</v>
      </c>
      <c r="B53" s="100">
        <v>31.625</v>
      </c>
      <c r="C53" s="100">
        <v>30</v>
      </c>
      <c r="D53" s="100">
        <v>30.75</v>
      </c>
      <c r="E53" s="296">
        <f t="shared" si="4"/>
        <v>31.625</v>
      </c>
      <c r="F53" s="296">
        <f t="shared" si="5"/>
        <v>30</v>
      </c>
      <c r="G53" s="296">
        <f t="shared" si="0"/>
        <v>-0.875</v>
      </c>
      <c r="H53" s="296">
        <f t="shared" si="6"/>
        <v>11.782999999999994</v>
      </c>
      <c r="I53" s="54"/>
    </row>
    <row r="54" spans="1:9">
      <c r="A54" s="26">
        <v>35586</v>
      </c>
      <c r="B54" s="100">
        <v>31.875</v>
      </c>
      <c r="C54" s="100">
        <v>30.687999999999999</v>
      </c>
      <c r="D54" s="100">
        <v>31.125</v>
      </c>
      <c r="E54" s="296">
        <f t="shared" si="4"/>
        <v>31.875</v>
      </c>
      <c r="F54" s="296">
        <f t="shared" si="5"/>
        <v>30.687999999999999</v>
      </c>
      <c r="G54" s="296">
        <f t="shared" ref="G54:G76" si="7">IF(D54&gt;D53,D54-F54,IF(D54&lt;D53,D54-E54,0))</f>
        <v>0.43700000000000117</v>
      </c>
      <c r="H54" s="296">
        <f t="shared" si="6"/>
        <v>12.219999999999995</v>
      </c>
      <c r="I54" s="54"/>
    </row>
    <row r="55" spans="1:9">
      <c r="A55" s="27">
        <v>35587</v>
      </c>
      <c r="B55" s="99">
        <v>31.75</v>
      </c>
      <c r="C55" s="99">
        <v>30.875</v>
      </c>
      <c r="D55" s="99">
        <v>31.625</v>
      </c>
      <c r="E55" s="297">
        <f t="shared" ref="E55:E70" si="8">MAX(D54,B55)</f>
        <v>31.75</v>
      </c>
      <c r="F55" s="297">
        <f t="shared" ref="F55:F70" si="9">MIN(D54,C55)</f>
        <v>30.875</v>
      </c>
      <c r="G55" s="297">
        <f t="shared" si="7"/>
        <v>0.75</v>
      </c>
      <c r="H55" s="297">
        <f t="shared" si="6"/>
        <v>12.969999999999995</v>
      </c>
      <c r="I55" s="57"/>
    </row>
    <row r="56" spans="1:9">
      <c r="A56" s="27">
        <v>35590</v>
      </c>
      <c r="B56" s="99">
        <v>34.438000000000002</v>
      </c>
      <c r="C56" s="99">
        <v>31.875</v>
      </c>
      <c r="D56" s="99">
        <v>33.875</v>
      </c>
      <c r="E56" s="297">
        <f t="shared" si="8"/>
        <v>34.438000000000002</v>
      </c>
      <c r="F56" s="297">
        <f t="shared" si="9"/>
        <v>31.625</v>
      </c>
      <c r="G56" s="297">
        <f t="shared" si="7"/>
        <v>2.25</v>
      </c>
      <c r="H56" s="297">
        <f t="shared" ref="H56:H71" si="10">H55+G56</f>
        <v>15.219999999999995</v>
      </c>
      <c r="I56" s="57"/>
    </row>
    <row r="57" spans="1:9">
      <c r="A57" s="26">
        <v>35591</v>
      </c>
      <c r="B57" s="100">
        <v>33.75</v>
      </c>
      <c r="C57" s="100">
        <v>32.25</v>
      </c>
      <c r="D57" s="100">
        <v>32.625</v>
      </c>
      <c r="E57" s="296">
        <f t="shared" si="8"/>
        <v>33.875</v>
      </c>
      <c r="F57" s="296">
        <f t="shared" si="9"/>
        <v>32.25</v>
      </c>
      <c r="G57" s="296">
        <f t="shared" si="7"/>
        <v>-1.25</v>
      </c>
      <c r="H57" s="296">
        <f t="shared" si="10"/>
        <v>13.969999999999995</v>
      </c>
      <c r="I57" s="54"/>
    </row>
    <row r="58" spans="1:9">
      <c r="A58" s="26">
        <v>35592</v>
      </c>
      <c r="B58" s="100">
        <v>33.875</v>
      </c>
      <c r="C58" s="100">
        <v>31.780999999999999</v>
      </c>
      <c r="D58" s="100">
        <v>33.5</v>
      </c>
      <c r="E58" s="296">
        <f t="shared" si="8"/>
        <v>33.875</v>
      </c>
      <c r="F58" s="296">
        <f t="shared" si="9"/>
        <v>31.780999999999999</v>
      </c>
      <c r="G58" s="296">
        <f t="shared" si="7"/>
        <v>1.7190000000000012</v>
      </c>
      <c r="H58" s="296">
        <f t="shared" si="10"/>
        <v>15.688999999999997</v>
      </c>
      <c r="I58" s="54"/>
    </row>
    <row r="59" spans="1:9">
      <c r="A59" s="27">
        <v>35593</v>
      </c>
      <c r="B59" s="99">
        <v>35.75</v>
      </c>
      <c r="C59" s="99">
        <v>32.5</v>
      </c>
      <c r="D59" s="99">
        <v>33</v>
      </c>
      <c r="E59" s="297">
        <f t="shared" si="8"/>
        <v>35.75</v>
      </c>
      <c r="F59" s="297">
        <f t="shared" si="9"/>
        <v>32.5</v>
      </c>
      <c r="G59" s="297">
        <f t="shared" si="7"/>
        <v>-2.75</v>
      </c>
      <c r="H59" s="297">
        <f t="shared" si="10"/>
        <v>12.938999999999997</v>
      </c>
      <c r="I59" s="57"/>
    </row>
    <row r="60" spans="1:9">
      <c r="A60" s="27">
        <v>35594</v>
      </c>
      <c r="B60" s="99">
        <v>34.875</v>
      </c>
      <c r="C60" s="99">
        <v>32</v>
      </c>
      <c r="D60" s="99">
        <v>34.25</v>
      </c>
      <c r="E60" s="297">
        <f t="shared" si="8"/>
        <v>34.875</v>
      </c>
      <c r="F60" s="297">
        <f t="shared" si="9"/>
        <v>32</v>
      </c>
      <c r="G60" s="297">
        <f t="shared" si="7"/>
        <v>2.25</v>
      </c>
      <c r="H60" s="297">
        <f t="shared" si="10"/>
        <v>15.188999999999997</v>
      </c>
      <c r="I60" s="57"/>
    </row>
    <row r="61" spans="1:9">
      <c r="A61" s="26">
        <v>35597</v>
      </c>
      <c r="B61" s="100">
        <v>37</v>
      </c>
      <c r="C61" s="100">
        <v>33.5</v>
      </c>
      <c r="D61" s="100">
        <v>34.25</v>
      </c>
      <c r="E61" s="296">
        <f t="shared" si="8"/>
        <v>37</v>
      </c>
      <c r="F61" s="296">
        <f t="shared" si="9"/>
        <v>33.5</v>
      </c>
      <c r="G61" s="296">
        <f t="shared" si="7"/>
        <v>0</v>
      </c>
      <c r="H61" s="296">
        <f t="shared" si="10"/>
        <v>15.188999999999997</v>
      </c>
      <c r="I61" s="54"/>
    </row>
    <row r="62" spans="1:9">
      <c r="A62" s="26">
        <v>35598</v>
      </c>
      <c r="B62" s="100">
        <v>35.25</v>
      </c>
      <c r="C62" s="100">
        <v>32.25</v>
      </c>
      <c r="D62" s="100">
        <v>33.875</v>
      </c>
      <c r="E62" s="296">
        <f t="shared" si="8"/>
        <v>35.25</v>
      </c>
      <c r="F62" s="296">
        <f t="shared" si="9"/>
        <v>32.25</v>
      </c>
      <c r="G62" s="296">
        <f t="shared" si="7"/>
        <v>-1.375</v>
      </c>
      <c r="H62" s="296">
        <f t="shared" si="10"/>
        <v>13.813999999999997</v>
      </c>
      <c r="I62" s="54"/>
    </row>
    <row r="63" spans="1:9">
      <c r="A63" s="27">
        <v>35599</v>
      </c>
      <c r="B63" s="99">
        <v>35</v>
      </c>
      <c r="C63" s="99">
        <v>33.25</v>
      </c>
      <c r="D63" s="99">
        <v>35</v>
      </c>
      <c r="E63" s="297">
        <f t="shared" si="8"/>
        <v>35</v>
      </c>
      <c r="F63" s="297">
        <f t="shared" si="9"/>
        <v>33.25</v>
      </c>
      <c r="G63" s="297">
        <f t="shared" si="7"/>
        <v>1.75</v>
      </c>
      <c r="H63" s="297">
        <f t="shared" si="10"/>
        <v>15.563999999999997</v>
      </c>
      <c r="I63" s="57"/>
    </row>
    <row r="64" spans="1:9">
      <c r="A64" s="27">
        <v>35600</v>
      </c>
      <c r="B64" s="99">
        <v>36</v>
      </c>
      <c r="C64" s="99">
        <v>33.25</v>
      </c>
      <c r="D64" s="99">
        <v>35.125</v>
      </c>
      <c r="E64" s="297">
        <f t="shared" si="8"/>
        <v>36</v>
      </c>
      <c r="F64" s="297">
        <f t="shared" si="9"/>
        <v>33.25</v>
      </c>
      <c r="G64" s="297">
        <f t="shared" si="7"/>
        <v>1.875</v>
      </c>
      <c r="H64" s="297">
        <f t="shared" si="10"/>
        <v>17.438999999999997</v>
      </c>
      <c r="I64" s="57"/>
    </row>
    <row r="65" spans="1:9">
      <c r="A65" s="26">
        <v>35601</v>
      </c>
      <c r="B65" s="100">
        <v>36.25</v>
      </c>
      <c r="C65" s="100">
        <v>34.375</v>
      </c>
      <c r="D65" s="100">
        <v>35.25</v>
      </c>
      <c r="E65" s="296">
        <f t="shared" si="8"/>
        <v>36.25</v>
      </c>
      <c r="F65" s="296">
        <f t="shared" si="9"/>
        <v>34.375</v>
      </c>
      <c r="G65" s="296">
        <f t="shared" si="7"/>
        <v>0.875</v>
      </c>
      <c r="H65" s="296">
        <f t="shared" si="10"/>
        <v>18.313999999999997</v>
      </c>
      <c r="I65" s="54"/>
    </row>
    <row r="66" spans="1:9">
      <c r="A66" s="26">
        <v>35604</v>
      </c>
      <c r="B66" s="100">
        <v>38.5</v>
      </c>
      <c r="C66" s="100">
        <v>35.25</v>
      </c>
      <c r="D66" s="100">
        <v>37.875</v>
      </c>
      <c r="E66" s="296">
        <f t="shared" si="8"/>
        <v>38.5</v>
      </c>
      <c r="F66" s="296">
        <f t="shared" si="9"/>
        <v>35.25</v>
      </c>
      <c r="G66" s="296">
        <f t="shared" si="7"/>
        <v>2.625</v>
      </c>
      <c r="H66" s="296">
        <f t="shared" si="10"/>
        <v>20.938999999999997</v>
      </c>
      <c r="I66" s="54"/>
    </row>
    <row r="67" spans="1:9">
      <c r="A67" s="27">
        <v>35605</v>
      </c>
      <c r="B67" s="99">
        <v>39.5</v>
      </c>
      <c r="C67" s="99">
        <v>37.75</v>
      </c>
      <c r="D67" s="99">
        <v>38.5</v>
      </c>
      <c r="E67" s="297">
        <f t="shared" si="8"/>
        <v>39.5</v>
      </c>
      <c r="F67" s="297">
        <f t="shared" si="9"/>
        <v>37.75</v>
      </c>
      <c r="G67" s="297">
        <f t="shared" si="7"/>
        <v>0.75</v>
      </c>
      <c r="H67" s="297">
        <f t="shared" si="10"/>
        <v>21.688999999999997</v>
      </c>
      <c r="I67" s="57"/>
    </row>
    <row r="68" spans="1:9">
      <c r="A68" s="27">
        <v>35606</v>
      </c>
      <c r="B68" s="99">
        <v>39.5</v>
      </c>
      <c r="C68" s="99">
        <v>35.75</v>
      </c>
      <c r="D68" s="99">
        <v>38</v>
      </c>
      <c r="E68" s="297">
        <f t="shared" si="8"/>
        <v>39.5</v>
      </c>
      <c r="F68" s="297">
        <f t="shared" si="9"/>
        <v>35.75</v>
      </c>
      <c r="G68" s="297">
        <f t="shared" si="7"/>
        <v>-1.5</v>
      </c>
      <c r="H68" s="297">
        <f t="shared" si="10"/>
        <v>20.188999999999997</v>
      </c>
      <c r="I68" s="57"/>
    </row>
    <row r="69" spans="1:9">
      <c r="A69" s="26">
        <v>35607</v>
      </c>
      <c r="B69" s="100">
        <v>46</v>
      </c>
      <c r="C69" s="100">
        <v>38</v>
      </c>
      <c r="D69" s="100">
        <v>45.25</v>
      </c>
      <c r="E69" s="296">
        <f t="shared" si="8"/>
        <v>46</v>
      </c>
      <c r="F69" s="296">
        <f t="shared" si="9"/>
        <v>38</v>
      </c>
      <c r="G69" s="296">
        <f t="shared" si="7"/>
        <v>7.25</v>
      </c>
      <c r="H69" s="296">
        <f t="shared" si="10"/>
        <v>27.438999999999997</v>
      </c>
      <c r="I69" s="54"/>
    </row>
    <row r="70" spans="1:9">
      <c r="A70" s="26">
        <v>35608</v>
      </c>
      <c r="B70" s="100">
        <v>48.5</v>
      </c>
      <c r="C70" s="100">
        <v>45.25</v>
      </c>
      <c r="D70" s="100">
        <v>47</v>
      </c>
      <c r="E70" s="296">
        <f t="shared" si="8"/>
        <v>48.5</v>
      </c>
      <c r="F70" s="296">
        <f t="shared" si="9"/>
        <v>45.25</v>
      </c>
      <c r="G70" s="296">
        <f t="shared" si="7"/>
        <v>1.75</v>
      </c>
      <c r="H70" s="296">
        <f t="shared" si="10"/>
        <v>29.188999999999997</v>
      </c>
      <c r="I70" s="54"/>
    </row>
    <row r="71" spans="1:9">
      <c r="A71" s="27">
        <v>35611</v>
      </c>
      <c r="B71" s="99">
        <v>47.5</v>
      </c>
      <c r="C71" s="99">
        <v>43</v>
      </c>
      <c r="D71" s="99">
        <v>44.5</v>
      </c>
      <c r="E71" s="297">
        <f t="shared" ref="E71:E76" si="11">MAX(D70,B71)</f>
        <v>47.5</v>
      </c>
      <c r="F71" s="297">
        <f t="shared" ref="F71:F76" si="12">MIN(D70,C71)</f>
        <v>43</v>
      </c>
      <c r="G71" s="297">
        <f t="shared" si="7"/>
        <v>-3</v>
      </c>
      <c r="H71" s="297">
        <f t="shared" si="10"/>
        <v>26.188999999999997</v>
      </c>
      <c r="I71" s="57"/>
    </row>
    <row r="72" spans="1:9">
      <c r="A72" s="27">
        <v>35612</v>
      </c>
      <c r="B72" s="99">
        <v>45.375</v>
      </c>
      <c r="C72" s="99">
        <v>42.5</v>
      </c>
      <c r="D72" s="99">
        <v>43.625</v>
      </c>
      <c r="E72" s="297">
        <f t="shared" si="11"/>
        <v>45.375</v>
      </c>
      <c r="F72" s="297">
        <f t="shared" si="12"/>
        <v>42.5</v>
      </c>
      <c r="G72" s="297">
        <f t="shared" si="7"/>
        <v>-1.75</v>
      </c>
      <c r="H72" s="297">
        <f>H71+G72</f>
        <v>24.438999999999997</v>
      </c>
      <c r="I72" s="57"/>
    </row>
    <row r="73" spans="1:9">
      <c r="A73" s="26">
        <v>35613</v>
      </c>
      <c r="B73" s="100">
        <v>45</v>
      </c>
      <c r="C73" s="100">
        <v>43.25</v>
      </c>
      <c r="D73" s="100">
        <v>43.5</v>
      </c>
      <c r="E73" s="296">
        <f t="shared" si="11"/>
        <v>45</v>
      </c>
      <c r="F73" s="296">
        <f t="shared" si="12"/>
        <v>43.25</v>
      </c>
      <c r="G73" s="296">
        <f t="shared" si="7"/>
        <v>-1.5</v>
      </c>
      <c r="H73" s="296">
        <f>H72+G73</f>
        <v>22.938999999999997</v>
      </c>
      <c r="I73" s="54"/>
    </row>
    <row r="74" spans="1:9">
      <c r="A74" s="26">
        <v>35614</v>
      </c>
      <c r="B74" s="100">
        <v>43.5</v>
      </c>
      <c r="C74" s="100">
        <v>42</v>
      </c>
      <c r="D74" s="100">
        <v>42.375</v>
      </c>
      <c r="E74" s="296">
        <f t="shared" si="11"/>
        <v>43.5</v>
      </c>
      <c r="F74" s="296">
        <f t="shared" si="12"/>
        <v>42</v>
      </c>
      <c r="G74" s="296">
        <f t="shared" si="7"/>
        <v>-1.125</v>
      </c>
      <c r="H74" s="296">
        <f>H73+G74</f>
        <v>21.813999999999997</v>
      </c>
      <c r="I74" s="54"/>
    </row>
    <row r="75" spans="1:9">
      <c r="A75" s="68">
        <v>35618</v>
      </c>
      <c r="B75" s="99">
        <v>44.5</v>
      </c>
      <c r="C75" s="99">
        <v>42.5</v>
      </c>
      <c r="D75" s="99">
        <v>43.25</v>
      </c>
      <c r="E75" s="297">
        <f t="shared" si="11"/>
        <v>44.5</v>
      </c>
      <c r="F75" s="297">
        <f t="shared" si="12"/>
        <v>42.375</v>
      </c>
      <c r="G75" s="297">
        <f t="shared" si="7"/>
        <v>0.875</v>
      </c>
      <c r="H75" s="297">
        <f>H74+G75</f>
        <v>22.688999999999997</v>
      </c>
      <c r="I75" s="57"/>
    </row>
    <row r="76" spans="1:9">
      <c r="A76" s="68">
        <v>35619</v>
      </c>
      <c r="B76" s="99">
        <v>45.5</v>
      </c>
      <c r="C76" s="99">
        <v>42.75</v>
      </c>
      <c r="D76" s="99">
        <v>45.125</v>
      </c>
      <c r="E76" s="297">
        <f t="shared" si="11"/>
        <v>45.5</v>
      </c>
      <c r="F76" s="297">
        <f t="shared" si="12"/>
        <v>42.75</v>
      </c>
      <c r="G76" s="297">
        <f t="shared" si="7"/>
        <v>2.375</v>
      </c>
      <c r="H76" s="297">
        <f>H75+G76</f>
        <v>25.063999999999997</v>
      </c>
      <c r="I76" s="57"/>
    </row>
    <row r="77" spans="1:9">
      <c r="A77" s="8"/>
    </row>
    <row r="78" spans="1:9" ht="15">
      <c r="A78" s="241" t="s">
        <v>1034</v>
      </c>
    </row>
    <row r="79" spans="1:9" ht="15">
      <c r="A79" s="241" t="s">
        <v>1035</v>
      </c>
    </row>
    <row r="80" spans="1:9" ht="15">
      <c r="A80" s="241" t="s">
        <v>1036</v>
      </c>
    </row>
    <row r="81" spans="1:1" ht="15">
      <c r="A81" s="241" t="s">
        <v>758</v>
      </c>
    </row>
    <row r="82" spans="1:1">
      <c r="A82" s="8"/>
    </row>
    <row r="83" spans="1:1">
      <c r="A83" s="8"/>
    </row>
    <row r="84" spans="1:1">
      <c r="A84" s="8"/>
    </row>
    <row r="85" spans="1:1">
      <c r="A85" s="8"/>
    </row>
    <row r="86" spans="1:1">
      <c r="A86" s="8"/>
    </row>
    <row r="87" spans="1:1">
      <c r="A87" s="8"/>
    </row>
    <row r="88" spans="1:1">
      <c r="A88" s="8"/>
    </row>
    <row r="89" spans="1:1">
      <c r="A89" s="8"/>
    </row>
    <row r="90" spans="1:1">
      <c r="A90" s="8"/>
    </row>
    <row r="91" spans="1:1">
      <c r="A91" s="8"/>
    </row>
    <row r="92" spans="1:1">
      <c r="A92" s="8"/>
    </row>
    <row r="93" spans="1:1">
      <c r="A93" s="8"/>
    </row>
    <row r="94" spans="1:1">
      <c r="A94" s="8"/>
    </row>
    <row r="95" spans="1:1">
      <c r="A95" s="8"/>
    </row>
    <row r="96" spans="1:1">
      <c r="A96" s="8"/>
    </row>
    <row r="97" spans="1:1">
      <c r="A97" s="8"/>
    </row>
    <row r="98" spans="1:1">
      <c r="A98" s="8"/>
    </row>
    <row r="99" spans="1:1">
      <c r="A99" s="8"/>
    </row>
    <row r="100" spans="1:1">
      <c r="A100" s="8"/>
    </row>
    <row r="101" spans="1:1">
      <c r="A101" s="8"/>
    </row>
    <row r="102" spans="1:1">
      <c r="A102" s="8"/>
    </row>
    <row r="103" spans="1:1">
      <c r="A103" s="8"/>
    </row>
    <row r="104" spans="1:1">
      <c r="A104" s="8"/>
    </row>
    <row r="105" spans="1:1">
      <c r="A105" s="8"/>
    </row>
    <row r="106" spans="1:1">
      <c r="A106" s="8"/>
    </row>
    <row r="107" spans="1:1">
      <c r="A107" s="8"/>
    </row>
    <row r="108" spans="1:1">
      <c r="A108" s="8"/>
    </row>
    <row r="109" spans="1:1">
      <c r="A109" s="8"/>
    </row>
    <row r="110" spans="1:1">
      <c r="A110" s="8"/>
    </row>
    <row r="111" spans="1:1">
      <c r="A111" s="8"/>
    </row>
    <row r="112" spans="1:1">
      <c r="A112" s="8"/>
    </row>
    <row r="113" spans="1:1">
      <c r="A113" s="8"/>
    </row>
    <row r="114" spans="1:1">
      <c r="A114" s="8"/>
    </row>
    <row r="115" spans="1:1">
      <c r="A115" s="8"/>
    </row>
    <row r="116" spans="1:1">
      <c r="A116" s="8"/>
    </row>
    <row r="117" spans="1:1">
      <c r="A117" s="8"/>
    </row>
    <row r="118" spans="1:1">
      <c r="A118" s="8"/>
    </row>
    <row r="119" spans="1:1">
      <c r="A119" s="8"/>
    </row>
    <row r="120" spans="1:1">
      <c r="A120" s="8"/>
    </row>
    <row r="121" spans="1:1">
      <c r="A121" s="8"/>
    </row>
    <row r="122" spans="1:1">
      <c r="A122" s="8"/>
    </row>
    <row r="123" spans="1:1">
      <c r="A123" s="8"/>
    </row>
    <row r="124" spans="1:1">
      <c r="A124" s="8"/>
    </row>
    <row r="125" spans="1:1">
      <c r="A125" s="8"/>
    </row>
    <row r="126" spans="1:1">
      <c r="A126" s="8"/>
    </row>
    <row r="127" spans="1:1">
      <c r="A127" s="8"/>
    </row>
    <row r="128" spans="1:1">
      <c r="A128" s="8"/>
    </row>
    <row r="129" spans="1:1">
      <c r="A129" s="8"/>
    </row>
    <row r="130" spans="1:1">
      <c r="A130" s="8"/>
    </row>
    <row r="131" spans="1:1">
      <c r="A131" s="8"/>
    </row>
    <row r="132" spans="1:1">
      <c r="A132" s="8"/>
    </row>
    <row r="133" spans="1:1">
      <c r="A133" s="8"/>
    </row>
    <row r="134" spans="1:1">
      <c r="A134" s="8"/>
    </row>
    <row r="135" spans="1:1">
      <c r="A135" s="8"/>
    </row>
    <row r="136" spans="1:1">
      <c r="A136" s="8"/>
    </row>
    <row r="137" spans="1:1">
      <c r="A137" s="8"/>
    </row>
    <row r="138" spans="1:1">
      <c r="A138" s="8"/>
    </row>
    <row r="139" spans="1:1">
      <c r="A139" s="8"/>
    </row>
    <row r="140" spans="1:1">
      <c r="A140" s="8"/>
    </row>
    <row r="141" spans="1:1">
      <c r="A141" s="8"/>
    </row>
    <row r="142" spans="1:1">
      <c r="A142" s="8"/>
    </row>
    <row r="143" spans="1:1">
      <c r="A143" s="8"/>
    </row>
    <row r="144" spans="1:1">
      <c r="A144" s="8"/>
    </row>
    <row r="145" spans="1:1">
      <c r="A145" s="8"/>
    </row>
    <row r="146" spans="1:1">
      <c r="A146" s="8"/>
    </row>
    <row r="147" spans="1:1">
      <c r="A147" s="8"/>
    </row>
    <row r="148" spans="1:1">
      <c r="A148" s="8"/>
    </row>
    <row r="149" spans="1:1">
      <c r="A149" s="8"/>
    </row>
    <row r="150" spans="1:1">
      <c r="A150" s="8"/>
    </row>
    <row r="151" spans="1:1">
      <c r="A151" s="8"/>
    </row>
    <row r="152" spans="1:1">
      <c r="A152" s="8"/>
    </row>
    <row r="153" spans="1:1">
      <c r="A153" s="8"/>
    </row>
    <row r="154" spans="1:1">
      <c r="A154" s="8"/>
    </row>
    <row r="155" spans="1:1">
      <c r="A155" s="8"/>
    </row>
    <row r="156" spans="1:1">
      <c r="A156" s="8"/>
    </row>
    <row r="157" spans="1:1">
      <c r="A157" s="8"/>
    </row>
    <row r="158" spans="1:1">
      <c r="A158" s="8"/>
    </row>
    <row r="159" spans="1:1">
      <c r="A159" s="8"/>
    </row>
    <row r="160" spans="1:1">
      <c r="A160" s="8"/>
    </row>
    <row r="161" spans="1:1">
      <c r="A161" s="8"/>
    </row>
    <row r="162" spans="1:1">
      <c r="A162" s="8"/>
    </row>
    <row r="163" spans="1:1">
      <c r="A163" s="8"/>
    </row>
    <row r="164" spans="1:1">
      <c r="A164" s="8"/>
    </row>
    <row r="165" spans="1:1">
      <c r="A165" s="8"/>
    </row>
    <row r="166" spans="1:1">
      <c r="A166" s="8"/>
    </row>
    <row r="167" spans="1:1">
      <c r="A167" s="8"/>
    </row>
    <row r="168" spans="1:1">
      <c r="A168" s="8"/>
    </row>
    <row r="169" spans="1:1">
      <c r="A169" s="8"/>
    </row>
    <row r="170" spans="1:1">
      <c r="A170" s="8"/>
    </row>
    <row r="171" spans="1:1">
      <c r="A171" s="8"/>
    </row>
    <row r="172" spans="1:1">
      <c r="A172" s="8"/>
    </row>
    <row r="173" spans="1:1">
      <c r="A173" s="8"/>
    </row>
    <row r="174" spans="1:1">
      <c r="A174" s="8"/>
    </row>
    <row r="175" spans="1:1">
      <c r="A175" s="8"/>
    </row>
    <row r="176" spans="1:1">
      <c r="A176" s="8"/>
    </row>
    <row r="177" spans="1:1">
      <c r="A177" s="8"/>
    </row>
    <row r="178" spans="1:1">
      <c r="A178" s="8"/>
    </row>
    <row r="179" spans="1:1">
      <c r="A179" s="8"/>
    </row>
    <row r="180" spans="1:1">
      <c r="A180" s="8"/>
    </row>
    <row r="181" spans="1:1">
      <c r="A181" s="8"/>
    </row>
    <row r="182" spans="1:1">
      <c r="A182" s="8"/>
    </row>
    <row r="183" spans="1:1">
      <c r="A183" s="8"/>
    </row>
    <row r="184" spans="1:1">
      <c r="A184" s="8"/>
    </row>
    <row r="185" spans="1:1">
      <c r="A185" s="8"/>
    </row>
    <row r="186" spans="1:1">
      <c r="A186" s="8"/>
    </row>
    <row r="187" spans="1:1">
      <c r="A187" s="8"/>
    </row>
    <row r="188" spans="1:1">
      <c r="A188" s="8"/>
    </row>
    <row r="189" spans="1:1">
      <c r="A189" s="8"/>
    </row>
    <row r="190" spans="1:1">
      <c r="A190" s="8"/>
    </row>
    <row r="191" spans="1:1">
      <c r="A191" s="8"/>
    </row>
    <row r="192" spans="1:1">
      <c r="A192" s="8"/>
    </row>
    <row r="193" spans="1:1">
      <c r="A193" s="8"/>
    </row>
    <row r="194" spans="1:1">
      <c r="A194" s="8"/>
    </row>
    <row r="195" spans="1:1">
      <c r="A195" s="8"/>
    </row>
    <row r="196" spans="1:1">
      <c r="A196" s="8"/>
    </row>
    <row r="197" spans="1:1">
      <c r="A197" s="8"/>
    </row>
    <row r="198" spans="1:1">
      <c r="A198" s="8"/>
    </row>
    <row r="199" spans="1:1">
      <c r="A199" s="8"/>
    </row>
    <row r="200" spans="1:1">
      <c r="A200" s="8"/>
    </row>
    <row r="201" spans="1:1">
      <c r="A201" s="8"/>
    </row>
    <row r="202" spans="1:1">
      <c r="A202" s="8"/>
    </row>
    <row r="203" spans="1:1">
      <c r="A203" s="8"/>
    </row>
    <row r="204" spans="1:1">
      <c r="A204" s="8"/>
    </row>
    <row r="205" spans="1:1">
      <c r="A205" s="8"/>
    </row>
    <row r="206" spans="1:1">
      <c r="A206" s="8"/>
    </row>
    <row r="207" spans="1:1">
      <c r="A207" s="8"/>
    </row>
    <row r="208" spans="1:1">
      <c r="A208" s="8"/>
    </row>
    <row r="209" spans="1:1">
      <c r="A209" s="8"/>
    </row>
    <row r="210" spans="1:1">
      <c r="A210" s="8"/>
    </row>
    <row r="211" spans="1:1">
      <c r="A211" s="8"/>
    </row>
    <row r="212" spans="1:1">
      <c r="A212" s="8"/>
    </row>
    <row r="213" spans="1:1">
      <c r="A213" s="8"/>
    </row>
    <row r="214" spans="1:1">
      <c r="A214" s="8"/>
    </row>
    <row r="215" spans="1:1">
      <c r="A215" s="8"/>
    </row>
    <row r="216" spans="1:1">
      <c r="A216" s="8"/>
    </row>
    <row r="217" spans="1:1">
      <c r="A217" s="8"/>
    </row>
    <row r="218" spans="1:1">
      <c r="A218" s="8"/>
    </row>
    <row r="219" spans="1:1">
      <c r="A219" s="8"/>
    </row>
    <row r="220" spans="1:1">
      <c r="A220" s="8"/>
    </row>
    <row r="221" spans="1:1">
      <c r="A221" s="8"/>
    </row>
    <row r="222" spans="1:1">
      <c r="A222" s="8"/>
    </row>
    <row r="223" spans="1:1">
      <c r="A223" s="8"/>
    </row>
    <row r="224" spans="1:1">
      <c r="A224" s="8"/>
    </row>
    <row r="225" spans="1:1">
      <c r="A225" s="8"/>
    </row>
    <row r="226" spans="1:1">
      <c r="A226" s="8"/>
    </row>
    <row r="227" spans="1:1">
      <c r="A227" s="8"/>
    </row>
    <row r="228" spans="1:1">
      <c r="A228" s="8"/>
    </row>
    <row r="229" spans="1:1">
      <c r="A229" s="8"/>
    </row>
    <row r="230" spans="1:1">
      <c r="A230" s="8"/>
    </row>
    <row r="231" spans="1:1">
      <c r="A231" s="8"/>
    </row>
    <row r="232" spans="1:1">
      <c r="A232" s="8"/>
    </row>
    <row r="233" spans="1:1">
      <c r="A233" s="8"/>
    </row>
    <row r="234" spans="1:1">
      <c r="A234" s="8"/>
    </row>
    <row r="235" spans="1:1">
      <c r="A235" s="8"/>
    </row>
    <row r="236" spans="1:1">
      <c r="A236" s="8"/>
    </row>
    <row r="237" spans="1:1">
      <c r="A237" s="8"/>
    </row>
    <row r="238" spans="1:1">
      <c r="A238" s="8"/>
    </row>
    <row r="239" spans="1:1">
      <c r="A239" s="8"/>
    </row>
    <row r="240" spans="1:1">
      <c r="A240" s="8"/>
    </row>
    <row r="241" spans="1:1">
      <c r="A241" s="8"/>
    </row>
    <row r="242" spans="1:1">
      <c r="A242" s="8"/>
    </row>
    <row r="243" spans="1:1">
      <c r="A243" s="8"/>
    </row>
    <row r="244" spans="1:1">
      <c r="A244" s="8"/>
    </row>
    <row r="245" spans="1:1">
      <c r="A245" s="8"/>
    </row>
    <row r="246" spans="1:1">
      <c r="A246" s="8"/>
    </row>
    <row r="247" spans="1:1">
      <c r="A247" s="8"/>
    </row>
    <row r="248" spans="1:1">
      <c r="A248" s="8"/>
    </row>
    <row r="249" spans="1:1">
      <c r="A249" s="8"/>
    </row>
    <row r="250" spans="1:1">
      <c r="A250" s="8"/>
    </row>
    <row r="251" spans="1:1">
      <c r="A251" s="8"/>
    </row>
    <row r="252" spans="1:1">
      <c r="A252" s="8"/>
    </row>
    <row r="253" spans="1:1">
      <c r="A253" s="8"/>
    </row>
    <row r="254" spans="1:1">
      <c r="A254" s="8"/>
    </row>
    <row r="255" spans="1:1">
      <c r="A255" s="8"/>
    </row>
    <row r="256" spans="1:1">
      <c r="A256" s="8"/>
    </row>
    <row r="257" spans="1:1">
      <c r="A257" s="8"/>
    </row>
    <row r="258" spans="1:1">
      <c r="A258" s="8"/>
    </row>
    <row r="259" spans="1:1">
      <c r="A259" s="8"/>
    </row>
    <row r="260" spans="1:1">
      <c r="A260" s="8"/>
    </row>
    <row r="261" spans="1:1">
      <c r="A261" s="8"/>
    </row>
    <row r="262" spans="1:1">
      <c r="A262" s="8"/>
    </row>
    <row r="263" spans="1:1">
      <c r="A263" s="8"/>
    </row>
    <row r="264" spans="1:1">
      <c r="A264" s="8"/>
    </row>
    <row r="265" spans="1:1">
      <c r="A265" s="8"/>
    </row>
    <row r="266" spans="1:1">
      <c r="A266" s="8"/>
    </row>
    <row r="267" spans="1:1">
      <c r="A267" s="8"/>
    </row>
    <row r="268" spans="1:1">
      <c r="A268" s="8"/>
    </row>
    <row r="269" spans="1:1">
      <c r="A269" s="8"/>
    </row>
    <row r="270" spans="1:1">
      <c r="A270" s="8"/>
    </row>
    <row r="271" spans="1:1">
      <c r="A271" s="8"/>
    </row>
    <row r="272" spans="1:1">
      <c r="A272" s="8"/>
    </row>
    <row r="273" spans="1:1">
      <c r="A273" s="8"/>
    </row>
    <row r="274" spans="1:1">
      <c r="A274" s="8"/>
    </row>
    <row r="275" spans="1:1">
      <c r="A275" s="8"/>
    </row>
    <row r="276" spans="1:1">
      <c r="A276" s="8"/>
    </row>
    <row r="277" spans="1:1">
      <c r="A277" s="8"/>
    </row>
    <row r="278" spans="1:1">
      <c r="A278" s="8"/>
    </row>
    <row r="279" spans="1:1">
      <c r="A279" s="8"/>
    </row>
    <row r="280" spans="1:1">
      <c r="A280" s="8"/>
    </row>
    <row r="281" spans="1:1">
      <c r="A281" s="8"/>
    </row>
    <row r="282" spans="1:1">
      <c r="A282" s="8"/>
    </row>
    <row r="283" spans="1:1">
      <c r="A283" s="8"/>
    </row>
    <row r="284" spans="1:1">
      <c r="A284" s="8"/>
    </row>
    <row r="285" spans="1:1">
      <c r="A285" s="8"/>
    </row>
    <row r="286" spans="1:1">
      <c r="A286" s="8"/>
    </row>
    <row r="287" spans="1:1">
      <c r="A287" s="8"/>
    </row>
    <row r="288" spans="1:1">
      <c r="A288" s="8"/>
    </row>
    <row r="289" spans="1:1">
      <c r="A289" s="8"/>
    </row>
    <row r="290" spans="1:1">
      <c r="A290" s="8"/>
    </row>
    <row r="291" spans="1:1">
      <c r="A291" s="8"/>
    </row>
    <row r="292" spans="1:1">
      <c r="A292" s="8"/>
    </row>
    <row r="293" spans="1:1">
      <c r="A293" s="8"/>
    </row>
    <row r="294" spans="1:1">
      <c r="A294" s="8"/>
    </row>
    <row r="295" spans="1:1">
      <c r="A295" s="8"/>
    </row>
    <row r="296" spans="1:1">
      <c r="A296" s="8"/>
    </row>
    <row r="297" spans="1:1">
      <c r="A297" s="8"/>
    </row>
    <row r="298" spans="1:1">
      <c r="A298" s="8"/>
    </row>
    <row r="299" spans="1:1">
      <c r="A299" s="8"/>
    </row>
    <row r="300" spans="1:1">
      <c r="A300" s="8"/>
    </row>
    <row r="301" spans="1:1">
      <c r="A301" s="8"/>
    </row>
    <row r="302" spans="1:1">
      <c r="A302" s="8"/>
    </row>
    <row r="303" spans="1:1">
      <c r="A303" s="8"/>
    </row>
    <row r="304" spans="1:1">
      <c r="A304" s="8"/>
    </row>
    <row r="305" spans="1:1">
      <c r="A305" s="8"/>
    </row>
    <row r="306" spans="1:1">
      <c r="A306" s="8"/>
    </row>
    <row r="307" spans="1:1">
      <c r="A307" s="8"/>
    </row>
    <row r="308" spans="1:1">
      <c r="A308" s="8"/>
    </row>
    <row r="309" spans="1:1">
      <c r="A309" s="8"/>
    </row>
    <row r="310" spans="1:1">
      <c r="A310" s="8"/>
    </row>
    <row r="311" spans="1:1">
      <c r="A311" s="8"/>
    </row>
    <row r="312" spans="1:1">
      <c r="A312" s="8"/>
    </row>
  </sheetData>
  <mergeCells count="3">
    <mergeCell ref="B5:I5"/>
    <mergeCell ref="B8:I8"/>
    <mergeCell ref="B18:I18"/>
  </mergeCells>
  <phoneticPr fontId="0" type="noConversion"/>
  <pageMargins left="0.75" right="0.75" top="1" bottom="1" header="0.5" footer="0.5"/>
  <pageSetup orientation="portrait" horizontalDpi="0" verticalDpi="0" copies="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01" r:id="rId3" name="Button 1">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02402" r:id="rId4" name="Button 2">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02403" r:id="rId5" name="Button 3">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02404" r:id="rId6" name="Button 4">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102405" r:id="rId7" name="Button 5">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102406" r:id="rId8" name="Button 6">
              <controlPr defaultSize="0" print="0" autoFill="0" autoPict="0" macro="[0]!Next_Button_Click">
                <anchor moveWithCells="1" sizeWithCells="1">
                  <from>
                    <xdr:col>4</xdr:col>
                    <xdr:colOff>139700</xdr:colOff>
                    <xdr:row>1</xdr:row>
                    <xdr:rowOff>25400</xdr:rowOff>
                  </from>
                  <to>
                    <xdr:col>5</xdr:col>
                    <xdr:colOff>203200</xdr:colOff>
                    <xdr:row>1</xdr:row>
                    <xdr:rowOff>254000</xdr:rowOff>
                  </to>
                </anchor>
              </controlPr>
            </control>
          </mc:Choice>
          <mc:Fallback/>
        </mc:AlternateContent>
        <mc:AlternateContent xmlns:mc="http://schemas.openxmlformats.org/markup-compatibility/2006">
          <mc:Choice Requires="x14">
            <control shapeId="102407" r:id="rId9" name="Button 7">
              <controlPr defaultSize="0" print="0" autoFill="0" autoPict="0" macro="[0]!Previous_Button_Click">
                <anchor moveWithCells="1" sizeWithCells="1">
                  <from>
                    <xdr:col>3</xdr:col>
                    <xdr:colOff>190500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102408" r:id="rId10" name="Button 8">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enableFormatConditionsCalculation="0"/>
  <dimension ref="A1:N202"/>
  <sheetViews>
    <sheetView workbookViewId="0"/>
  </sheetViews>
  <sheetFormatPr baseColWidth="10" defaultColWidth="8.83203125" defaultRowHeight="12" x14ac:dyDescent="0"/>
  <cols>
    <col min="1" max="1" width="13" customWidth="1"/>
    <col min="4" max="4" width="10.5" customWidth="1"/>
    <col min="5" max="5" width="11.33203125" customWidth="1"/>
    <col min="6" max="6" width="11.1640625" customWidth="1"/>
    <col min="8" max="8" width="10.83203125" customWidth="1"/>
    <col min="9" max="9" width="11.6640625" customWidth="1"/>
  </cols>
  <sheetData>
    <row r="1" spans="1:14">
      <c r="A1" s="21"/>
      <c r="B1" s="21"/>
      <c r="C1" s="21" t="s">
        <v>846</v>
      </c>
      <c r="D1" s="21"/>
      <c r="E1" s="21"/>
      <c r="F1" s="21"/>
      <c r="G1" s="21"/>
      <c r="H1" s="21"/>
      <c r="I1" s="21"/>
      <c r="J1" s="21"/>
      <c r="K1" s="21"/>
      <c r="L1" s="21"/>
    </row>
    <row r="2" spans="1:14" ht="21" customHeight="1">
      <c r="A2" s="21"/>
      <c r="B2" s="21"/>
      <c r="C2" s="21"/>
      <c r="D2" s="374"/>
      <c r="E2" s="374"/>
      <c r="F2" s="374"/>
      <c r="G2" s="374"/>
      <c r="H2" s="374"/>
      <c r="I2" s="374"/>
      <c r="J2" s="374"/>
      <c r="K2" s="374"/>
      <c r="L2" s="374"/>
      <c r="M2" s="372"/>
      <c r="N2" s="372"/>
    </row>
    <row r="3" spans="1:14">
      <c r="A3" s="19" t="s">
        <v>1045</v>
      </c>
      <c r="B3" s="20" t="s">
        <v>781</v>
      </c>
      <c r="C3" s="21"/>
      <c r="D3" s="21"/>
      <c r="E3" s="21"/>
      <c r="F3" s="21"/>
      <c r="G3" s="21"/>
      <c r="H3" s="21"/>
      <c r="I3" s="21"/>
      <c r="J3" s="21"/>
      <c r="K3" s="21"/>
      <c r="L3" s="21"/>
    </row>
    <row r="4" spans="1:14">
      <c r="A4" s="19" t="s">
        <v>774</v>
      </c>
      <c r="B4" s="20" t="s">
        <v>1044</v>
      </c>
      <c r="C4" s="21"/>
      <c r="D4" s="21"/>
      <c r="E4" s="21"/>
      <c r="F4" s="21"/>
      <c r="G4" s="21"/>
      <c r="H4" s="21"/>
      <c r="I4" s="21"/>
      <c r="J4" s="21"/>
      <c r="K4" s="21"/>
      <c r="L4" s="21"/>
    </row>
    <row r="5" spans="1:14" ht="13.5" customHeight="1">
      <c r="A5" s="118" t="s">
        <v>779</v>
      </c>
      <c r="B5" s="127" t="s">
        <v>760</v>
      </c>
      <c r="C5" s="21"/>
      <c r="D5" s="21"/>
      <c r="E5" s="21"/>
      <c r="F5" s="21"/>
      <c r="G5" s="21"/>
      <c r="H5" s="21"/>
      <c r="I5" s="21"/>
      <c r="J5" s="21"/>
      <c r="K5" s="21"/>
      <c r="L5" s="21"/>
      <c r="M5" s="241"/>
    </row>
    <row r="6" spans="1:14" ht="45.75" customHeight="1">
      <c r="A6" s="21"/>
      <c r="B6" s="21"/>
      <c r="C6" s="21"/>
      <c r="D6" s="21"/>
      <c r="E6" s="21"/>
      <c r="F6" s="21"/>
      <c r="G6" s="21"/>
      <c r="H6" s="21"/>
      <c r="I6" s="21"/>
      <c r="J6" s="21"/>
      <c r="K6" s="21"/>
      <c r="L6" s="21"/>
      <c r="M6" s="241"/>
    </row>
    <row r="7" spans="1:14">
      <c r="A7" s="19" t="s">
        <v>635</v>
      </c>
      <c r="B7" s="187" t="s">
        <v>750</v>
      </c>
      <c r="C7" s="21"/>
      <c r="D7" s="21"/>
      <c r="E7" s="21"/>
      <c r="F7" s="21"/>
      <c r="G7" s="21"/>
      <c r="H7" s="21"/>
      <c r="I7" s="21"/>
      <c r="J7" s="21"/>
      <c r="K7" s="21"/>
      <c r="L7" s="21"/>
    </row>
    <row r="8" spans="1:14" ht="36">
      <c r="A8" s="22" t="s">
        <v>1090</v>
      </c>
      <c r="B8" s="22" t="s">
        <v>1096</v>
      </c>
      <c r="C8" s="22" t="s">
        <v>1097</v>
      </c>
      <c r="D8" s="22" t="s">
        <v>1098</v>
      </c>
      <c r="E8" s="31" t="s">
        <v>1088</v>
      </c>
      <c r="F8" s="31" t="s">
        <v>1089</v>
      </c>
      <c r="G8" s="31" t="s">
        <v>180</v>
      </c>
      <c r="H8" s="31" t="s">
        <v>959</v>
      </c>
      <c r="I8" s="31" t="s">
        <v>181</v>
      </c>
      <c r="J8" s="22"/>
      <c r="K8" s="22"/>
      <c r="L8" s="22"/>
    </row>
    <row r="9" spans="1:14">
      <c r="A9" s="26">
        <v>35151</v>
      </c>
      <c r="B9" s="43">
        <v>631.34</v>
      </c>
      <c r="C9" s="43">
        <v>624.80999999999995</v>
      </c>
      <c r="D9" s="43">
        <v>626.01</v>
      </c>
      <c r="E9" s="43"/>
      <c r="F9" s="43"/>
      <c r="G9" s="43"/>
      <c r="H9" s="43"/>
      <c r="I9" s="43"/>
      <c r="J9" s="28"/>
      <c r="K9" s="28"/>
      <c r="L9" s="54"/>
    </row>
    <row r="10" spans="1:14">
      <c r="A10" s="26">
        <v>35152</v>
      </c>
      <c r="B10" s="43">
        <v>627.11</v>
      </c>
      <c r="C10" s="43">
        <v>623.59</v>
      </c>
      <c r="D10" s="43">
        <v>626.44000000000005</v>
      </c>
      <c r="E10" s="43"/>
      <c r="F10" s="43"/>
      <c r="G10" s="43"/>
      <c r="H10" s="43"/>
      <c r="I10" s="43"/>
      <c r="J10" s="28"/>
      <c r="K10" s="28"/>
      <c r="L10" s="54"/>
    </row>
    <row r="11" spans="1:14">
      <c r="A11" s="27">
        <v>35153</v>
      </c>
      <c r="B11" s="47">
        <v>628.49</v>
      </c>
      <c r="C11" s="47">
        <v>621.33000000000004</v>
      </c>
      <c r="D11" s="47">
        <v>622.20000000000005</v>
      </c>
      <c r="E11" s="47"/>
      <c r="F11" s="47"/>
      <c r="G11" s="47"/>
      <c r="H11" s="47"/>
      <c r="I11" s="47"/>
      <c r="J11" s="29"/>
      <c r="K11" s="29"/>
      <c r="L11" s="57"/>
    </row>
    <row r="12" spans="1:14">
      <c r="A12" s="27">
        <v>35156</v>
      </c>
      <c r="B12" s="47">
        <v>630.89</v>
      </c>
      <c r="C12" s="47">
        <v>622.20000000000005</v>
      </c>
      <c r="D12" s="47">
        <v>630.79999999999995</v>
      </c>
      <c r="E12" s="47"/>
      <c r="F12" s="47"/>
      <c r="G12" s="47"/>
      <c r="H12" s="47"/>
      <c r="I12" s="47"/>
      <c r="J12" s="29"/>
      <c r="K12" s="29"/>
      <c r="L12" s="57"/>
    </row>
    <row r="13" spans="1:14">
      <c r="A13" s="26">
        <v>35157</v>
      </c>
      <c r="B13" s="43">
        <v>632.85</v>
      </c>
      <c r="C13" s="43">
        <v>630.21</v>
      </c>
      <c r="D13" s="43">
        <v>632.85</v>
      </c>
      <c r="E13" s="43">
        <f>MAX(B9:B13)</f>
        <v>632.85</v>
      </c>
      <c r="F13" s="43">
        <f>MIN(C9:C13)</f>
        <v>621.33000000000004</v>
      </c>
      <c r="G13" s="43">
        <f>E13-D13</f>
        <v>0</v>
      </c>
      <c r="H13" s="43">
        <f>E13-F13</f>
        <v>11.519999999999982</v>
      </c>
      <c r="I13" s="43">
        <f>(G13/H13)*-100</f>
        <v>0</v>
      </c>
      <c r="J13" s="28"/>
      <c r="K13" s="28"/>
      <c r="L13" s="54"/>
    </row>
    <row r="14" spans="1:14">
      <c r="A14" s="26">
        <v>35158</v>
      </c>
      <c r="B14" s="43">
        <v>633.26</v>
      </c>
      <c r="C14" s="43">
        <v>629.64</v>
      </c>
      <c r="D14" s="43">
        <v>633.05999999999995</v>
      </c>
      <c r="E14" s="43">
        <f t="shared" ref="E14:E58" si="0">MAX(B10:B14)</f>
        <v>633.26</v>
      </c>
      <c r="F14" s="43">
        <f t="shared" ref="F14:F58" si="1">MIN(C10:C14)</f>
        <v>621.33000000000004</v>
      </c>
      <c r="G14" s="43">
        <f t="shared" ref="G14:G58" si="2">E14-D14</f>
        <v>0.20000000000004547</v>
      </c>
      <c r="H14" s="43">
        <f t="shared" ref="H14:H58" si="3">E14-F14</f>
        <v>11.92999999999995</v>
      </c>
      <c r="I14" s="43">
        <f t="shared" ref="I14:I58" si="4">(G14/H14)*-100</f>
        <v>-1.6764459346189968</v>
      </c>
      <c r="J14" s="28"/>
      <c r="K14" s="28"/>
      <c r="L14" s="54"/>
    </row>
    <row r="15" spans="1:14">
      <c r="A15" s="27">
        <v>35159</v>
      </c>
      <c r="B15" s="47">
        <v>634.65</v>
      </c>
      <c r="C15" s="47">
        <v>632.34</v>
      </c>
      <c r="D15" s="47">
        <v>633.55999999999995</v>
      </c>
      <c r="E15" s="47">
        <f t="shared" si="0"/>
        <v>634.65</v>
      </c>
      <c r="F15" s="47">
        <f t="shared" si="1"/>
        <v>621.33000000000004</v>
      </c>
      <c r="G15" s="47">
        <f t="shared" si="2"/>
        <v>1.0900000000000318</v>
      </c>
      <c r="H15" s="47">
        <f t="shared" si="3"/>
        <v>13.319999999999936</v>
      </c>
      <c r="I15" s="47">
        <f t="shared" si="4"/>
        <v>-8.1831831831834609</v>
      </c>
      <c r="J15" s="29"/>
      <c r="K15" s="29"/>
      <c r="L15" s="57"/>
    </row>
    <row r="16" spans="1:14">
      <c r="A16" s="27">
        <v>35163</v>
      </c>
      <c r="B16" s="47">
        <v>633.55999999999995</v>
      </c>
      <c r="C16" s="47">
        <v>616.30999999999995</v>
      </c>
      <c r="D16" s="47">
        <v>622.11</v>
      </c>
      <c r="E16" s="47">
        <f t="shared" si="0"/>
        <v>634.65</v>
      </c>
      <c r="F16" s="47">
        <f t="shared" si="1"/>
        <v>616.30999999999995</v>
      </c>
      <c r="G16" s="47">
        <f t="shared" si="2"/>
        <v>12.539999999999964</v>
      </c>
      <c r="H16" s="47">
        <f t="shared" si="3"/>
        <v>18.340000000000032</v>
      </c>
      <c r="I16" s="47">
        <f t="shared" si="4"/>
        <v>-68.375136314067291</v>
      </c>
      <c r="J16" s="29"/>
      <c r="K16" s="29"/>
      <c r="L16" s="57"/>
    </row>
    <row r="17" spans="1:12">
      <c r="A17" s="26">
        <v>35164</v>
      </c>
      <c r="B17" s="43">
        <v>624.84</v>
      </c>
      <c r="C17" s="43">
        <v>618.98</v>
      </c>
      <c r="D17" s="43">
        <v>620.34</v>
      </c>
      <c r="E17" s="43">
        <f t="shared" si="0"/>
        <v>634.65</v>
      </c>
      <c r="F17" s="43">
        <f t="shared" si="1"/>
        <v>616.30999999999995</v>
      </c>
      <c r="G17" s="43">
        <f t="shared" si="2"/>
        <v>14.309999999999945</v>
      </c>
      <c r="H17" s="43">
        <f t="shared" si="3"/>
        <v>18.340000000000032</v>
      </c>
      <c r="I17" s="43">
        <f t="shared" si="4"/>
        <v>-78.026172300981031</v>
      </c>
      <c r="J17" s="28"/>
      <c r="K17" s="28"/>
      <c r="L17" s="54"/>
    </row>
    <row r="18" spans="1:12">
      <c r="A18" s="26">
        <v>35165</v>
      </c>
      <c r="B18" s="43">
        <v>621.62</v>
      </c>
      <c r="C18" s="43">
        <v>609.84</v>
      </c>
      <c r="D18" s="43">
        <v>611.6</v>
      </c>
      <c r="E18" s="43">
        <f t="shared" si="0"/>
        <v>634.65</v>
      </c>
      <c r="F18" s="43">
        <f t="shared" si="1"/>
        <v>609.84</v>
      </c>
      <c r="G18" s="43">
        <f t="shared" si="2"/>
        <v>23.049999999999955</v>
      </c>
      <c r="H18" s="43">
        <f t="shared" si="3"/>
        <v>24.809999999999945</v>
      </c>
      <c r="I18" s="43">
        <f t="shared" si="4"/>
        <v>-92.906086255542135</v>
      </c>
      <c r="J18" s="28"/>
      <c r="K18" s="28"/>
      <c r="L18" s="54"/>
    </row>
    <row r="19" spans="1:12">
      <c r="A19" s="27">
        <v>35166</v>
      </c>
      <c r="B19" s="47">
        <v>614.01</v>
      </c>
      <c r="C19" s="47">
        <v>602.55999999999995</v>
      </c>
      <c r="D19" s="47">
        <v>609.89</v>
      </c>
      <c r="E19" s="47">
        <f t="shared" si="0"/>
        <v>634.65</v>
      </c>
      <c r="F19" s="47">
        <f t="shared" si="1"/>
        <v>602.55999999999995</v>
      </c>
      <c r="G19" s="47">
        <f t="shared" si="2"/>
        <v>24.759999999999991</v>
      </c>
      <c r="H19" s="47">
        <f t="shared" si="3"/>
        <v>32.090000000000032</v>
      </c>
      <c r="I19" s="47">
        <f t="shared" si="4"/>
        <v>-77.157993144281605</v>
      </c>
      <c r="J19" s="29"/>
      <c r="K19" s="29"/>
      <c r="L19" s="57"/>
    </row>
    <row r="20" spans="1:12">
      <c r="A20" s="27">
        <v>35167</v>
      </c>
      <c r="B20" s="47">
        <v>615.36</v>
      </c>
      <c r="C20" s="47">
        <v>609.71</v>
      </c>
      <c r="D20" s="47">
        <v>615.36</v>
      </c>
      <c r="E20" s="47">
        <f t="shared" si="0"/>
        <v>633.55999999999995</v>
      </c>
      <c r="F20" s="47">
        <f t="shared" si="1"/>
        <v>602.55999999999995</v>
      </c>
      <c r="G20" s="47">
        <f t="shared" si="2"/>
        <v>18.199999999999932</v>
      </c>
      <c r="H20" s="47">
        <f t="shared" si="3"/>
        <v>31</v>
      </c>
      <c r="I20" s="47">
        <f t="shared" si="4"/>
        <v>-58.70967741935462</v>
      </c>
      <c r="J20" s="29"/>
      <c r="K20" s="29"/>
      <c r="L20" s="57"/>
    </row>
    <row r="21" spans="1:12">
      <c r="A21" s="26">
        <v>35170</v>
      </c>
      <c r="B21" s="43">
        <v>620.51</v>
      </c>
      <c r="C21" s="43">
        <v>615.36</v>
      </c>
      <c r="D21" s="43">
        <v>620.44000000000005</v>
      </c>
      <c r="E21" s="43">
        <f t="shared" si="0"/>
        <v>624.84</v>
      </c>
      <c r="F21" s="43">
        <f t="shared" si="1"/>
        <v>602.55999999999995</v>
      </c>
      <c r="G21" s="43">
        <f t="shared" si="2"/>
        <v>4.3999999999999773</v>
      </c>
      <c r="H21" s="43">
        <f t="shared" si="3"/>
        <v>22.280000000000086</v>
      </c>
      <c r="I21" s="43">
        <f t="shared" si="4"/>
        <v>-19.748653500897486</v>
      </c>
      <c r="J21" s="28"/>
      <c r="K21" s="28"/>
      <c r="L21" s="54"/>
    </row>
    <row r="22" spans="1:12">
      <c r="A22" s="26">
        <v>35171</v>
      </c>
      <c r="B22" s="43">
        <v>624.33000000000004</v>
      </c>
      <c r="C22" s="43">
        <v>620.21</v>
      </c>
      <c r="D22" s="43">
        <v>623.66</v>
      </c>
      <c r="E22" s="43">
        <f t="shared" si="0"/>
        <v>624.33000000000004</v>
      </c>
      <c r="F22" s="43">
        <f t="shared" si="1"/>
        <v>602.55999999999995</v>
      </c>
      <c r="G22" s="43">
        <f t="shared" si="2"/>
        <v>0.67000000000007276</v>
      </c>
      <c r="H22" s="43">
        <f t="shared" si="3"/>
        <v>21.770000000000095</v>
      </c>
      <c r="I22" s="43">
        <f t="shared" si="4"/>
        <v>-3.0776297657329801</v>
      </c>
      <c r="J22" s="28"/>
      <c r="K22" s="28"/>
      <c r="L22" s="54"/>
    </row>
    <row r="23" spans="1:12">
      <c r="A23" s="27">
        <v>35172</v>
      </c>
      <c r="B23" s="47">
        <v>624.27</v>
      </c>
      <c r="C23" s="47">
        <v>617.42999999999995</v>
      </c>
      <c r="D23" s="47">
        <v>620.14</v>
      </c>
      <c r="E23" s="47">
        <f t="shared" si="0"/>
        <v>624.33000000000004</v>
      </c>
      <c r="F23" s="47">
        <f t="shared" si="1"/>
        <v>602.55999999999995</v>
      </c>
      <c r="G23" s="47">
        <f t="shared" si="2"/>
        <v>4.1900000000000546</v>
      </c>
      <c r="H23" s="47">
        <f t="shared" si="3"/>
        <v>21.770000000000095</v>
      </c>
      <c r="I23" s="47">
        <f t="shared" si="4"/>
        <v>-19.246669728985008</v>
      </c>
      <c r="J23" s="29"/>
      <c r="K23" s="29"/>
      <c r="L23" s="57"/>
    </row>
    <row r="24" spans="1:12">
      <c r="A24" s="27">
        <v>35173</v>
      </c>
      <c r="B24" s="47">
        <v>622.47</v>
      </c>
      <c r="C24" s="47">
        <v>618.64</v>
      </c>
      <c r="D24" s="47">
        <v>621.25</v>
      </c>
      <c r="E24" s="47">
        <f t="shared" si="0"/>
        <v>624.33000000000004</v>
      </c>
      <c r="F24" s="47">
        <f t="shared" si="1"/>
        <v>609.71</v>
      </c>
      <c r="G24" s="47">
        <f t="shared" si="2"/>
        <v>3.0800000000000409</v>
      </c>
      <c r="H24" s="47">
        <f t="shared" si="3"/>
        <v>14.620000000000005</v>
      </c>
      <c r="I24" s="47">
        <f t="shared" si="4"/>
        <v>-21.067031463748563</v>
      </c>
      <c r="J24" s="29"/>
      <c r="K24" s="29"/>
      <c r="L24" s="57"/>
    </row>
    <row r="25" spans="1:12">
      <c r="A25" s="26">
        <v>35174</v>
      </c>
      <c r="B25" s="43">
        <v>624.22</v>
      </c>
      <c r="C25" s="43">
        <v>620.51</v>
      </c>
      <c r="D25" s="43">
        <v>622.36</v>
      </c>
      <c r="E25" s="43">
        <f t="shared" si="0"/>
        <v>624.33000000000004</v>
      </c>
      <c r="F25" s="43">
        <f t="shared" si="1"/>
        <v>615.36</v>
      </c>
      <c r="G25" s="43">
        <f t="shared" si="2"/>
        <v>1.9700000000000273</v>
      </c>
      <c r="H25" s="43">
        <f t="shared" si="3"/>
        <v>8.9700000000000273</v>
      </c>
      <c r="I25" s="43">
        <f t="shared" si="4"/>
        <v>-21.962095875139589</v>
      </c>
      <c r="J25" s="28"/>
      <c r="K25" s="28"/>
      <c r="L25" s="54"/>
    </row>
    <row r="26" spans="1:12">
      <c r="A26" s="26">
        <v>35177</v>
      </c>
      <c r="B26" s="43">
        <v>628.36</v>
      </c>
      <c r="C26" s="43">
        <v>622.36</v>
      </c>
      <c r="D26" s="43">
        <v>625.32000000000005</v>
      </c>
      <c r="E26" s="43">
        <f t="shared" si="0"/>
        <v>628.36</v>
      </c>
      <c r="F26" s="43">
        <f t="shared" si="1"/>
        <v>617.42999999999995</v>
      </c>
      <c r="G26" s="43">
        <f t="shared" si="2"/>
        <v>3.0399999999999636</v>
      </c>
      <c r="H26" s="43">
        <f t="shared" si="3"/>
        <v>10.930000000000064</v>
      </c>
      <c r="I26" s="43">
        <f t="shared" si="4"/>
        <v>-27.81335773101506</v>
      </c>
      <c r="J26" s="28"/>
      <c r="K26" s="28"/>
      <c r="L26" s="54"/>
    </row>
    <row r="27" spans="1:12">
      <c r="A27" s="27">
        <v>35178</v>
      </c>
      <c r="B27" s="47">
        <v>628.77</v>
      </c>
      <c r="C27" s="47">
        <v>624.97</v>
      </c>
      <c r="D27" s="47">
        <v>628.62</v>
      </c>
      <c r="E27" s="47">
        <f t="shared" si="0"/>
        <v>628.77</v>
      </c>
      <c r="F27" s="47">
        <f t="shared" si="1"/>
        <v>617.42999999999995</v>
      </c>
      <c r="G27" s="47">
        <f t="shared" si="2"/>
        <v>0.14999999999997726</v>
      </c>
      <c r="H27" s="47">
        <f t="shared" si="3"/>
        <v>11.340000000000032</v>
      </c>
      <c r="I27" s="47">
        <f t="shared" si="4"/>
        <v>-1.3227513227511185</v>
      </c>
      <c r="J27" s="29"/>
      <c r="K27" s="29"/>
      <c r="L27" s="57"/>
    </row>
    <row r="28" spans="1:12">
      <c r="A28" s="27">
        <v>35179</v>
      </c>
      <c r="B28" s="47">
        <v>630.52</v>
      </c>
      <c r="C28" s="47">
        <v>625.11</v>
      </c>
      <c r="D28" s="47">
        <v>627.75</v>
      </c>
      <c r="E28" s="47">
        <f t="shared" si="0"/>
        <v>630.52</v>
      </c>
      <c r="F28" s="47">
        <f t="shared" si="1"/>
        <v>618.64</v>
      </c>
      <c r="G28" s="47">
        <f t="shared" si="2"/>
        <v>2.7699999999999818</v>
      </c>
      <c r="H28" s="47">
        <f t="shared" si="3"/>
        <v>11.879999999999995</v>
      </c>
      <c r="I28" s="47">
        <f t="shared" si="4"/>
        <v>-23.316498316498173</v>
      </c>
      <c r="J28" s="29"/>
      <c r="K28" s="29"/>
      <c r="L28" s="57"/>
    </row>
    <row r="29" spans="1:12">
      <c r="A29" s="26">
        <v>35180</v>
      </c>
      <c r="B29" s="43">
        <v>630.66</v>
      </c>
      <c r="C29" s="43">
        <v>623.20000000000005</v>
      </c>
      <c r="D29" s="43">
        <v>629.21</v>
      </c>
      <c r="E29" s="43">
        <f t="shared" si="0"/>
        <v>630.66</v>
      </c>
      <c r="F29" s="43">
        <f t="shared" si="1"/>
        <v>620.51</v>
      </c>
      <c r="G29" s="43">
        <f t="shared" si="2"/>
        <v>1.4499999999999318</v>
      </c>
      <c r="H29" s="43">
        <f t="shared" si="3"/>
        <v>10.149999999999977</v>
      </c>
      <c r="I29" s="43">
        <f t="shared" si="4"/>
        <v>-14.285714285713647</v>
      </c>
      <c r="J29" s="28"/>
      <c r="K29" s="28"/>
      <c r="L29" s="54"/>
    </row>
    <row r="30" spans="1:12">
      <c r="A30" s="26">
        <v>35181</v>
      </c>
      <c r="B30" s="43">
        <v>633.07000000000005</v>
      </c>
      <c r="C30" s="43">
        <v>628.41</v>
      </c>
      <c r="D30" s="43">
        <v>629.58000000000004</v>
      </c>
      <c r="E30" s="43">
        <f t="shared" si="0"/>
        <v>633.07000000000005</v>
      </c>
      <c r="F30" s="43">
        <f t="shared" si="1"/>
        <v>622.36</v>
      </c>
      <c r="G30" s="43">
        <f t="shared" si="2"/>
        <v>3.4900000000000091</v>
      </c>
      <c r="H30" s="43">
        <f t="shared" si="3"/>
        <v>10.710000000000036</v>
      </c>
      <c r="I30" s="43">
        <f t="shared" si="4"/>
        <v>-32.586367880485497</v>
      </c>
      <c r="J30" s="28"/>
      <c r="K30" s="28"/>
      <c r="L30" s="54"/>
    </row>
    <row r="31" spans="1:12">
      <c r="A31" s="27">
        <v>35184</v>
      </c>
      <c r="B31" s="47">
        <v>631.58000000000004</v>
      </c>
      <c r="C31" s="47">
        <v>627.47</v>
      </c>
      <c r="D31" s="47">
        <v>630.41999999999996</v>
      </c>
      <c r="E31" s="47">
        <f t="shared" si="0"/>
        <v>633.07000000000005</v>
      </c>
      <c r="F31" s="47">
        <f t="shared" si="1"/>
        <v>623.20000000000005</v>
      </c>
      <c r="G31" s="47">
        <f t="shared" si="2"/>
        <v>2.6500000000000909</v>
      </c>
      <c r="H31" s="47">
        <f t="shared" si="3"/>
        <v>9.8700000000000045</v>
      </c>
      <c r="I31" s="47">
        <f t="shared" si="4"/>
        <v>-26.849037487336268</v>
      </c>
      <c r="J31" s="29"/>
      <c r="K31" s="29"/>
      <c r="L31" s="57"/>
    </row>
    <row r="32" spans="1:12">
      <c r="A32" s="27">
        <v>35185</v>
      </c>
      <c r="B32" s="47">
        <v>631.01</v>
      </c>
      <c r="C32" s="47">
        <v>627.23</v>
      </c>
      <c r="D32" s="47">
        <v>630.47</v>
      </c>
      <c r="E32" s="47">
        <f t="shared" si="0"/>
        <v>633.07000000000005</v>
      </c>
      <c r="F32" s="47">
        <f t="shared" si="1"/>
        <v>623.20000000000005</v>
      </c>
      <c r="G32" s="47">
        <f t="shared" si="2"/>
        <v>2.6000000000000227</v>
      </c>
      <c r="H32" s="47">
        <f t="shared" si="3"/>
        <v>9.8700000000000045</v>
      </c>
      <c r="I32" s="47">
        <f t="shared" si="4"/>
        <v>-26.342451874366983</v>
      </c>
      <c r="J32" s="29"/>
      <c r="K32" s="29"/>
      <c r="L32" s="57"/>
    </row>
    <row r="33" spans="1:12">
      <c r="A33" s="26">
        <v>35186</v>
      </c>
      <c r="B33" s="43">
        <v>632.79999999999995</v>
      </c>
      <c r="C33" s="43">
        <v>628.25</v>
      </c>
      <c r="D33" s="43">
        <v>630.20000000000005</v>
      </c>
      <c r="E33" s="43">
        <f t="shared" si="0"/>
        <v>633.07000000000005</v>
      </c>
      <c r="F33" s="43">
        <f t="shared" si="1"/>
        <v>623.20000000000005</v>
      </c>
      <c r="G33" s="43">
        <f t="shared" si="2"/>
        <v>2.8700000000000045</v>
      </c>
      <c r="H33" s="43">
        <f t="shared" si="3"/>
        <v>9.8700000000000045</v>
      </c>
      <c r="I33" s="43">
        <f t="shared" si="4"/>
        <v>-29.078014184397194</v>
      </c>
      <c r="J33" s="28"/>
      <c r="K33" s="28"/>
      <c r="L33" s="54"/>
    </row>
    <row r="34" spans="1:12">
      <c r="A34" s="26">
        <v>35187</v>
      </c>
      <c r="B34" s="43">
        <v>630.20000000000005</v>
      </c>
      <c r="C34" s="43">
        <v>618.55999999999995</v>
      </c>
      <c r="D34" s="43">
        <v>620.04999999999995</v>
      </c>
      <c r="E34" s="43">
        <f t="shared" si="0"/>
        <v>633.07000000000005</v>
      </c>
      <c r="F34" s="43">
        <f t="shared" si="1"/>
        <v>618.55999999999995</v>
      </c>
      <c r="G34" s="43">
        <f t="shared" si="2"/>
        <v>13.020000000000095</v>
      </c>
      <c r="H34" s="43">
        <f t="shared" si="3"/>
        <v>14.510000000000105</v>
      </c>
      <c r="I34" s="43">
        <f t="shared" si="4"/>
        <v>-89.731219848380434</v>
      </c>
      <c r="J34" s="28"/>
      <c r="K34" s="28"/>
      <c r="L34" s="54"/>
    </row>
    <row r="35" spans="1:12">
      <c r="A35" s="27">
        <v>35188</v>
      </c>
      <c r="B35" s="47">
        <v>625.05999999999995</v>
      </c>
      <c r="C35" s="47">
        <v>616.67999999999995</v>
      </c>
      <c r="D35" s="47">
        <v>618.05999999999995</v>
      </c>
      <c r="E35" s="47">
        <f t="shared" si="0"/>
        <v>632.79999999999995</v>
      </c>
      <c r="F35" s="47">
        <f t="shared" si="1"/>
        <v>616.67999999999995</v>
      </c>
      <c r="G35" s="47">
        <f t="shared" si="2"/>
        <v>14.740000000000009</v>
      </c>
      <c r="H35" s="47">
        <f t="shared" si="3"/>
        <v>16.120000000000005</v>
      </c>
      <c r="I35" s="47">
        <f t="shared" si="4"/>
        <v>-91.439205955335026</v>
      </c>
      <c r="J35" s="29"/>
      <c r="K35" s="29"/>
      <c r="L35" s="57"/>
    </row>
    <row r="36" spans="1:12">
      <c r="A36" s="27">
        <v>35191</v>
      </c>
      <c r="B36" s="47">
        <v>621.53</v>
      </c>
      <c r="C36" s="47">
        <v>612.91</v>
      </c>
      <c r="D36" s="47">
        <v>617.61</v>
      </c>
      <c r="E36" s="47">
        <f t="shared" si="0"/>
        <v>632.79999999999995</v>
      </c>
      <c r="F36" s="47">
        <f t="shared" si="1"/>
        <v>612.91</v>
      </c>
      <c r="G36" s="47">
        <f t="shared" si="2"/>
        <v>15.189999999999941</v>
      </c>
      <c r="H36" s="47">
        <f t="shared" si="3"/>
        <v>19.889999999999986</v>
      </c>
      <c r="I36" s="47">
        <f t="shared" si="4"/>
        <v>-76.370035193564362</v>
      </c>
      <c r="J36" s="29"/>
      <c r="K36" s="29"/>
      <c r="L36" s="57"/>
    </row>
    <row r="37" spans="1:12">
      <c r="A37" s="26">
        <v>35192</v>
      </c>
      <c r="B37" s="43">
        <v>618.34</v>
      </c>
      <c r="C37" s="43">
        <v>613.54999999999995</v>
      </c>
      <c r="D37" s="43">
        <v>615.25</v>
      </c>
      <c r="E37" s="43">
        <f t="shared" si="0"/>
        <v>632.79999999999995</v>
      </c>
      <c r="F37" s="43">
        <f t="shared" si="1"/>
        <v>612.91</v>
      </c>
      <c r="G37" s="43">
        <f t="shared" si="2"/>
        <v>17.549999999999955</v>
      </c>
      <c r="H37" s="43">
        <f t="shared" si="3"/>
        <v>19.889999999999986</v>
      </c>
      <c r="I37" s="43">
        <f t="shared" si="4"/>
        <v>-88.235294117646887</v>
      </c>
      <c r="J37" s="28"/>
      <c r="K37" s="28"/>
      <c r="L37" s="54"/>
    </row>
    <row r="38" spans="1:12">
      <c r="A38" s="26">
        <v>35193</v>
      </c>
      <c r="B38" s="43">
        <v>622.26</v>
      </c>
      <c r="C38" s="43">
        <v>607.04</v>
      </c>
      <c r="D38" s="43">
        <v>622.22</v>
      </c>
      <c r="E38" s="43">
        <f t="shared" si="0"/>
        <v>630.20000000000005</v>
      </c>
      <c r="F38" s="43">
        <f t="shared" si="1"/>
        <v>607.04</v>
      </c>
      <c r="G38" s="43">
        <f t="shared" si="2"/>
        <v>7.9800000000000182</v>
      </c>
      <c r="H38" s="43">
        <f t="shared" si="3"/>
        <v>23.160000000000082</v>
      </c>
      <c r="I38" s="43">
        <f t="shared" si="4"/>
        <v>-34.455958549222757</v>
      </c>
      <c r="J38" s="28"/>
      <c r="K38" s="28"/>
      <c r="L38" s="54"/>
    </row>
    <row r="39" spans="1:12">
      <c r="A39" s="27">
        <v>35194</v>
      </c>
      <c r="B39" s="47">
        <v>624.91</v>
      </c>
      <c r="C39" s="47">
        <v>619.96</v>
      </c>
      <c r="D39" s="47">
        <v>622.14</v>
      </c>
      <c r="E39" s="47">
        <f t="shared" si="0"/>
        <v>625.05999999999995</v>
      </c>
      <c r="F39" s="47">
        <f t="shared" si="1"/>
        <v>607.04</v>
      </c>
      <c r="G39" s="47">
        <f t="shared" si="2"/>
        <v>2.9199999999999591</v>
      </c>
      <c r="H39" s="47">
        <f t="shared" si="3"/>
        <v>18.019999999999982</v>
      </c>
      <c r="I39" s="47">
        <f t="shared" si="4"/>
        <v>-16.204217536070821</v>
      </c>
      <c r="J39" s="29"/>
      <c r="K39" s="29"/>
      <c r="L39" s="57"/>
    </row>
    <row r="40" spans="1:12">
      <c r="A40" s="27">
        <v>35195</v>
      </c>
      <c r="B40" s="47">
        <v>629.54</v>
      </c>
      <c r="C40" s="47">
        <v>622.14</v>
      </c>
      <c r="D40" s="47">
        <v>627.94000000000005</v>
      </c>
      <c r="E40" s="47">
        <f t="shared" si="0"/>
        <v>629.54</v>
      </c>
      <c r="F40" s="47">
        <f t="shared" si="1"/>
        <v>607.04</v>
      </c>
      <c r="G40" s="47">
        <f t="shared" si="2"/>
        <v>1.5999999999999091</v>
      </c>
      <c r="H40" s="47">
        <f t="shared" si="3"/>
        <v>22.5</v>
      </c>
      <c r="I40" s="47">
        <f t="shared" si="4"/>
        <v>-7.1111111111107075</v>
      </c>
      <c r="J40" s="29"/>
      <c r="K40" s="29"/>
      <c r="L40" s="57"/>
    </row>
    <row r="41" spans="1:12">
      <c r="A41" s="26">
        <v>35198</v>
      </c>
      <c r="B41" s="43">
        <v>637.95000000000005</v>
      </c>
      <c r="C41" s="43">
        <v>627.94000000000005</v>
      </c>
      <c r="D41" s="43">
        <v>637.24</v>
      </c>
      <c r="E41" s="43">
        <f t="shared" si="0"/>
        <v>637.95000000000005</v>
      </c>
      <c r="F41" s="43">
        <f t="shared" si="1"/>
        <v>607.04</v>
      </c>
      <c r="G41" s="43">
        <f t="shared" si="2"/>
        <v>0.71000000000003638</v>
      </c>
      <c r="H41" s="43">
        <f t="shared" si="3"/>
        <v>30.910000000000082</v>
      </c>
      <c r="I41" s="43">
        <f t="shared" si="4"/>
        <v>-2.296991264962907</v>
      </c>
      <c r="J41" s="28"/>
      <c r="K41" s="28"/>
      <c r="L41" s="54"/>
    </row>
    <row r="42" spans="1:12">
      <c r="A42" s="26">
        <v>35199</v>
      </c>
      <c r="B42" s="43">
        <v>643.82000000000005</v>
      </c>
      <c r="C42" s="43">
        <v>637.29</v>
      </c>
      <c r="D42" s="43">
        <v>642.12</v>
      </c>
      <c r="E42" s="43">
        <f t="shared" si="0"/>
        <v>643.82000000000005</v>
      </c>
      <c r="F42" s="43">
        <f t="shared" si="1"/>
        <v>607.04</v>
      </c>
      <c r="G42" s="43">
        <f t="shared" si="2"/>
        <v>1.7000000000000455</v>
      </c>
      <c r="H42" s="43">
        <f t="shared" si="3"/>
        <v>36.780000000000086</v>
      </c>
      <c r="I42" s="43">
        <f t="shared" si="4"/>
        <v>-4.6220772158783081</v>
      </c>
      <c r="J42" s="28"/>
      <c r="K42" s="28"/>
      <c r="L42" s="54"/>
    </row>
    <row r="43" spans="1:12">
      <c r="A43" s="27">
        <v>35200</v>
      </c>
      <c r="B43" s="47">
        <v>646.41</v>
      </c>
      <c r="C43" s="47">
        <v>640.42999999999995</v>
      </c>
      <c r="D43" s="47">
        <v>641.36</v>
      </c>
      <c r="E43" s="47">
        <f t="shared" si="0"/>
        <v>646.41</v>
      </c>
      <c r="F43" s="47">
        <f t="shared" si="1"/>
        <v>619.96</v>
      </c>
      <c r="G43" s="47">
        <f t="shared" si="2"/>
        <v>5.0499999999999545</v>
      </c>
      <c r="H43" s="47">
        <f t="shared" si="3"/>
        <v>26.449999999999932</v>
      </c>
      <c r="I43" s="47">
        <f t="shared" si="4"/>
        <v>-19.092627599243734</v>
      </c>
      <c r="J43" s="29"/>
      <c r="K43" s="29"/>
      <c r="L43" s="57"/>
    </row>
    <row r="44" spans="1:12">
      <c r="A44" s="27">
        <v>35201</v>
      </c>
      <c r="B44" s="47">
        <v>643.03</v>
      </c>
      <c r="C44" s="47">
        <v>639.13</v>
      </c>
      <c r="D44" s="47">
        <v>640.47</v>
      </c>
      <c r="E44" s="47">
        <f t="shared" si="0"/>
        <v>646.41</v>
      </c>
      <c r="F44" s="47">
        <f t="shared" si="1"/>
        <v>622.14</v>
      </c>
      <c r="G44" s="47">
        <f t="shared" si="2"/>
        <v>5.9399999999999409</v>
      </c>
      <c r="H44" s="47">
        <f t="shared" si="3"/>
        <v>24.269999999999982</v>
      </c>
      <c r="I44" s="47">
        <f t="shared" si="4"/>
        <v>-24.47466007416541</v>
      </c>
      <c r="J44" s="29"/>
      <c r="K44" s="29"/>
      <c r="L44" s="57"/>
    </row>
    <row r="45" spans="1:12">
      <c r="A45" s="26">
        <v>35202</v>
      </c>
      <c r="B45" s="43">
        <v>646.5</v>
      </c>
      <c r="C45" s="43">
        <v>640.47</v>
      </c>
      <c r="D45" s="43">
        <v>645.45000000000005</v>
      </c>
      <c r="E45" s="43">
        <f t="shared" si="0"/>
        <v>646.5</v>
      </c>
      <c r="F45" s="43">
        <f t="shared" si="1"/>
        <v>627.94000000000005</v>
      </c>
      <c r="G45" s="43">
        <f t="shared" si="2"/>
        <v>1.0499999999999545</v>
      </c>
      <c r="H45" s="43">
        <f t="shared" si="3"/>
        <v>18.559999999999945</v>
      </c>
      <c r="I45" s="43">
        <f t="shared" si="4"/>
        <v>-5.6573275862066685</v>
      </c>
      <c r="J45" s="28"/>
      <c r="K45" s="28"/>
      <c r="L45" s="54"/>
    </row>
    <row r="46" spans="1:12">
      <c r="A46" s="26">
        <v>35205</v>
      </c>
      <c r="B46" s="43">
        <v>652.35</v>
      </c>
      <c r="C46" s="43">
        <v>644.88</v>
      </c>
      <c r="D46" s="43">
        <v>651.80999999999995</v>
      </c>
      <c r="E46" s="43">
        <f t="shared" si="0"/>
        <v>652.35</v>
      </c>
      <c r="F46" s="43">
        <f t="shared" si="1"/>
        <v>637.29</v>
      </c>
      <c r="G46" s="43">
        <f t="shared" si="2"/>
        <v>0.54000000000007731</v>
      </c>
      <c r="H46" s="43">
        <f t="shared" si="3"/>
        <v>15.060000000000059</v>
      </c>
      <c r="I46" s="43">
        <f t="shared" si="4"/>
        <v>-3.5856573705184274</v>
      </c>
      <c r="J46" s="28"/>
      <c r="K46" s="28"/>
      <c r="L46" s="54"/>
    </row>
    <row r="47" spans="1:12">
      <c r="A47" s="27">
        <v>35206</v>
      </c>
      <c r="B47" s="47">
        <v>653.75</v>
      </c>
      <c r="C47" s="47">
        <v>649.78</v>
      </c>
      <c r="D47" s="47">
        <v>650.37</v>
      </c>
      <c r="E47" s="47">
        <f t="shared" si="0"/>
        <v>653.75</v>
      </c>
      <c r="F47" s="47">
        <f t="shared" si="1"/>
        <v>639.13</v>
      </c>
      <c r="G47" s="47">
        <f t="shared" si="2"/>
        <v>3.3799999999999955</v>
      </c>
      <c r="H47" s="47">
        <f t="shared" si="3"/>
        <v>14.620000000000005</v>
      </c>
      <c r="I47" s="47">
        <f t="shared" si="4"/>
        <v>-23.119015047879579</v>
      </c>
      <c r="J47" s="29"/>
      <c r="K47" s="29"/>
      <c r="L47" s="57"/>
    </row>
    <row r="48" spans="1:12">
      <c r="A48" s="27">
        <v>35207</v>
      </c>
      <c r="B48" s="47">
        <v>655.63</v>
      </c>
      <c r="C48" s="47">
        <v>648.72</v>
      </c>
      <c r="D48" s="47">
        <v>655.33000000000004</v>
      </c>
      <c r="E48" s="47">
        <f t="shared" si="0"/>
        <v>655.63</v>
      </c>
      <c r="F48" s="47">
        <f t="shared" si="1"/>
        <v>639.13</v>
      </c>
      <c r="G48" s="47">
        <f t="shared" si="2"/>
        <v>0.29999999999995453</v>
      </c>
      <c r="H48" s="47">
        <f t="shared" si="3"/>
        <v>16.5</v>
      </c>
      <c r="I48" s="47">
        <f t="shared" si="4"/>
        <v>-1.8181818181815426</v>
      </c>
      <c r="J48" s="29"/>
      <c r="K48" s="29"/>
      <c r="L48" s="57"/>
    </row>
    <row r="49" spans="1:12">
      <c r="A49" s="26">
        <v>35208</v>
      </c>
      <c r="B49" s="43">
        <v>658.24</v>
      </c>
      <c r="C49" s="43">
        <v>649.80999999999995</v>
      </c>
      <c r="D49" s="43">
        <v>652.62</v>
      </c>
      <c r="E49" s="43">
        <f t="shared" si="0"/>
        <v>658.24</v>
      </c>
      <c r="F49" s="43">
        <f t="shared" si="1"/>
        <v>640.47</v>
      </c>
      <c r="G49" s="43">
        <f t="shared" si="2"/>
        <v>5.6200000000000045</v>
      </c>
      <c r="H49" s="43">
        <f t="shared" si="3"/>
        <v>17.769999999999982</v>
      </c>
      <c r="I49" s="43">
        <f t="shared" si="4"/>
        <v>-31.626336522228531</v>
      </c>
      <c r="J49" s="28"/>
      <c r="K49" s="28"/>
      <c r="L49" s="54"/>
    </row>
    <row r="50" spans="1:12">
      <c r="A50" s="26">
        <v>35209</v>
      </c>
      <c r="B50" s="43">
        <v>656.27</v>
      </c>
      <c r="C50" s="43">
        <v>652.62</v>
      </c>
      <c r="D50" s="43">
        <v>654.79999999999995</v>
      </c>
      <c r="E50" s="43">
        <f t="shared" si="0"/>
        <v>658.24</v>
      </c>
      <c r="F50" s="43">
        <f t="shared" si="1"/>
        <v>644.88</v>
      </c>
      <c r="G50" s="43">
        <f t="shared" si="2"/>
        <v>3.4400000000000546</v>
      </c>
      <c r="H50" s="43">
        <f t="shared" si="3"/>
        <v>13.360000000000014</v>
      </c>
      <c r="I50" s="43">
        <f t="shared" si="4"/>
        <v>-25.748502994012355</v>
      </c>
      <c r="J50" s="28"/>
      <c r="K50" s="28"/>
      <c r="L50" s="54"/>
    </row>
    <row r="51" spans="1:12">
      <c r="A51" s="27">
        <v>35213</v>
      </c>
      <c r="B51" s="47">
        <v>656.55</v>
      </c>
      <c r="C51" s="47">
        <v>648.91999999999996</v>
      </c>
      <c r="D51" s="47">
        <v>649.92999999999995</v>
      </c>
      <c r="E51" s="47">
        <f t="shared" si="0"/>
        <v>658.24</v>
      </c>
      <c r="F51" s="47">
        <f t="shared" si="1"/>
        <v>648.72</v>
      </c>
      <c r="G51" s="47">
        <f t="shared" si="2"/>
        <v>8.3100000000000591</v>
      </c>
      <c r="H51" s="47">
        <f t="shared" si="3"/>
        <v>9.5199999999999818</v>
      </c>
      <c r="I51" s="47">
        <f t="shared" si="4"/>
        <v>-87.289915966387341</v>
      </c>
      <c r="J51" s="29"/>
      <c r="K51" s="29"/>
      <c r="L51" s="57"/>
    </row>
    <row r="52" spans="1:12">
      <c r="A52" s="27">
        <v>35214</v>
      </c>
      <c r="B52" s="47">
        <v>651.97</v>
      </c>
      <c r="C52" s="47">
        <v>643.84</v>
      </c>
      <c r="D52" s="47">
        <v>645.83000000000004</v>
      </c>
      <c r="E52" s="47">
        <f t="shared" si="0"/>
        <v>658.24</v>
      </c>
      <c r="F52" s="47">
        <f t="shared" si="1"/>
        <v>643.84</v>
      </c>
      <c r="G52" s="47">
        <f t="shared" si="2"/>
        <v>12.409999999999968</v>
      </c>
      <c r="H52" s="47">
        <f t="shared" si="3"/>
        <v>14.399999999999977</v>
      </c>
      <c r="I52" s="47">
        <f t="shared" si="4"/>
        <v>-86.180555555555472</v>
      </c>
      <c r="J52" s="29"/>
      <c r="K52" s="29"/>
      <c r="L52" s="57"/>
    </row>
    <row r="53" spans="1:12">
      <c r="A53" s="26">
        <v>35215</v>
      </c>
      <c r="B53" s="43">
        <v>651.42999999999995</v>
      </c>
      <c r="C53" s="43">
        <v>642.33000000000004</v>
      </c>
      <c r="D53" s="43">
        <v>649.09</v>
      </c>
      <c r="E53" s="43">
        <f t="shared" si="0"/>
        <v>658.24</v>
      </c>
      <c r="F53" s="43">
        <f t="shared" si="1"/>
        <v>642.33000000000004</v>
      </c>
      <c r="G53" s="43">
        <f t="shared" si="2"/>
        <v>9.1499999999999773</v>
      </c>
      <c r="H53" s="43">
        <f t="shared" si="3"/>
        <v>15.909999999999968</v>
      </c>
      <c r="I53" s="43">
        <f t="shared" si="4"/>
        <v>-57.510999371464457</v>
      </c>
      <c r="J53" s="28"/>
      <c r="K53" s="28"/>
      <c r="L53" s="54"/>
    </row>
    <row r="54" spans="1:12">
      <c r="A54" s="26">
        <v>35216</v>
      </c>
      <c r="B54" s="43">
        <v>651.05999999999995</v>
      </c>
      <c r="C54" s="43">
        <v>644.25</v>
      </c>
      <c r="D54" s="43">
        <v>646.02</v>
      </c>
      <c r="E54" s="43">
        <f t="shared" si="0"/>
        <v>656.55</v>
      </c>
      <c r="F54" s="43">
        <f t="shared" si="1"/>
        <v>642.33000000000004</v>
      </c>
      <c r="G54" s="43">
        <f t="shared" si="2"/>
        <v>10.529999999999973</v>
      </c>
      <c r="H54" s="43">
        <f t="shared" si="3"/>
        <v>14.219999999999914</v>
      </c>
      <c r="I54" s="43">
        <f t="shared" si="4"/>
        <v>-74.050632911392668</v>
      </c>
      <c r="J54" s="28"/>
      <c r="K54" s="28"/>
      <c r="L54" s="54"/>
    </row>
    <row r="55" spans="1:12">
      <c r="A55" s="27">
        <v>35219</v>
      </c>
      <c r="B55" s="47">
        <v>646.05999999999995</v>
      </c>
      <c r="C55" s="47">
        <v>642.19000000000005</v>
      </c>
      <c r="D55" s="47">
        <v>645.11</v>
      </c>
      <c r="E55" s="47">
        <f t="shared" si="0"/>
        <v>656.55</v>
      </c>
      <c r="F55" s="47">
        <f t="shared" si="1"/>
        <v>642.19000000000005</v>
      </c>
      <c r="G55" s="47">
        <f t="shared" si="2"/>
        <v>11.439999999999941</v>
      </c>
      <c r="H55" s="47">
        <f t="shared" si="3"/>
        <v>14.3599999999999</v>
      </c>
      <c r="I55" s="47">
        <f t="shared" si="4"/>
        <v>-79.665738161560029</v>
      </c>
      <c r="J55" s="29"/>
      <c r="K55" s="29"/>
      <c r="L55" s="57"/>
    </row>
    <row r="56" spans="1:12">
      <c r="A56" s="27">
        <v>35220</v>
      </c>
      <c r="B56" s="47">
        <v>649.82000000000005</v>
      </c>
      <c r="C56" s="47">
        <v>645.11</v>
      </c>
      <c r="D56" s="47">
        <v>649.05999999999995</v>
      </c>
      <c r="E56" s="47">
        <f t="shared" si="0"/>
        <v>651.97</v>
      </c>
      <c r="F56" s="47">
        <f t="shared" si="1"/>
        <v>642.19000000000005</v>
      </c>
      <c r="G56" s="47">
        <f t="shared" si="2"/>
        <v>2.9100000000000819</v>
      </c>
      <c r="H56" s="47">
        <f t="shared" si="3"/>
        <v>9.7799999999999727</v>
      </c>
      <c r="I56" s="47">
        <f t="shared" si="4"/>
        <v>-29.754601226994787</v>
      </c>
      <c r="J56" s="29"/>
      <c r="K56" s="29"/>
      <c r="L56" s="57"/>
    </row>
    <row r="57" spans="1:12">
      <c r="A57" s="26">
        <v>35221</v>
      </c>
      <c r="B57" s="43">
        <v>654.21</v>
      </c>
      <c r="C57" s="43">
        <v>648.6</v>
      </c>
      <c r="D57" s="43">
        <v>654.21</v>
      </c>
      <c r="E57" s="43">
        <f t="shared" si="0"/>
        <v>654.21</v>
      </c>
      <c r="F57" s="43">
        <f t="shared" si="1"/>
        <v>642.19000000000005</v>
      </c>
      <c r="G57" s="43">
        <f t="shared" si="2"/>
        <v>0</v>
      </c>
      <c r="H57" s="43">
        <f t="shared" si="3"/>
        <v>12.019999999999982</v>
      </c>
      <c r="I57" s="43">
        <f t="shared" si="4"/>
        <v>0</v>
      </c>
      <c r="J57" s="28"/>
      <c r="K57" s="28"/>
      <c r="L57" s="54"/>
    </row>
    <row r="58" spans="1:12">
      <c r="A58" s="26">
        <v>35222</v>
      </c>
      <c r="B58" s="43">
        <v>656.24</v>
      </c>
      <c r="C58" s="43">
        <v>648.37</v>
      </c>
      <c r="D58" s="43">
        <v>648.4</v>
      </c>
      <c r="E58" s="43">
        <f t="shared" si="0"/>
        <v>656.24</v>
      </c>
      <c r="F58" s="43">
        <f t="shared" si="1"/>
        <v>642.19000000000005</v>
      </c>
      <c r="G58" s="43">
        <f t="shared" si="2"/>
        <v>7.8400000000000318</v>
      </c>
      <c r="H58" s="43">
        <f t="shared" si="3"/>
        <v>14.049999999999955</v>
      </c>
      <c r="I58" s="43">
        <f t="shared" si="4"/>
        <v>-55.800711743772645</v>
      </c>
      <c r="J58" s="28"/>
      <c r="K58" s="28"/>
      <c r="L58" s="54"/>
    </row>
    <row r="59" spans="1:12">
      <c r="A59" s="8"/>
    </row>
    <row r="60" spans="1:12">
      <c r="A60" s="8"/>
    </row>
    <row r="61" spans="1:12" ht="15">
      <c r="A61" s="241" t="s">
        <v>761</v>
      </c>
    </row>
    <row r="62" spans="1:12" ht="15">
      <c r="A62" s="241" t="s">
        <v>762</v>
      </c>
    </row>
    <row r="63" spans="1:12" ht="15">
      <c r="A63" s="241" t="s">
        <v>763</v>
      </c>
    </row>
    <row r="64" spans="1:12" ht="15">
      <c r="A64" s="241" t="s">
        <v>764</v>
      </c>
    </row>
    <row r="65" spans="1:1" ht="15">
      <c r="A65" s="241" t="s">
        <v>179</v>
      </c>
    </row>
    <row r="66" spans="1:1">
      <c r="A66" s="8"/>
    </row>
    <row r="67" spans="1:1">
      <c r="A67" s="8"/>
    </row>
    <row r="68" spans="1:1">
      <c r="A68" s="8"/>
    </row>
    <row r="69" spans="1:1">
      <c r="A69" s="8"/>
    </row>
    <row r="70" spans="1:1">
      <c r="A70" s="8"/>
    </row>
    <row r="71" spans="1:1">
      <c r="A71" s="8"/>
    </row>
    <row r="72" spans="1:1">
      <c r="A72" s="8"/>
    </row>
    <row r="73" spans="1:1">
      <c r="A73" s="8"/>
    </row>
    <row r="74" spans="1:1">
      <c r="A74" s="8"/>
    </row>
    <row r="75" spans="1:1">
      <c r="A75" s="8"/>
    </row>
    <row r="76" spans="1:1">
      <c r="A76" s="8"/>
    </row>
    <row r="77" spans="1:1">
      <c r="A77" s="8"/>
    </row>
    <row r="78" spans="1:1">
      <c r="A78" s="8"/>
    </row>
    <row r="79" spans="1:1">
      <c r="A79" s="8"/>
    </row>
    <row r="80" spans="1:1">
      <c r="A80" s="8"/>
    </row>
    <row r="81" spans="1:1">
      <c r="A81" s="8"/>
    </row>
    <row r="82" spans="1:1">
      <c r="A82" s="8"/>
    </row>
    <row r="83" spans="1:1">
      <c r="A83" s="8"/>
    </row>
    <row r="84" spans="1:1">
      <c r="A84" s="8"/>
    </row>
    <row r="85" spans="1:1">
      <c r="A85" s="8"/>
    </row>
    <row r="86" spans="1:1">
      <c r="A86" s="8"/>
    </row>
    <row r="87" spans="1:1">
      <c r="A87" s="8"/>
    </row>
    <row r="88" spans="1:1">
      <c r="A88" s="8"/>
    </row>
    <row r="89" spans="1:1">
      <c r="A89" s="8"/>
    </row>
    <row r="90" spans="1:1">
      <c r="A90" s="8"/>
    </row>
    <row r="91" spans="1:1">
      <c r="A91" s="8"/>
    </row>
    <row r="92" spans="1:1">
      <c r="A92" s="8"/>
    </row>
    <row r="93" spans="1:1">
      <c r="A93" s="8"/>
    </row>
    <row r="94" spans="1:1">
      <c r="A94" s="8"/>
    </row>
    <row r="95" spans="1:1">
      <c r="A95" s="8"/>
    </row>
    <row r="96" spans="1:1">
      <c r="A96" s="8"/>
    </row>
    <row r="97" spans="1:1">
      <c r="A97" s="8"/>
    </row>
    <row r="98" spans="1:1">
      <c r="A98" s="8"/>
    </row>
    <row r="99" spans="1:1">
      <c r="A99" s="8"/>
    </row>
    <row r="100" spans="1:1">
      <c r="A100" s="8"/>
    </row>
    <row r="101" spans="1:1">
      <c r="A101" s="8"/>
    </row>
    <row r="102" spans="1:1">
      <c r="A102" s="8"/>
    </row>
    <row r="103" spans="1:1">
      <c r="A103" s="8"/>
    </row>
    <row r="104" spans="1:1">
      <c r="A104" s="8"/>
    </row>
    <row r="105" spans="1:1">
      <c r="A105" s="8"/>
    </row>
    <row r="106" spans="1:1">
      <c r="A106" s="8"/>
    </row>
    <row r="107" spans="1:1">
      <c r="A107" s="8"/>
    </row>
    <row r="108" spans="1:1">
      <c r="A108" s="8"/>
    </row>
    <row r="109" spans="1:1">
      <c r="A109" s="8"/>
    </row>
    <row r="110" spans="1:1">
      <c r="A110" s="8"/>
    </row>
    <row r="111" spans="1:1">
      <c r="A111" s="8"/>
    </row>
    <row r="112" spans="1:1">
      <c r="A112" s="8"/>
    </row>
    <row r="113" spans="1:1">
      <c r="A113" s="8"/>
    </row>
    <row r="114" spans="1:1">
      <c r="A114" s="8"/>
    </row>
    <row r="115" spans="1:1">
      <c r="A115" s="8"/>
    </row>
    <row r="116" spans="1:1">
      <c r="A116" s="8"/>
    </row>
    <row r="117" spans="1:1">
      <c r="A117" s="8"/>
    </row>
    <row r="118" spans="1:1">
      <c r="A118" s="8"/>
    </row>
    <row r="119" spans="1:1">
      <c r="A119" s="8"/>
    </row>
    <row r="120" spans="1:1">
      <c r="A120" s="8"/>
    </row>
    <row r="121" spans="1:1">
      <c r="A121" s="8"/>
    </row>
    <row r="122" spans="1:1">
      <c r="A122" s="8"/>
    </row>
    <row r="123" spans="1:1">
      <c r="A123" s="8"/>
    </row>
    <row r="124" spans="1:1">
      <c r="A124" s="8"/>
    </row>
    <row r="125" spans="1:1">
      <c r="A125" s="8"/>
    </row>
    <row r="126" spans="1:1">
      <c r="A126" s="8"/>
    </row>
    <row r="127" spans="1:1">
      <c r="A127" s="8"/>
    </row>
    <row r="128" spans="1:1">
      <c r="A128" s="8"/>
    </row>
    <row r="129" spans="1:1">
      <c r="A129" s="8"/>
    </row>
    <row r="130" spans="1:1">
      <c r="A130" s="8"/>
    </row>
    <row r="131" spans="1:1">
      <c r="A131" s="8"/>
    </row>
    <row r="132" spans="1:1">
      <c r="A132" s="8"/>
    </row>
    <row r="133" spans="1:1">
      <c r="A133" s="8"/>
    </row>
    <row r="134" spans="1:1">
      <c r="A134" s="8"/>
    </row>
    <row r="135" spans="1:1">
      <c r="A135" s="8"/>
    </row>
    <row r="136" spans="1:1">
      <c r="A136" s="8"/>
    </row>
    <row r="137" spans="1:1">
      <c r="A137" s="8"/>
    </row>
    <row r="138" spans="1:1">
      <c r="A138" s="8"/>
    </row>
    <row r="139" spans="1:1">
      <c r="A139" s="8"/>
    </row>
    <row r="140" spans="1:1">
      <c r="A140" s="8"/>
    </row>
    <row r="141" spans="1:1">
      <c r="A141" s="8"/>
    </row>
    <row r="142" spans="1:1">
      <c r="A142" s="8"/>
    </row>
    <row r="143" spans="1:1">
      <c r="A143" s="8"/>
    </row>
    <row r="144" spans="1:1">
      <c r="A144" s="8"/>
    </row>
    <row r="145" spans="1:1">
      <c r="A145" s="8"/>
    </row>
    <row r="146" spans="1:1">
      <c r="A146" s="8"/>
    </row>
    <row r="147" spans="1:1">
      <c r="A147" s="8"/>
    </row>
    <row r="148" spans="1:1">
      <c r="A148" s="8"/>
    </row>
    <row r="149" spans="1:1">
      <c r="A149" s="8"/>
    </row>
    <row r="150" spans="1:1">
      <c r="A150" s="8"/>
    </row>
    <row r="151" spans="1:1">
      <c r="A151" s="8"/>
    </row>
    <row r="152" spans="1:1">
      <c r="A152" s="8"/>
    </row>
    <row r="153" spans="1:1">
      <c r="A153" s="8"/>
    </row>
    <row r="154" spans="1:1">
      <c r="A154" s="8"/>
    </row>
    <row r="155" spans="1:1">
      <c r="A155" s="8"/>
    </row>
    <row r="156" spans="1:1">
      <c r="A156" s="8"/>
    </row>
    <row r="157" spans="1:1">
      <c r="A157" s="8"/>
    </row>
    <row r="158" spans="1:1">
      <c r="A158" s="8"/>
    </row>
    <row r="159" spans="1:1">
      <c r="A159" s="8"/>
    </row>
    <row r="160" spans="1:1">
      <c r="A160" s="8"/>
    </row>
    <row r="161" spans="1:1">
      <c r="A161" s="8"/>
    </row>
    <row r="162" spans="1:1">
      <c r="A162" s="8"/>
    </row>
    <row r="163" spans="1:1">
      <c r="A163" s="8"/>
    </row>
    <row r="164" spans="1:1">
      <c r="A164" s="8"/>
    </row>
    <row r="165" spans="1:1">
      <c r="A165" s="8"/>
    </row>
    <row r="166" spans="1:1">
      <c r="A166" s="8"/>
    </row>
    <row r="167" spans="1:1">
      <c r="A167" s="8"/>
    </row>
    <row r="168" spans="1:1">
      <c r="A168" s="8"/>
    </row>
    <row r="169" spans="1:1">
      <c r="A169" s="8"/>
    </row>
    <row r="170" spans="1:1">
      <c r="A170" s="8"/>
    </row>
    <row r="171" spans="1:1">
      <c r="A171" s="8"/>
    </row>
    <row r="172" spans="1:1">
      <c r="A172" s="8"/>
    </row>
    <row r="173" spans="1:1">
      <c r="A173" s="8"/>
    </row>
    <row r="174" spans="1:1">
      <c r="A174" s="8"/>
    </row>
    <row r="175" spans="1:1">
      <c r="A175" s="8"/>
    </row>
    <row r="176" spans="1:1">
      <c r="A176" s="8"/>
    </row>
    <row r="177" spans="1:1">
      <c r="A177" s="8"/>
    </row>
    <row r="178" spans="1:1">
      <c r="A178" s="8"/>
    </row>
    <row r="179" spans="1:1">
      <c r="A179" s="8"/>
    </row>
    <row r="180" spans="1:1">
      <c r="A180" s="8"/>
    </row>
    <row r="181" spans="1:1">
      <c r="A181" s="8"/>
    </row>
    <row r="182" spans="1:1">
      <c r="A182" s="8"/>
    </row>
    <row r="183" spans="1:1">
      <c r="A183" s="8"/>
    </row>
    <row r="184" spans="1:1">
      <c r="A184" s="8"/>
    </row>
    <row r="185" spans="1:1">
      <c r="A185" s="8"/>
    </row>
    <row r="186" spans="1:1">
      <c r="A186" s="8"/>
    </row>
    <row r="187" spans="1:1">
      <c r="A187" s="8"/>
    </row>
    <row r="188" spans="1:1">
      <c r="A188" s="8"/>
    </row>
    <row r="189" spans="1:1">
      <c r="A189" s="8"/>
    </row>
    <row r="190" spans="1:1">
      <c r="A190" s="8"/>
    </row>
    <row r="191" spans="1:1">
      <c r="A191" s="8"/>
    </row>
    <row r="192" spans="1:1">
      <c r="A192" s="8"/>
    </row>
    <row r="193" spans="1:1">
      <c r="A193" s="8"/>
    </row>
    <row r="194" spans="1:1">
      <c r="A194" s="8"/>
    </row>
    <row r="195" spans="1:1">
      <c r="A195" s="8"/>
    </row>
    <row r="196" spans="1:1">
      <c r="A196" s="8"/>
    </row>
    <row r="197" spans="1:1">
      <c r="A197" s="8"/>
    </row>
    <row r="198" spans="1:1">
      <c r="A198" s="8"/>
    </row>
    <row r="199" spans="1:1">
      <c r="A199" s="8"/>
    </row>
    <row r="200" spans="1:1">
      <c r="A200" s="8"/>
    </row>
    <row r="201" spans="1:1">
      <c r="A201" s="8"/>
    </row>
    <row r="202" spans="1:1">
      <c r="A202" s="8"/>
    </row>
  </sheetData>
  <phoneticPr fontId="0" type="noConversion"/>
  <pageMargins left="0.75" right="0.75" top="1" bottom="1" header="0.5" footer="0.5"/>
  <pageSetup orientation="portrait" horizontalDpi="300" verticalDpi="300"/>
  <headerFooter>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3555" r:id="rId3" name="Button 3">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23557" r:id="rId4" name="Button 5">
              <controlPr defaultSize="0" print="0" autoFill="0" autoPict="0" macro="[0]!Previous_Button_Click">
                <anchor moveWithCells="1" sizeWithCells="1">
                  <from>
                    <xdr:col>3</xdr:col>
                    <xdr:colOff>203200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3558" r:id="rId5" name="Button 6">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mc:AlternateContent xmlns:mc="http://schemas.openxmlformats.org/markup-compatibility/2006">
          <mc:Choice Requires="x14">
            <control shapeId="23559" r:id="rId6" name="Button 7">
              <controlPr defaultSize="0" print="0" autoFill="0" autoPict="0" macro="[0]!First_Button_Click">
                <anchor moveWithCells="1" sizeWithCells="1">
                  <from>
                    <xdr:col>2</xdr:col>
                    <xdr:colOff>38100</xdr:colOff>
                    <xdr:row>1</xdr:row>
                    <xdr:rowOff>25400</xdr:rowOff>
                  </from>
                  <to>
                    <xdr:col>3</xdr:col>
                    <xdr:colOff>190500</xdr:colOff>
                    <xdr:row>1</xdr:row>
                    <xdr:rowOff>254000</xdr:rowOff>
                  </to>
                </anchor>
              </controlPr>
            </control>
          </mc:Choice>
          <mc:Fallback/>
        </mc:AlternateContent>
        <mc:AlternateContent xmlns:mc="http://schemas.openxmlformats.org/markup-compatibility/2006">
          <mc:Choice Requires="x14">
            <control shapeId="23561" r:id="rId7" name="Button 9">
              <controlPr defaultSize="0" print="0" autoFill="0" autoPict="0" macro="[0]!Previous_Button_Click">
                <anchor moveWithCells="1" sizeWithCells="1">
                  <from>
                    <xdr:col>3</xdr:col>
                    <xdr:colOff>203200</xdr:colOff>
                    <xdr:row>1</xdr:row>
                    <xdr:rowOff>25400</xdr:rowOff>
                  </from>
                  <to>
                    <xdr:col>4</xdr:col>
                    <xdr:colOff>152400</xdr:colOff>
                    <xdr:row>1</xdr:row>
                    <xdr:rowOff>254000</xdr:rowOff>
                  </to>
                </anchor>
              </controlPr>
            </control>
          </mc:Choice>
          <mc:Fallback/>
        </mc:AlternateContent>
        <mc:AlternateContent xmlns:mc="http://schemas.openxmlformats.org/markup-compatibility/2006">
          <mc:Choice Requires="x14">
            <control shapeId="23562" r:id="rId8" name="Button 10">
              <controlPr defaultSize="0" print="0" autoFill="0" autoPict="0" macro="[0]!Last_Button_Click">
                <anchor moveWithCells="1" sizeWithCells="1">
                  <from>
                    <xdr:col>5</xdr:col>
                    <xdr:colOff>215900</xdr:colOff>
                    <xdr:row>1</xdr:row>
                    <xdr:rowOff>25400</xdr:rowOff>
                  </from>
                  <to>
                    <xdr:col>6</xdr:col>
                    <xdr:colOff>203200</xdr:colOff>
                    <xdr:row>1</xdr:row>
                    <xdr:rowOff>254000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2" baseType="variant">
      <vt:variant>
        <vt:lpstr>Worksheets</vt:lpstr>
      </vt:variant>
      <vt:variant>
        <vt:i4>102</vt:i4>
      </vt:variant>
    </vt:vector>
  </HeadingPairs>
  <TitlesOfParts>
    <vt:vector size="102" baseType="lpstr">
      <vt:lpstr>Overview</vt:lpstr>
      <vt:lpstr>Absolute Breadth Index</vt:lpstr>
      <vt:lpstr>Accumulation Distribution</vt:lpstr>
      <vt:lpstr>Accumulation Swing Index</vt:lpstr>
      <vt:lpstr>AD Line</vt:lpstr>
      <vt:lpstr>AD Ratio</vt:lpstr>
      <vt:lpstr>Advancing - Declining Issues</vt:lpstr>
      <vt:lpstr>Arms Index</vt:lpstr>
      <vt:lpstr>Aroon</vt:lpstr>
      <vt:lpstr>Average True Range</vt:lpstr>
      <vt:lpstr>Bollinger Bands</vt:lpstr>
      <vt:lpstr>Breadth Thrust</vt:lpstr>
      <vt:lpstr>Bull|Bear Ratio</vt:lpstr>
      <vt:lpstr>Chaikin Money Flow</vt:lpstr>
      <vt:lpstr>Chaikin Oscillator</vt:lpstr>
      <vt:lpstr>Chande Momentum Oscillator</vt:lpstr>
      <vt:lpstr>Commodity Channel Index</vt:lpstr>
      <vt:lpstr>Commodity Selection Index</vt:lpstr>
      <vt:lpstr>Correlation</vt:lpstr>
      <vt:lpstr>Cumulative Volume Index</vt:lpstr>
      <vt:lpstr>DEMA and TEMA</vt:lpstr>
      <vt:lpstr>Detrended Price Oscillator</vt:lpstr>
      <vt:lpstr>Directional Movement Indicators</vt:lpstr>
      <vt:lpstr>Dynamic Momentum Index</vt:lpstr>
      <vt:lpstr>Ease of Movement</vt:lpstr>
      <vt:lpstr>Envelopes</vt:lpstr>
      <vt:lpstr>Forecast Oscillator</vt:lpstr>
      <vt:lpstr>Inertia</vt:lpstr>
      <vt:lpstr>Intraday Momentum Index</vt:lpstr>
      <vt:lpstr>Klinger Oscillator</vt:lpstr>
      <vt:lpstr>Large Block Ratio</vt:lpstr>
      <vt:lpstr>Linear Regression Indicator</vt:lpstr>
      <vt:lpstr>Linear Regression Trendline</vt:lpstr>
      <vt:lpstr>Linear Regression Slope</vt:lpstr>
      <vt:lpstr>MACD</vt:lpstr>
      <vt:lpstr>Market Facilitation Index</vt:lpstr>
      <vt:lpstr>Mass Index</vt:lpstr>
      <vt:lpstr>McClellan Oscillator</vt:lpstr>
      <vt:lpstr>McClellan Summation</vt:lpstr>
      <vt:lpstr>Median Price</vt:lpstr>
      <vt:lpstr>Member Short Ratio</vt:lpstr>
      <vt:lpstr>Momentum</vt:lpstr>
      <vt:lpstr>Money Flow Index</vt:lpstr>
      <vt:lpstr>Moving Average - Exponential</vt:lpstr>
      <vt:lpstr>Moving Average - Simple</vt:lpstr>
      <vt:lpstr>Moving Average - Time Series</vt:lpstr>
      <vt:lpstr>Moving Average - Triangular</vt:lpstr>
      <vt:lpstr>Moving Average - Variable</vt:lpstr>
      <vt:lpstr>Moving Average - Volume Adjustd</vt:lpstr>
      <vt:lpstr>Moving Average - Weighted</vt:lpstr>
      <vt:lpstr>Negative Volume Index</vt:lpstr>
      <vt:lpstr>New Highs - Lows Cumulative</vt:lpstr>
      <vt:lpstr>New Highs - New Lows</vt:lpstr>
      <vt:lpstr>New Highs | New Lows Ratio</vt:lpstr>
      <vt:lpstr>Odd Lot Balance Index</vt:lpstr>
      <vt:lpstr>Odd Lot Short Ratio</vt:lpstr>
      <vt:lpstr>On Balance Volume</vt:lpstr>
      <vt:lpstr>Open-10 TRIN</vt:lpstr>
      <vt:lpstr>Overbought|Oversold</vt:lpstr>
      <vt:lpstr>Parabolic SAR</vt:lpstr>
      <vt:lpstr>Performance</vt:lpstr>
      <vt:lpstr>Positive Volume Index</vt:lpstr>
      <vt:lpstr>Price Channels</vt:lpstr>
      <vt:lpstr>Price Oscillator</vt:lpstr>
      <vt:lpstr>Price ROC</vt:lpstr>
      <vt:lpstr>Price and Volume Trend</vt:lpstr>
      <vt:lpstr>Projection Bands &amp; Oscillator</vt:lpstr>
      <vt:lpstr>Public Short Ratio</vt:lpstr>
      <vt:lpstr>Puts|Calls Ratio</vt:lpstr>
      <vt:lpstr>QStick</vt:lpstr>
      <vt:lpstr>r-squared</vt:lpstr>
      <vt:lpstr>Raff Regression Channel</vt:lpstr>
      <vt:lpstr>Range Indicator</vt:lpstr>
      <vt:lpstr>Relative Momentum Index</vt:lpstr>
      <vt:lpstr>Relative Strength, Comparative</vt:lpstr>
      <vt:lpstr>Relative Strength Index</vt:lpstr>
      <vt:lpstr>Relative Voltlty Idx &amp; Inertia</vt:lpstr>
      <vt:lpstr>Standard Deviation</vt:lpstr>
      <vt:lpstr>Standard Deviation Channel</vt:lpstr>
      <vt:lpstr>Standard Error</vt:lpstr>
      <vt:lpstr>Standard Error Bands</vt:lpstr>
      <vt:lpstr>Standard Error Channel</vt:lpstr>
      <vt:lpstr>STIX</vt:lpstr>
      <vt:lpstr>Stochastic Momentum Index</vt:lpstr>
      <vt:lpstr>Stochastic Oscillator</vt:lpstr>
      <vt:lpstr>Swing Index</vt:lpstr>
      <vt:lpstr>TEMA</vt:lpstr>
      <vt:lpstr>Time Series Forecast</vt:lpstr>
      <vt:lpstr>Total Short Ratio</vt:lpstr>
      <vt:lpstr>TRIX</vt:lpstr>
      <vt:lpstr>Typical Price</vt:lpstr>
      <vt:lpstr>Ultimate Oscillator</vt:lpstr>
      <vt:lpstr>Upside|Downside Ratio</vt:lpstr>
      <vt:lpstr>Upside - Downside Volume</vt:lpstr>
      <vt:lpstr>Vertical Horizontal Filter</vt:lpstr>
      <vt:lpstr>Volatility, Chaikins</vt:lpstr>
      <vt:lpstr>Volume Oscillator</vt:lpstr>
      <vt:lpstr>Volume Rate of Change</vt:lpstr>
      <vt:lpstr>Weighted Close</vt:lpstr>
      <vt:lpstr>Wilders Smoothing</vt:lpstr>
      <vt:lpstr>Williams Acc-Dist</vt:lpstr>
      <vt:lpstr>Williams %R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 C. DeBry</dc:creator>
  <cp:lastModifiedBy>pweiss13</cp:lastModifiedBy>
  <dcterms:created xsi:type="dcterms:W3CDTF">1999-06-03T22:46:52Z</dcterms:created>
  <dcterms:modified xsi:type="dcterms:W3CDTF">2016-04-02T20:43:45Z</dcterms:modified>
</cp:coreProperties>
</file>