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EstaPastaDeTrabalho" defaultThemeVersion="124226"/>
  <mc:AlternateContent xmlns:mc="http://schemas.openxmlformats.org/markup-compatibility/2006">
    <mc:Choice Requires="x15">
      <x15ac:absPath xmlns:x15ac="http://schemas.microsoft.com/office/spreadsheetml/2010/11/ac" url="C:\Users\paulomaa\OneDrive - DPDHL\Desktop\"/>
    </mc:Choice>
  </mc:AlternateContent>
  <xr:revisionPtr revIDLastSave="0" documentId="13_ncr:1_{7B5A86DB-9936-400B-9E86-E829A57E4B0D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BASE" sheetId="13" r:id="rId1"/>
    <sheet name="Home" sheetId="11" r:id="rId2"/>
    <sheet name="Forecast" sheetId="15" r:id="rId3"/>
    <sheet name="Forecast Anual" sheetId="14" r:id="rId4"/>
    <sheet name="Master" sheetId="10" r:id="rId5"/>
    <sheet name="Resumo" sheetId="12" state="hidden" r:id="rId6"/>
    <sheet name="Plan1" sheetId="2" state="hidden" r:id="rId7"/>
  </sheets>
  <definedNames>
    <definedName name="_xlnm._FilterDatabase" localSheetId="0" hidden="1">BASE!$A$1:$E$2</definedName>
    <definedName name="_xlnm._FilterDatabase" localSheetId="2" hidden="1">Forecast!$B$7:$R$37</definedName>
    <definedName name="_xlnm._FilterDatabase" localSheetId="4" hidden="1">Master!$A$3:$BN$3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6" i="11" l="1"/>
  <c r="A3" i="13"/>
  <c r="A4" i="13"/>
  <c r="A5" i="13"/>
  <c r="A6" i="13"/>
  <c r="A7" i="13"/>
  <c r="A8" i="13"/>
  <c r="A9" i="13"/>
  <c r="A10" i="13"/>
  <c r="A11" i="13"/>
  <c r="A12" i="13"/>
  <c r="A13" i="13"/>
  <c r="A14" i="13"/>
  <c r="A15" i="13"/>
  <c r="A16" i="13"/>
  <c r="A17" i="13"/>
  <c r="A18" i="13"/>
  <c r="A19" i="13"/>
  <c r="A20" i="13"/>
  <c r="A21" i="13"/>
  <c r="A22" i="13"/>
  <c r="A23" i="13"/>
  <c r="A24" i="13"/>
  <c r="A25" i="13"/>
  <c r="A26" i="13"/>
  <c r="A27" i="13"/>
  <c r="A28" i="13"/>
  <c r="A29" i="13"/>
  <c r="A30" i="13"/>
  <c r="A31" i="13"/>
  <c r="A32" i="13"/>
  <c r="A33" i="13"/>
  <c r="A34" i="13"/>
  <c r="A35" i="13"/>
  <c r="A36" i="13"/>
  <c r="A37" i="13"/>
  <c r="A38" i="13"/>
  <c r="A39" i="13"/>
  <c r="A40" i="13"/>
  <c r="A41" i="13"/>
  <c r="A42" i="13"/>
  <c r="A43" i="13"/>
  <c r="A44" i="13"/>
  <c r="A45" i="13"/>
  <c r="A46" i="13"/>
  <c r="A47" i="13"/>
  <c r="A48" i="13"/>
  <c r="A49" i="13"/>
  <c r="A50" i="13"/>
  <c r="A51" i="13"/>
  <c r="A52" i="13"/>
  <c r="A53" i="13"/>
  <c r="A54" i="13"/>
  <c r="A55" i="13"/>
  <c r="A56" i="13"/>
  <c r="A57" i="13"/>
  <c r="A58" i="13"/>
  <c r="A59" i="13"/>
  <c r="A60" i="13"/>
  <c r="A61" i="13"/>
  <c r="A62" i="13"/>
  <c r="A63" i="13"/>
  <c r="A64" i="13"/>
  <c r="A65" i="13"/>
  <c r="A66" i="13"/>
  <c r="A67" i="13"/>
  <c r="A68" i="13"/>
  <c r="A69" i="13"/>
  <c r="A70" i="13"/>
  <c r="A71" i="13"/>
  <c r="A72" i="13"/>
  <c r="A73" i="13"/>
  <c r="A74" i="13"/>
  <c r="A75" i="13"/>
  <c r="A76" i="13"/>
  <c r="A77" i="13"/>
  <c r="A78" i="13"/>
  <c r="A79" i="13"/>
  <c r="A80" i="13"/>
  <c r="A81" i="13"/>
  <c r="A82" i="13"/>
  <c r="A83" i="13"/>
  <c r="A84" i="13"/>
  <c r="A85" i="13"/>
  <c r="A86" i="13"/>
  <c r="A87" i="13"/>
  <c r="A88" i="13"/>
  <c r="A89" i="13"/>
  <c r="A90" i="13"/>
  <c r="A91" i="13"/>
  <c r="A92" i="13"/>
  <c r="A93" i="13"/>
  <c r="A94" i="13"/>
  <c r="A95" i="13"/>
  <c r="A96" i="13"/>
  <c r="A97" i="13"/>
  <c r="A98" i="13"/>
  <c r="A99" i="13"/>
  <c r="A100" i="13"/>
  <c r="A101" i="13"/>
  <c r="A102" i="13"/>
  <c r="A103" i="13"/>
  <c r="A104" i="13"/>
  <c r="A105" i="13"/>
  <c r="A106" i="13"/>
  <c r="A107" i="13"/>
  <c r="A108" i="13"/>
  <c r="A109" i="13"/>
  <c r="A110" i="13"/>
  <c r="A111" i="13"/>
  <c r="A112" i="13"/>
  <c r="A113" i="13"/>
  <c r="A114" i="13"/>
  <c r="A115" i="13"/>
  <c r="A116" i="13"/>
  <c r="A117" i="13"/>
  <c r="A118" i="13"/>
  <c r="A119" i="13"/>
  <c r="A120" i="13"/>
  <c r="A121" i="13"/>
  <c r="A122" i="13"/>
  <c r="A123" i="13"/>
  <c r="A124" i="13"/>
  <c r="A125" i="13"/>
  <c r="A126" i="13"/>
  <c r="A127" i="13"/>
  <c r="A128" i="13"/>
  <c r="A129" i="13"/>
  <c r="A130" i="13"/>
  <c r="A131" i="13"/>
  <c r="A132" i="13"/>
  <c r="A133" i="13"/>
  <c r="A134" i="13"/>
  <c r="A135" i="13"/>
  <c r="A136" i="13"/>
  <c r="A137" i="13"/>
  <c r="A138" i="13"/>
  <c r="A139" i="13"/>
  <c r="A140" i="13"/>
  <c r="A141" i="13"/>
  <c r="A142" i="13"/>
  <c r="A143" i="13"/>
  <c r="A144" i="13"/>
  <c r="A145" i="13"/>
  <c r="A146" i="13"/>
  <c r="A147" i="13"/>
  <c r="A148" i="13"/>
  <c r="A149" i="13"/>
  <c r="A150" i="13"/>
  <c r="A151" i="13"/>
  <c r="A152" i="13"/>
  <c r="A153" i="13"/>
  <c r="A154" i="13"/>
  <c r="A155" i="13"/>
  <c r="A156" i="13"/>
  <c r="A157" i="13"/>
  <c r="A158" i="13"/>
  <c r="A159" i="13"/>
  <c r="A160" i="13"/>
  <c r="A161" i="13"/>
  <c r="A162" i="13"/>
  <c r="A163" i="13"/>
  <c r="A164" i="13"/>
  <c r="A165" i="13"/>
  <c r="A166" i="13"/>
  <c r="A167" i="13"/>
  <c r="A168" i="13"/>
  <c r="A169" i="13"/>
  <c r="A170" i="13"/>
  <c r="A171" i="13"/>
  <c r="A172" i="13"/>
  <c r="A173" i="13"/>
  <c r="A174" i="13"/>
  <c r="A175" i="13"/>
  <c r="A176" i="13"/>
  <c r="A2" i="13"/>
  <c r="Z67" i="10" l="1"/>
  <c r="AZ68" i="10"/>
  <c r="C40" i="10" a="1"/>
  <c r="C40" i="10" s="1"/>
  <c r="C41" i="10" a="1"/>
  <c r="C41" i="10" s="1"/>
  <c r="C42" i="10" a="1"/>
  <c r="C42" i="10" s="1"/>
  <c r="C43" i="10" a="1"/>
  <c r="C43" i="10"/>
  <c r="C44" i="10" a="1"/>
  <c r="C44" i="10"/>
  <c r="C45" i="10" a="1"/>
  <c r="C45" i="10" s="1"/>
  <c r="C46" i="10" a="1"/>
  <c r="C46" i="10"/>
  <c r="C47" i="10" a="1"/>
  <c r="C47" i="10"/>
  <c r="C48" i="10" a="1"/>
  <c r="C48" i="10"/>
  <c r="C49" i="10" a="1"/>
  <c r="C49" i="10" s="1"/>
  <c r="C50" i="10" a="1"/>
  <c r="C50" i="10"/>
  <c r="C51" i="10" a="1"/>
  <c r="C51" i="10"/>
  <c r="C52" i="10" a="1"/>
  <c r="C52" i="10"/>
  <c r="C53" i="10" a="1"/>
  <c r="C53" i="10" s="1"/>
  <c r="C54" i="10" a="1"/>
  <c r="C54" i="10"/>
  <c r="C55" i="10" a="1"/>
  <c r="C55" i="10"/>
  <c r="C56" i="10" a="1"/>
  <c r="C56" i="10"/>
  <c r="C57" i="10" a="1"/>
  <c r="C57" i="10" s="1"/>
  <c r="C58" i="10" a="1"/>
  <c r="C58" i="10"/>
  <c r="C59" i="10" a="1"/>
  <c r="C59" i="10"/>
  <c r="C60" i="10" a="1"/>
  <c r="C60" i="10"/>
  <c r="C61" i="10" a="1"/>
  <c r="C61" i="10" s="1"/>
  <c r="C62" i="10" a="1"/>
  <c r="C62" i="10" s="1"/>
  <c r="C63" i="10" a="1"/>
  <c r="C63" i="10"/>
  <c r="C64" i="10" a="1"/>
  <c r="C64" i="10"/>
  <c r="C65" i="10" a="1"/>
  <c r="C65" i="10" s="1"/>
  <c r="C66" i="10" a="1"/>
  <c r="C66" i="10" s="1"/>
  <c r="C67" i="10" a="1"/>
  <c r="C67" i="10"/>
  <c r="W67" i="10"/>
  <c r="L67" i="10"/>
  <c r="B67" i="10"/>
  <c r="W18" i="15"/>
  <c r="W17" i="15"/>
  <c r="W16" i="15"/>
  <c r="W15" i="15"/>
  <c r="W14" i="15"/>
  <c r="W13" i="15"/>
  <c r="W12" i="15"/>
  <c r="W11" i="15"/>
  <c r="W10" i="15"/>
  <c r="W9" i="15"/>
  <c r="W8" i="15"/>
  <c r="W7" i="15"/>
  <c r="Q37" i="15"/>
  <c r="R37" i="15" s="1" a="1"/>
  <c r="R37" i="15" s="1"/>
  <c r="P37" i="15"/>
  <c r="M37" i="15"/>
  <c r="I37" i="15"/>
  <c r="K37" i="15" s="1"/>
  <c r="H37" i="15"/>
  <c r="J37" i="15" s="1"/>
  <c r="G37" i="15"/>
  <c r="O37" i="15" s="1"/>
  <c r="F37" i="15"/>
  <c r="N37" i="15" s="1"/>
  <c r="D41" i="15"/>
  <c r="C41" i="15"/>
  <c r="P41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0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7" i="15"/>
  <c r="F8" i="15"/>
  <c r="F9" i="15"/>
  <c r="F10" i="15"/>
  <c r="F11" i="15"/>
  <c r="F12" i="15"/>
  <c r="F13" i="15"/>
  <c r="F14" i="15"/>
  <c r="F15" i="15"/>
  <c r="F16" i="15"/>
  <c r="F17" i="15"/>
  <c r="F18" i="15"/>
  <c r="F19" i="15"/>
  <c r="F20" i="15"/>
  <c r="F21" i="15"/>
  <c r="F22" i="15"/>
  <c r="F23" i="15"/>
  <c r="F24" i="15"/>
  <c r="F25" i="15"/>
  <c r="F26" i="15"/>
  <c r="F27" i="15"/>
  <c r="F28" i="15"/>
  <c r="F29" i="15"/>
  <c r="F30" i="15"/>
  <c r="F31" i="15"/>
  <c r="F32" i="15"/>
  <c r="F33" i="15"/>
  <c r="F34" i="15"/>
  <c r="F35" i="15"/>
  <c r="F36" i="15"/>
  <c r="F7" i="15"/>
  <c r="O67" i="10" l="1"/>
  <c r="Q41" i="15"/>
  <c r="L37" i="15"/>
  <c r="H7" i="15"/>
  <c r="BG68" i="10"/>
  <c r="H13" i="11" l="1"/>
  <c r="H12" i="11"/>
  <c r="H11" i="11"/>
  <c r="I8" i="15" l="1"/>
  <c r="P7" i="15"/>
  <c r="I7" i="15"/>
  <c r="Q12" i="15" l="1"/>
  <c r="R12" i="15" s="1" a="1"/>
  <c r="R12" i="15" s="1"/>
  <c r="Q8" i="15"/>
  <c r="R8" i="15" s="1" a="1"/>
  <c r="R8" i="15" s="1"/>
  <c r="Q9" i="15"/>
  <c r="R9" i="15" s="1" a="1"/>
  <c r="R9" i="15" s="1"/>
  <c r="Q10" i="15"/>
  <c r="R10" i="15" s="1" a="1"/>
  <c r="R10" i="15" s="1"/>
  <c r="Q11" i="15"/>
  <c r="R11" i="15" s="1" a="1"/>
  <c r="R11" i="15" s="1"/>
  <c r="Q13" i="15"/>
  <c r="R13" i="15" s="1" a="1"/>
  <c r="R13" i="15" s="1"/>
  <c r="Q14" i="15"/>
  <c r="R14" i="15" s="1" a="1"/>
  <c r="R14" i="15" s="1"/>
  <c r="Q15" i="15"/>
  <c r="R15" i="15" s="1" a="1"/>
  <c r="R15" i="15" s="1"/>
  <c r="Q16" i="15"/>
  <c r="R16" i="15" s="1" a="1"/>
  <c r="R16" i="15" s="1"/>
  <c r="Q17" i="15"/>
  <c r="R17" i="15" s="1" a="1"/>
  <c r="R17" i="15" s="1"/>
  <c r="Q18" i="15"/>
  <c r="R18" i="15" s="1" a="1"/>
  <c r="R18" i="15" s="1"/>
  <c r="Q19" i="15"/>
  <c r="R19" i="15" s="1" a="1"/>
  <c r="R19" i="15" s="1"/>
  <c r="Q20" i="15"/>
  <c r="R20" i="15" s="1" a="1"/>
  <c r="R20" i="15" s="1"/>
  <c r="Q21" i="15"/>
  <c r="R21" i="15" s="1" a="1"/>
  <c r="R21" i="15" s="1"/>
  <c r="Q22" i="15"/>
  <c r="R22" i="15" s="1" a="1"/>
  <c r="R22" i="15" s="1"/>
  <c r="Q23" i="15"/>
  <c r="R23" i="15" s="1" a="1"/>
  <c r="R23" i="15" s="1"/>
  <c r="Q24" i="15"/>
  <c r="R24" i="15" s="1" a="1"/>
  <c r="R24" i="15" s="1"/>
  <c r="Q25" i="15"/>
  <c r="R25" i="15" s="1" a="1"/>
  <c r="R25" i="15" s="1"/>
  <c r="Q26" i="15"/>
  <c r="R26" i="15" s="1" a="1"/>
  <c r="R26" i="15" s="1"/>
  <c r="Q27" i="15"/>
  <c r="R27" i="15" s="1" a="1"/>
  <c r="R27" i="15" s="1"/>
  <c r="Q28" i="15"/>
  <c r="R28" i="15" s="1" a="1"/>
  <c r="R28" i="15" s="1"/>
  <c r="Q29" i="15"/>
  <c r="R29" i="15" s="1" a="1"/>
  <c r="R29" i="15" s="1"/>
  <c r="Q30" i="15"/>
  <c r="R30" i="15" s="1" a="1"/>
  <c r="R30" i="15" s="1"/>
  <c r="Q31" i="15"/>
  <c r="R31" i="15" s="1" a="1"/>
  <c r="R31" i="15" s="1"/>
  <c r="Q32" i="15"/>
  <c r="R32" i="15" s="1" a="1"/>
  <c r="R32" i="15" s="1"/>
  <c r="Q33" i="15"/>
  <c r="R33" i="15" s="1" a="1"/>
  <c r="R33" i="15" s="1"/>
  <c r="Q34" i="15"/>
  <c r="R34" i="15" s="1" a="1"/>
  <c r="R34" i="15" s="1"/>
  <c r="Q35" i="15"/>
  <c r="R35" i="15" s="1" a="1"/>
  <c r="R35" i="15" s="1"/>
  <c r="Q36" i="15"/>
  <c r="R36" i="15" s="1" a="1"/>
  <c r="R36" i="15" s="1"/>
  <c r="Q7" i="15"/>
  <c r="P8" i="15"/>
  <c r="P9" i="15"/>
  <c r="P10" i="15"/>
  <c r="P11" i="15"/>
  <c r="P12" i="15"/>
  <c r="P13" i="15"/>
  <c r="P14" i="15"/>
  <c r="P15" i="15"/>
  <c r="P16" i="15"/>
  <c r="P17" i="15"/>
  <c r="P18" i="15"/>
  <c r="P19" i="15"/>
  <c r="P20" i="15"/>
  <c r="P21" i="15"/>
  <c r="P22" i="15"/>
  <c r="P23" i="15"/>
  <c r="P24" i="15"/>
  <c r="P25" i="15"/>
  <c r="P26" i="15"/>
  <c r="P27" i="15"/>
  <c r="P28" i="15"/>
  <c r="P29" i="15"/>
  <c r="P30" i="15"/>
  <c r="P31" i="15"/>
  <c r="P32" i="15"/>
  <c r="P33" i="15"/>
  <c r="P34" i="15"/>
  <c r="P35" i="15"/>
  <c r="P36" i="15"/>
  <c r="AQ68" i="10"/>
  <c r="F68" i="10"/>
  <c r="X7" i="15"/>
  <c r="B38" i="10"/>
  <c r="B39" i="10"/>
  <c r="B40" i="10"/>
  <c r="B41" i="10"/>
  <c r="B42" i="10"/>
  <c r="B43" i="10"/>
  <c r="B44" i="10"/>
  <c r="B45" i="10"/>
  <c r="B46" i="10"/>
  <c r="B47" i="10"/>
  <c r="B48" i="10"/>
  <c r="B49" i="10"/>
  <c r="B50" i="10"/>
  <c r="B51" i="10"/>
  <c r="B52" i="10"/>
  <c r="B53" i="10"/>
  <c r="B54" i="10"/>
  <c r="B55" i="10"/>
  <c r="B56" i="10"/>
  <c r="B57" i="10"/>
  <c r="B58" i="10"/>
  <c r="B59" i="10"/>
  <c r="B60" i="10"/>
  <c r="B61" i="10"/>
  <c r="B62" i="10"/>
  <c r="B63" i="10"/>
  <c r="B64" i="10"/>
  <c r="B65" i="10"/>
  <c r="B66" i="10"/>
  <c r="B37" i="10"/>
  <c r="C38" i="10" a="1"/>
  <c r="C38" i="10" s="1"/>
  <c r="C39" i="10" a="1"/>
  <c r="C39" i="10" s="1"/>
  <c r="C37" i="10" a="1"/>
  <c r="C37" i="10" s="1"/>
  <c r="R7" i="15" l="1" a="1"/>
  <c r="R7" i="15" s="1"/>
  <c r="Q40" i="15"/>
  <c r="C68" i="10"/>
  <c r="AG7" i="15"/>
  <c r="AF7" i="15"/>
  <c r="Y7" i="15"/>
  <c r="C40" i="15"/>
  <c r="D40" i="15"/>
  <c r="C10" i="11"/>
  <c r="K12" i="11" s="1"/>
  <c r="I13" i="15" l="1"/>
  <c r="C44" i="15" l="1"/>
  <c r="C45" i="15" s="1"/>
  <c r="C47" i="15" s="1"/>
  <c r="K28" i="11" l="1"/>
  <c r="V68" i="10" l="1"/>
  <c r="T68" i="10"/>
  <c r="BF68" i="10"/>
  <c r="AG8" i="15" l="1"/>
  <c r="AH8" i="15" s="1"/>
  <c r="AG9" i="15"/>
  <c r="AH9" i="15" s="1"/>
  <c r="AG10" i="15"/>
  <c r="AH10" i="15" s="1"/>
  <c r="AG11" i="15"/>
  <c r="AH11" i="15" s="1"/>
  <c r="AG12" i="15"/>
  <c r="AH12" i="15" s="1"/>
  <c r="AG13" i="15"/>
  <c r="AH13" i="15" s="1"/>
  <c r="AG14" i="15"/>
  <c r="AH14" i="15" s="1"/>
  <c r="AG15" i="15"/>
  <c r="AH15" i="15" s="1"/>
  <c r="AG16" i="15"/>
  <c r="AH16" i="15" s="1"/>
  <c r="AG17" i="15"/>
  <c r="AH17" i="15" s="1"/>
  <c r="AG18" i="15"/>
  <c r="AH18" i="15" s="1"/>
  <c r="AG19" i="15"/>
  <c r="AH19" i="15" s="1"/>
  <c r="AG20" i="15"/>
  <c r="AH20" i="15" s="1"/>
  <c r="AG21" i="15"/>
  <c r="AH21" i="15" s="1"/>
  <c r="AG22" i="15"/>
  <c r="AH22" i="15" s="1"/>
  <c r="AG23" i="15"/>
  <c r="AH23" i="15" s="1"/>
  <c r="AG24" i="15"/>
  <c r="AH24" i="15" s="1"/>
  <c r="AG25" i="15"/>
  <c r="AH25" i="15" s="1"/>
  <c r="AG26" i="15"/>
  <c r="AH26" i="15" s="1"/>
  <c r="AG27" i="15"/>
  <c r="AH27" i="15" s="1"/>
  <c r="AG28" i="15"/>
  <c r="AH28" i="15" s="1"/>
  <c r="AG29" i="15"/>
  <c r="AH29" i="15" s="1"/>
  <c r="AG30" i="15"/>
  <c r="AH30" i="15" s="1"/>
  <c r="AG31" i="15"/>
  <c r="AH31" i="15" s="1"/>
  <c r="AG32" i="15"/>
  <c r="AH32" i="15" s="1"/>
  <c r="AG33" i="15"/>
  <c r="AH33" i="15" s="1"/>
  <c r="AG34" i="15"/>
  <c r="AH34" i="15" s="1"/>
  <c r="AG35" i="15"/>
  <c r="AH35" i="15" s="1"/>
  <c r="AG36" i="15"/>
  <c r="AH36" i="15" s="1"/>
  <c r="AG37" i="15"/>
  <c r="AH37" i="15" s="1"/>
  <c r="AH7" i="15"/>
  <c r="J10" i="11" l="1"/>
  <c r="X9" i="15"/>
  <c r="X18" i="15"/>
  <c r="X17" i="15"/>
  <c r="X15" i="15"/>
  <c r="X12" i="15"/>
  <c r="X11" i="15"/>
  <c r="X10" i="15"/>
  <c r="X8" i="15"/>
  <c r="X16" i="15"/>
  <c r="X14" i="15"/>
  <c r="X13" i="15"/>
  <c r="M8" i="15"/>
  <c r="M9" i="15"/>
  <c r="M13" i="15"/>
  <c r="M14" i="15"/>
  <c r="M15" i="15"/>
  <c r="M16" i="15"/>
  <c r="M17" i="15"/>
  <c r="M22" i="15"/>
  <c r="M23" i="15"/>
  <c r="M24" i="15"/>
  <c r="M25" i="15"/>
  <c r="M28" i="15"/>
  <c r="M31" i="15"/>
  <c r="M32" i="15"/>
  <c r="M33" i="15"/>
  <c r="M7" i="15"/>
  <c r="L8" i="15"/>
  <c r="L9" i="15"/>
  <c r="L10" i="15"/>
  <c r="L11" i="15"/>
  <c r="L12" i="15"/>
  <c r="L13" i="15"/>
  <c r="L14" i="15"/>
  <c r="L15" i="15"/>
  <c r="L16" i="15"/>
  <c r="L17" i="15"/>
  <c r="L18" i="15"/>
  <c r="L19" i="15"/>
  <c r="L20" i="15"/>
  <c r="L21" i="15"/>
  <c r="L23" i="15"/>
  <c r="L24" i="15"/>
  <c r="L25" i="15"/>
  <c r="L26" i="15"/>
  <c r="L27" i="15"/>
  <c r="L28" i="15"/>
  <c r="L29" i="15"/>
  <c r="L30" i="15"/>
  <c r="L31" i="15"/>
  <c r="L32" i="15"/>
  <c r="L33" i="15"/>
  <c r="L34" i="15"/>
  <c r="L35" i="15"/>
  <c r="L36" i="15"/>
  <c r="L7" i="15"/>
  <c r="K8" i="15"/>
  <c r="I9" i="15"/>
  <c r="K9" i="15" s="1"/>
  <c r="I10" i="15"/>
  <c r="K10" i="15" s="1"/>
  <c r="I11" i="15"/>
  <c r="K11" i="15" s="1"/>
  <c r="I12" i="15"/>
  <c r="K12" i="15" s="1"/>
  <c r="K13" i="15"/>
  <c r="I14" i="15"/>
  <c r="K14" i="15" s="1"/>
  <c r="I15" i="15"/>
  <c r="K15" i="15" s="1"/>
  <c r="I16" i="15"/>
  <c r="K16" i="15" s="1"/>
  <c r="I17" i="15"/>
  <c r="K17" i="15" s="1"/>
  <c r="I18" i="15"/>
  <c r="K18" i="15" s="1"/>
  <c r="I19" i="15"/>
  <c r="K19" i="15" s="1"/>
  <c r="I20" i="15"/>
  <c r="K20" i="15" s="1"/>
  <c r="I21" i="15"/>
  <c r="K21" i="15" s="1"/>
  <c r="I22" i="15"/>
  <c r="K22" i="15" s="1"/>
  <c r="I23" i="15"/>
  <c r="K23" i="15" s="1"/>
  <c r="I24" i="15"/>
  <c r="K24" i="15" s="1"/>
  <c r="I25" i="15"/>
  <c r="K25" i="15" s="1"/>
  <c r="I26" i="15"/>
  <c r="K26" i="15" s="1"/>
  <c r="I27" i="15"/>
  <c r="K27" i="15" s="1"/>
  <c r="I28" i="15"/>
  <c r="K28" i="15" s="1"/>
  <c r="I29" i="15"/>
  <c r="K29" i="15" s="1"/>
  <c r="I30" i="15"/>
  <c r="K30" i="15" s="1"/>
  <c r="I31" i="15"/>
  <c r="K31" i="15" s="1"/>
  <c r="I32" i="15"/>
  <c r="K32" i="15" s="1"/>
  <c r="I33" i="15"/>
  <c r="K33" i="15" s="1"/>
  <c r="I34" i="15"/>
  <c r="K34" i="15" s="1"/>
  <c r="I35" i="15"/>
  <c r="K35" i="15" s="1"/>
  <c r="I36" i="15"/>
  <c r="K36" i="15" s="1"/>
  <c r="K7" i="15"/>
  <c r="O7" i="15" s="1"/>
  <c r="H8" i="15"/>
  <c r="J8" i="15" s="1"/>
  <c r="N8" i="15" s="1"/>
  <c r="L38" i="10" s="1"/>
  <c r="H9" i="15"/>
  <c r="J9" i="15" s="1"/>
  <c r="H10" i="15"/>
  <c r="J10" i="15" s="1"/>
  <c r="H11" i="15"/>
  <c r="J11" i="15" s="1"/>
  <c r="H12" i="15"/>
  <c r="J12" i="15" s="1"/>
  <c r="H13" i="15"/>
  <c r="J13" i="15" s="1"/>
  <c r="H14" i="15"/>
  <c r="J14" i="15" s="1"/>
  <c r="H15" i="15"/>
  <c r="J15" i="15" s="1"/>
  <c r="H16" i="15"/>
  <c r="J16" i="15" s="1"/>
  <c r="H17" i="15"/>
  <c r="J17" i="15" s="1"/>
  <c r="H18" i="15"/>
  <c r="J18" i="15" s="1"/>
  <c r="H19" i="15"/>
  <c r="J19" i="15" s="1"/>
  <c r="H20" i="15"/>
  <c r="J20" i="15" s="1"/>
  <c r="H21" i="15"/>
  <c r="J21" i="15" s="1"/>
  <c r="H22" i="15"/>
  <c r="J22" i="15" s="1"/>
  <c r="H23" i="15"/>
  <c r="J23" i="15" s="1"/>
  <c r="H24" i="15"/>
  <c r="J24" i="15" s="1"/>
  <c r="H25" i="15"/>
  <c r="J25" i="15" s="1"/>
  <c r="H26" i="15"/>
  <c r="J26" i="15" s="1"/>
  <c r="H27" i="15"/>
  <c r="J27" i="15" s="1"/>
  <c r="H28" i="15"/>
  <c r="J28" i="15" s="1"/>
  <c r="H29" i="15"/>
  <c r="J29" i="15" s="1"/>
  <c r="H30" i="15"/>
  <c r="J30" i="15" s="1"/>
  <c r="H31" i="15"/>
  <c r="J31" i="15" s="1"/>
  <c r="H32" i="15"/>
  <c r="J32" i="15" s="1"/>
  <c r="H33" i="15"/>
  <c r="J33" i="15" s="1"/>
  <c r="H34" i="15"/>
  <c r="J34" i="15" s="1"/>
  <c r="H35" i="15"/>
  <c r="J35" i="15" s="1"/>
  <c r="H36" i="15"/>
  <c r="J36" i="15" s="1"/>
  <c r="J7" i="15"/>
  <c r="N7" i="15" s="1"/>
  <c r="Y16" i="15" l="1"/>
  <c r="Z16" i="15" s="1"/>
  <c r="N36" i="15"/>
  <c r="L66" i="10" s="1"/>
  <c r="N12" i="15"/>
  <c r="AF15" i="15"/>
  <c r="AI15" i="15" s="1"/>
  <c r="AF23" i="15"/>
  <c r="AI23" i="15" s="1"/>
  <c r="AF31" i="15"/>
  <c r="AI31" i="15" s="1"/>
  <c r="AF26" i="15"/>
  <c r="AI26" i="15" s="1"/>
  <c r="AF27" i="15"/>
  <c r="AI27" i="15" s="1"/>
  <c r="AF20" i="15"/>
  <c r="AI20" i="15" s="1"/>
  <c r="AF21" i="15"/>
  <c r="AI21" i="15" s="1"/>
  <c r="AF37" i="15"/>
  <c r="AI37" i="15" s="1"/>
  <c r="AF30" i="15"/>
  <c r="AI30" i="15" s="1"/>
  <c r="AF8" i="15"/>
  <c r="AI8" i="15" s="1"/>
  <c r="AF16" i="15"/>
  <c r="AI16" i="15" s="1"/>
  <c r="AF24" i="15"/>
  <c r="AI24" i="15" s="1"/>
  <c r="AF32" i="15"/>
  <c r="AI32" i="15" s="1"/>
  <c r="AF10" i="15"/>
  <c r="AI10" i="15" s="1"/>
  <c r="AF11" i="15"/>
  <c r="AI11" i="15" s="1"/>
  <c r="AF36" i="15"/>
  <c r="AI36" i="15" s="1"/>
  <c r="AF13" i="15"/>
  <c r="AI13" i="15" s="1"/>
  <c r="AF14" i="15"/>
  <c r="AI14" i="15" s="1"/>
  <c r="AF9" i="15"/>
  <c r="AI9" i="15" s="1"/>
  <c r="AF17" i="15"/>
  <c r="AI17" i="15" s="1"/>
  <c r="AF25" i="15"/>
  <c r="AI25" i="15" s="1"/>
  <c r="AF33" i="15"/>
  <c r="AI33" i="15" s="1"/>
  <c r="AF18" i="15"/>
  <c r="AI18" i="15" s="1"/>
  <c r="AF34" i="15"/>
  <c r="AI34" i="15" s="1"/>
  <c r="AF19" i="15"/>
  <c r="AI19" i="15" s="1"/>
  <c r="AF35" i="15"/>
  <c r="AI35" i="15" s="1"/>
  <c r="AF12" i="15"/>
  <c r="AI12" i="15" s="1"/>
  <c r="AF28" i="15"/>
  <c r="AI28" i="15" s="1"/>
  <c r="AF29" i="15"/>
  <c r="AI29" i="15" s="1"/>
  <c r="AF22" i="15"/>
  <c r="AI22" i="15" s="1"/>
  <c r="AI7" i="15"/>
  <c r="N28" i="15"/>
  <c r="L58" i="10" s="1"/>
  <c r="N19" i="15"/>
  <c r="N34" i="15"/>
  <c r="L64" i="10" s="1"/>
  <c r="N26" i="15"/>
  <c r="N18" i="15"/>
  <c r="L48" i="10" s="1"/>
  <c r="N10" i="15"/>
  <c r="O33" i="15"/>
  <c r="O25" i="15"/>
  <c r="O17" i="15"/>
  <c r="O9" i="15"/>
  <c r="N33" i="15"/>
  <c r="L63" i="10" s="1"/>
  <c r="N25" i="15"/>
  <c r="L55" i="10" s="1"/>
  <c r="N17" i="15"/>
  <c r="L47" i="10" s="1"/>
  <c r="N9" i="15"/>
  <c r="L39" i="10" s="1"/>
  <c r="O32" i="15"/>
  <c r="O24" i="15"/>
  <c r="O16" i="15"/>
  <c r="O8" i="15"/>
  <c r="W38" i="10" s="1"/>
  <c r="Y18" i="15"/>
  <c r="O31" i="15"/>
  <c r="Y15" i="15"/>
  <c r="Y17" i="15"/>
  <c r="Y12" i="15"/>
  <c r="Y13" i="15"/>
  <c r="Y9" i="15"/>
  <c r="Y14" i="15"/>
  <c r="Y8" i="15"/>
  <c r="Y11" i="15"/>
  <c r="Y10" i="15"/>
  <c r="O30" i="15"/>
  <c r="W60" i="10" s="1"/>
  <c r="N32" i="15"/>
  <c r="L62" i="10" s="1"/>
  <c r="O29" i="15"/>
  <c r="O21" i="15"/>
  <c r="O15" i="15"/>
  <c r="W45" i="10" s="1"/>
  <c r="N24" i="15"/>
  <c r="L54" i="10" s="1"/>
  <c r="P40" i="15"/>
  <c r="O23" i="15"/>
  <c r="W53" i="10" s="1"/>
  <c r="N16" i="15"/>
  <c r="L46" i="10" s="1"/>
  <c r="N20" i="15"/>
  <c r="M30" i="15"/>
  <c r="W37" i="10"/>
  <c r="N35" i="15"/>
  <c r="N11" i="15"/>
  <c r="L41" i="10" s="1"/>
  <c r="M21" i="15"/>
  <c r="O13" i="15"/>
  <c r="O14" i="15"/>
  <c r="L37" i="10"/>
  <c r="O36" i="15"/>
  <c r="W66" i="10" s="1"/>
  <c r="O20" i="15"/>
  <c r="W50" i="10" s="1"/>
  <c r="O12" i="15"/>
  <c r="W42" i="10" s="1"/>
  <c r="M29" i="15"/>
  <c r="N27" i="15"/>
  <c r="L57" i="10" s="1"/>
  <c r="O22" i="15"/>
  <c r="O35" i="15"/>
  <c r="O27" i="15"/>
  <c r="O19" i="15"/>
  <c r="W49" i="10" s="1"/>
  <c r="O11" i="15"/>
  <c r="O34" i="15"/>
  <c r="W64" i="10" s="1"/>
  <c r="O26" i="15"/>
  <c r="W56" i="10" s="1"/>
  <c r="O18" i="15"/>
  <c r="W48" i="10" s="1"/>
  <c r="O10" i="15"/>
  <c r="N22" i="15"/>
  <c r="L52" i="10" s="1"/>
  <c r="M12" i="15"/>
  <c r="O28" i="15"/>
  <c r="W58" i="10" s="1"/>
  <c r="M36" i="15"/>
  <c r="M35" i="15"/>
  <c r="M27" i="15"/>
  <c r="M19" i="15"/>
  <c r="M11" i="15"/>
  <c r="M20" i="15"/>
  <c r="M34" i="15"/>
  <c r="M26" i="15"/>
  <c r="M18" i="15"/>
  <c r="M10" i="15"/>
  <c r="N14" i="15"/>
  <c r="L44" i="10" s="1"/>
  <c r="N31" i="15"/>
  <c r="L61" i="10" s="1"/>
  <c r="N23" i="15"/>
  <c r="L53" i="10" s="1"/>
  <c r="N15" i="15"/>
  <c r="L45" i="10" s="1"/>
  <c r="N30" i="15"/>
  <c r="L60" i="10" s="1"/>
  <c r="L22" i="15"/>
  <c r="N29" i="15"/>
  <c r="N21" i="15"/>
  <c r="L51" i="10" s="1"/>
  <c r="N13" i="15"/>
  <c r="L43" i="10" s="1"/>
  <c r="AX68" i="10"/>
  <c r="AR38" i="10" l="1"/>
  <c r="AR39" i="10"/>
  <c r="AR47" i="10"/>
  <c r="AR55" i="10"/>
  <c r="AR63" i="10"/>
  <c r="AD41" i="10"/>
  <c r="AD49" i="10"/>
  <c r="AD57" i="10"/>
  <c r="AD65" i="10"/>
  <c r="AN39" i="10"/>
  <c r="AL44" i="10"/>
  <c r="AM46" i="10"/>
  <c r="AN48" i="10"/>
  <c r="AL51" i="10"/>
  <c r="AM53" i="10"/>
  <c r="AN55" i="10"/>
  <c r="AL60" i="10"/>
  <c r="AM62" i="10"/>
  <c r="AL65" i="10"/>
  <c r="O45" i="10"/>
  <c r="O53" i="10"/>
  <c r="O61" i="10"/>
  <c r="Z39" i="10"/>
  <c r="Z47" i="10"/>
  <c r="Z55" i="10"/>
  <c r="Z63" i="10"/>
  <c r="AD66" i="10"/>
  <c r="AM44" i="10"/>
  <c r="AL49" i="10"/>
  <c r="AN53" i="10"/>
  <c r="AM60" i="10"/>
  <c r="AM65" i="10"/>
  <c r="O46" i="10"/>
  <c r="Z40" i="10"/>
  <c r="AR40" i="10"/>
  <c r="AR48" i="10"/>
  <c r="AR56" i="10"/>
  <c r="AR64" i="10"/>
  <c r="AD42" i="10"/>
  <c r="AD50" i="10"/>
  <c r="AD58" i="10"/>
  <c r="AL42" i="10"/>
  <c r="AN46" i="10"/>
  <c r="AM51" i="10"/>
  <c r="AL58" i="10"/>
  <c r="AN62" i="10"/>
  <c r="O38" i="10"/>
  <c r="O54" i="10"/>
  <c r="AR41" i="10"/>
  <c r="AR49" i="10"/>
  <c r="AR57" i="10"/>
  <c r="AR65" i="10"/>
  <c r="AD43" i="10"/>
  <c r="AD51" i="10"/>
  <c r="AD59" i="10"/>
  <c r="AL40" i="10"/>
  <c r="AM42" i="10"/>
  <c r="AN44" i="10"/>
  <c r="AL47" i="10"/>
  <c r="AM49" i="10"/>
  <c r="AN51" i="10"/>
  <c r="AL56" i="10"/>
  <c r="AM58" i="10"/>
  <c r="AN60" i="10"/>
  <c r="AL63" i="10"/>
  <c r="AN65" i="10"/>
  <c r="O39" i="10"/>
  <c r="O47" i="10"/>
  <c r="O55" i="10"/>
  <c r="O63" i="10"/>
  <c r="Z41" i="10"/>
  <c r="Z49" i="10"/>
  <c r="Z57" i="10"/>
  <c r="Z65" i="10"/>
  <c r="O64" i="10"/>
  <c r="Z50" i="10"/>
  <c r="Z58" i="10"/>
  <c r="AM54" i="10"/>
  <c r="AM61" i="10"/>
  <c r="O41" i="10"/>
  <c r="O65" i="10"/>
  <c r="Z59" i="10"/>
  <c r="O58" i="10"/>
  <c r="Z52" i="10"/>
  <c r="AD56" i="10"/>
  <c r="AN50" i="10"/>
  <c r="AN64" i="10"/>
  <c r="O60" i="10"/>
  <c r="O62" i="10"/>
  <c r="AR42" i="10"/>
  <c r="AR50" i="10"/>
  <c r="AR58" i="10"/>
  <c r="AR66" i="10"/>
  <c r="AD44" i="10"/>
  <c r="AD52" i="10"/>
  <c r="AD60" i="10"/>
  <c r="AL38" i="10"/>
  <c r="AM40" i="10"/>
  <c r="AN42" i="10"/>
  <c r="AL45" i="10"/>
  <c r="AM47" i="10"/>
  <c r="AN49" i="10"/>
  <c r="AL54" i="10"/>
  <c r="AM56" i="10"/>
  <c r="AN58" i="10"/>
  <c r="AL61" i="10"/>
  <c r="AM63" i="10"/>
  <c r="AL66" i="10"/>
  <c r="O40" i="10"/>
  <c r="O48" i="10"/>
  <c r="O56" i="10"/>
  <c r="Z42" i="10"/>
  <c r="Z66" i="10"/>
  <c r="AN56" i="10"/>
  <c r="AN63" i="10"/>
  <c r="O49" i="10"/>
  <c r="Z43" i="10"/>
  <c r="O42" i="10"/>
  <c r="Z44" i="10"/>
  <c r="AN41" i="10"/>
  <c r="AM55" i="10"/>
  <c r="O44" i="10"/>
  <c r="Z54" i="10"/>
  <c r="Z64" i="10"/>
  <c r="AR43" i="10"/>
  <c r="AR51" i="10"/>
  <c r="AR59" i="10"/>
  <c r="AD45" i="10"/>
  <c r="AD53" i="10"/>
  <c r="AD61" i="10"/>
  <c r="AM38" i="10"/>
  <c r="AN40" i="10"/>
  <c r="AL43" i="10"/>
  <c r="AM45" i="10"/>
  <c r="AN47" i="10"/>
  <c r="AL52" i="10"/>
  <c r="AL59" i="10"/>
  <c r="AM66" i="10"/>
  <c r="O57" i="10"/>
  <c r="Z51" i="10"/>
  <c r="O66" i="10"/>
  <c r="AM39" i="10"/>
  <c r="AL53" i="10"/>
  <c r="Z46" i="10"/>
  <c r="Z56" i="10"/>
  <c r="AR44" i="10"/>
  <c r="AR52" i="10"/>
  <c r="AR60" i="10"/>
  <c r="AD38" i="10"/>
  <c r="AD46" i="10"/>
  <c r="AD54" i="10"/>
  <c r="AD62" i="10"/>
  <c r="AN38" i="10"/>
  <c r="AL41" i="10"/>
  <c r="AM43" i="10"/>
  <c r="AN45" i="10"/>
  <c r="AL50" i="10"/>
  <c r="AM52" i="10"/>
  <c r="AN54" i="10"/>
  <c r="AL57" i="10"/>
  <c r="AM59" i="10"/>
  <c r="AN61" i="10"/>
  <c r="AL64" i="10"/>
  <c r="AN66" i="10"/>
  <c r="O50" i="10"/>
  <c r="Z60" i="10"/>
  <c r="AL46" i="10"/>
  <c r="AN57" i="10"/>
  <c r="O52" i="10"/>
  <c r="Z62" i="10"/>
  <c r="AR45" i="10"/>
  <c r="AR53" i="10"/>
  <c r="AR61" i="10"/>
  <c r="AD39" i="10"/>
  <c r="AD47" i="10"/>
  <c r="AD55" i="10"/>
  <c r="AD63" i="10"/>
  <c r="AL39" i="10"/>
  <c r="AM41" i="10"/>
  <c r="AN43" i="10"/>
  <c r="AL48" i="10"/>
  <c r="AM50" i="10"/>
  <c r="AN52" i="10"/>
  <c r="AL55" i="10"/>
  <c r="AM57" i="10"/>
  <c r="AN59" i="10"/>
  <c r="AM64" i="10"/>
  <c r="O43" i="10"/>
  <c r="O51" i="10"/>
  <c r="O59" i="10"/>
  <c r="Z45" i="10"/>
  <c r="Z53" i="10"/>
  <c r="Z61" i="10"/>
  <c r="AR46" i="10"/>
  <c r="AR54" i="10"/>
  <c r="AR62" i="10"/>
  <c r="AD40" i="10"/>
  <c r="AD48" i="10"/>
  <c r="AD64" i="10"/>
  <c r="AM48" i="10"/>
  <c r="AL62" i="10"/>
  <c r="Z38" i="10"/>
  <c r="Z48" i="10"/>
  <c r="W39" i="10"/>
  <c r="W43" i="10"/>
  <c r="L59" i="10"/>
  <c r="W61" i="10"/>
  <c r="L56" i="10"/>
  <c r="W41" i="10"/>
  <c r="L65" i="10"/>
  <c r="L49" i="10"/>
  <c r="W47" i="10"/>
  <c r="L42" i="10"/>
  <c r="W65" i="10"/>
  <c r="L50" i="10"/>
  <c r="W59" i="10"/>
  <c r="W54" i="10"/>
  <c r="W55" i="10"/>
  <c r="W57" i="10"/>
  <c r="W51" i="10"/>
  <c r="W46" i="10"/>
  <c r="W40" i="10"/>
  <c r="W52" i="10"/>
  <c r="W44" i="10"/>
  <c r="W62" i="10"/>
  <c r="W63" i="10"/>
  <c r="L40" i="10"/>
  <c r="AB16" i="15"/>
  <c r="AI42" i="10"/>
  <c r="AI50" i="10"/>
  <c r="AI58" i="10"/>
  <c r="AI66" i="10"/>
  <c r="AI43" i="10"/>
  <c r="AI44" i="10"/>
  <c r="AI52" i="10"/>
  <c r="AI60" i="10"/>
  <c r="AI37" i="10"/>
  <c r="Z37" i="10"/>
  <c r="AI45" i="10"/>
  <c r="AI53" i="10"/>
  <c r="AI61" i="10"/>
  <c r="AI55" i="10"/>
  <c r="AI38" i="10"/>
  <c r="AI46" i="10"/>
  <c r="AI54" i="10"/>
  <c r="AI62" i="10"/>
  <c r="AI47" i="10"/>
  <c r="AI63" i="10"/>
  <c r="O37" i="10"/>
  <c r="AI39" i="10"/>
  <c r="AI59" i="10"/>
  <c r="AI40" i="10"/>
  <c r="AI48" i="10"/>
  <c r="AI56" i="10"/>
  <c r="AI64" i="10"/>
  <c r="AI49" i="10"/>
  <c r="AI57" i="10"/>
  <c r="AI65" i="10"/>
  <c r="AI41" i="10"/>
  <c r="AI51" i="10"/>
  <c r="AR37" i="10"/>
  <c r="Z7" i="15"/>
  <c r="AB7" i="15" s="1"/>
  <c r="AE38" i="10"/>
  <c r="AE46" i="10"/>
  <c r="AE54" i="10"/>
  <c r="AE62" i="10"/>
  <c r="AE49" i="10"/>
  <c r="AE50" i="10"/>
  <c r="AE37" i="10"/>
  <c r="AE39" i="10"/>
  <c r="AE47" i="10"/>
  <c r="AE55" i="10"/>
  <c r="AE63" i="10"/>
  <c r="AE41" i="10"/>
  <c r="AE65" i="10"/>
  <c r="AE66" i="10"/>
  <c r="AE51" i="10"/>
  <c r="AE52" i="10"/>
  <c r="AE40" i="10"/>
  <c r="AE48" i="10"/>
  <c r="AE56" i="10"/>
  <c r="AE64" i="10"/>
  <c r="AE44" i="10"/>
  <c r="AE42" i="10"/>
  <c r="AE43" i="10"/>
  <c r="AE59" i="10"/>
  <c r="AE60" i="10"/>
  <c r="AE53" i="10"/>
  <c r="AE61" i="10"/>
  <c r="AE57" i="10"/>
  <c r="AE58" i="10"/>
  <c r="AD37" i="10"/>
  <c r="Z13" i="15"/>
  <c r="AB13" i="15" s="1"/>
  <c r="Z12" i="15"/>
  <c r="AB12" i="15" s="1"/>
  <c r="Z15" i="15"/>
  <c r="AB15" i="15" s="1"/>
  <c r="Z11" i="15"/>
  <c r="AB11" i="15" s="1"/>
  <c r="Z8" i="15"/>
  <c r="AB8" i="15" s="1"/>
  <c r="Z18" i="15"/>
  <c r="AB18" i="15" s="1"/>
  <c r="Z14" i="15"/>
  <c r="AB14" i="15" s="1"/>
  <c r="Z10" i="15"/>
  <c r="AB10" i="15" s="1"/>
  <c r="Z17" i="15"/>
  <c r="AB17" i="15" s="1"/>
  <c r="Z9" i="15"/>
  <c r="AB9" i="15" s="1"/>
  <c r="O40" i="15"/>
  <c r="N40" i="15"/>
  <c r="H36" i="11"/>
  <c r="H33" i="11"/>
  <c r="H34" i="11"/>
  <c r="H20" i="11"/>
  <c r="AF68" i="10"/>
  <c r="I33" i="11"/>
  <c r="AO46" i="10" l="1"/>
  <c r="AO53" i="10"/>
  <c r="AO62" i="10"/>
  <c r="AO48" i="10"/>
  <c r="AO51" i="10"/>
  <c r="AO55" i="10"/>
  <c r="AO50" i="10"/>
  <c r="AO44" i="10"/>
  <c r="AO54" i="10"/>
  <c r="AO60" i="10"/>
  <c r="AO56" i="10"/>
  <c r="AO64" i="10"/>
  <c r="AO43" i="10"/>
  <c r="AO39" i="10"/>
  <c r="AO41" i="10"/>
  <c r="AO66" i="10"/>
  <c r="AO45" i="10"/>
  <c r="AO58" i="10"/>
  <c r="AO49" i="10"/>
  <c r="AO63" i="10"/>
  <c r="AO47" i="10"/>
  <c r="AO61" i="10"/>
  <c r="AO65" i="10"/>
  <c r="AO57" i="10"/>
  <c r="AO59" i="10"/>
  <c r="AO52" i="10"/>
  <c r="AO38" i="10"/>
  <c r="AO42" i="10"/>
  <c r="AO40" i="10"/>
  <c r="K15" i="11"/>
  <c r="AE68" i="10"/>
  <c r="AD68" i="10"/>
  <c r="I36" i="11"/>
  <c r="I34" i="11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56" i="10"/>
  <c r="G57" i="10"/>
  <c r="G58" i="10"/>
  <c r="G59" i="10"/>
  <c r="G60" i="10"/>
  <c r="G61" i="10"/>
  <c r="G62" i="10"/>
  <c r="G63" i="10"/>
  <c r="G64" i="10"/>
  <c r="G65" i="10"/>
  <c r="AW68" i="10" l="1"/>
  <c r="H23" i="11" s="1"/>
  <c r="N22" i="11" l="1"/>
  <c r="BX27" i="12"/>
  <c r="BY27" i="12" s="1"/>
  <c r="BW27" i="12"/>
  <c r="BS27" i="12"/>
  <c r="BU27" i="12" s="1"/>
  <c r="BR27" i="12"/>
  <c r="BN27" i="12"/>
  <c r="BP27" i="12" s="1"/>
  <c r="BM27" i="12"/>
  <c r="BJ27" i="12"/>
  <c r="BK27" i="12" s="1"/>
  <c r="BI27" i="12"/>
  <c r="BF27" i="12"/>
  <c r="BH27" i="12" s="1"/>
  <c r="BE27" i="12"/>
  <c r="BB27" i="12"/>
  <c r="BC27" i="12" s="1"/>
  <c r="BA27" i="12"/>
  <c r="AX27" i="12"/>
  <c r="AZ27" i="12" s="1"/>
  <c r="AW27" i="12"/>
  <c r="AS27" i="12"/>
  <c r="AU27" i="12" s="1"/>
  <c r="AR27" i="12"/>
  <c r="AO27" i="12"/>
  <c r="AQ27" i="12" s="1"/>
  <c r="AN27" i="12"/>
  <c r="AK27" i="12"/>
  <c r="AM27" i="12" s="1"/>
  <c r="AJ27" i="12"/>
  <c r="AG27" i="12"/>
  <c r="AI27" i="12" s="1"/>
  <c r="AF27" i="12"/>
  <c r="AC27" i="12"/>
  <c r="AD27" i="12" s="1"/>
  <c r="AB27" i="12"/>
  <c r="Y27" i="12"/>
  <c r="AA27" i="12" s="1"/>
  <c r="X27" i="12"/>
  <c r="V27" i="12"/>
  <c r="U27" i="12"/>
  <c r="T27" i="12"/>
  <c r="R27" i="12"/>
  <c r="Q27" i="12"/>
  <c r="P27" i="12"/>
  <c r="L27" i="12"/>
  <c r="N27" i="12" s="1"/>
  <c r="K27" i="12"/>
  <c r="H27" i="12"/>
  <c r="G27" i="12"/>
  <c r="J27" i="12" s="1"/>
  <c r="D27" i="12"/>
  <c r="C27" i="12"/>
  <c r="E27" i="12" s="1"/>
  <c r="B27" i="12"/>
  <c r="BX26" i="12"/>
  <c r="BY26" i="12" s="1"/>
  <c r="BW26" i="12"/>
  <c r="BS26" i="12"/>
  <c r="BU26" i="12" s="1"/>
  <c r="BR26" i="12"/>
  <c r="BN26" i="12"/>
  <c r="BP26" i="12" s="1"/>
  <c r="BM26" i="12"/>
  <c r="BJ26" i="12"/>
  <c r="BL26" i="12" s="1"/>
  <c r="BI26" i="12"/>
  <c r="BF26" i="12"/>
  <c r="BH26" i="12" s="1"/>
  <c r="BE26" i="12"/>
  <c r="BB26" i="12"/>
  <c r="BD26" i="12" s="1"/>
  <c r="BA26" i="12"/>
  <c r="AX26" i="12"/>
  <c r="AZ26" i="12" s="1"/>
  <c r="AW26" i="12"/>
  <c r="AS26" i="12"/>
  <c r="AT26" i="12" s="1"/>
  <c r="AR26" i="12"/>
  <c r="AO26" i="12"/>
  <c r="AQ26" i="12" s="1"/>
  <c r="AN26" i="12"/>
  <c r="AK26" i="12"/>
  <c r="AM26" i="12" s="1"/>
  <c r="AJ26" i="12"/>
  <c r="AG26" i="12"/>
  <c r="AI26" i="12" s="1"/>
  <c r="AF26" i="12"/>
  <c r="AC26" i="12"/>
  <c r="AE26" i="12" s="1"/>
  <c r="AB26" i="12"/>
  <c r="Y26" i="12"/>
  <c r="AA26" i="12" s="1"/>
  <c r="X26" i="12"/>
  <c r="V26" i="12"/>
  <c r="U26" i="12"/>
  <c r="T26" i="12"/>
  <c r="R26" i="12"/>
  <c r="Q26" i="12"/>
  <c r="P26" i="12"/>
  <c r="L26" i="12"/>
  <c r="N26" i="12" s="1"/>
  <c r="K26" i="12"/>
  <c r="H26" i="12"/>
  <c r="G26" i="12"/>
  <c r="J26" i="12" s="1"/>
  <c r="D26" i="12"/>
  <c r="C26" i="12"/>
  <c r="B26" i="12"/>
  <c r="BX25" i="12"/>
  <c r="BY25" i="12" s="1"/>
  <c r="BW25" i="12"/>
  <c r="BS25" i="12"/>
  <c r="BU25" i="12" s="1"/>
  <c r="BR25" i="12"/>
  <c r="BN25" i="12"/>
  <c r="BP25" i="12" s="1"/>
  <c r="BM25" i="12"/>
  <c r="BJ25" i="12"/>
  <c r="BL25" i="12" s="1"/>
  <c r="BI25" i="12"/>
  <c r="BF25" i="12"/>
  <c r="BH25" i="12" s="1"/>
  <c r="BE25" i="12"/>
  <c r="BB25" i="12"/>
  <c r="BD25" i="12" s="1"/>
  <c r="BA25" i="12"/>
  <c r="AX25" i="12"/>
  <c r="AZ25" i="12" s="1"/>
  <c r="AW25" i="12"/>
  <c r="AS25" i="12"/>
  <c r="AU25" i="12" s="1"/>
  <c r="AR25" i="12"/>
  <c r="AO25" i="12"/>
  <c r="AQ25" i="12" s="1"/>
  <c r="AN25" i="12"/>
  <c r="AK25" i="12"/>
  <c r="AM25" i="12" s="1"/>
  <c r="AJ25" i="12"/>
  <c r="AG25" i="12"/>
  <c r="AI25" i="12" s="1"/>
  <c r="AF25" i="12"/>
  <c r="AC25" i="12"/>
  <c r="AE25" i="12" s="1"/>
  <c r="AB25" i="12"/>
  <c r="Y25" i="12"/>
  <c r="AA25" i="12" s="1"/>
  <c r="X25" i="12"/>
  <c r="V25" i="12"/>
  <c r="U25" i="12"/>
  <c r="T25" i="12"/>
  <c r="R25" i="12"/>
  <c r="Q25" i="12"/>
  <c r="P25" i="12"/>
  <c r="L25" i="12"/>
  <c r="N25" i="12" s="1"/>
  <c r="K25" i="12"/>
  <c r="H25" i="12"/>
  <c r="G25" i="12"/>
  <c r="J25" i="12" s="1"/>
  <c r="D25" i="12"/>
  <c r="C25" i="12"/>
  <c r="F25" i="12" s="1"/>
  <c r="B25" i="12"/>
  <c r="BX24" i="12"/>
  <c r="BY24" i="12" s="1"/>
  <c r="BW24" i="12"/>
  <c r="BS24" i="12"/>
  <c r="BU24" i="12" s="1"/>
  <c r="BR24" i="12"/>
  <c r="BN24" i="12"/>
  <c r="BP24" i="12" s="1"/>
  <c r="BM24" i="12"/>
  <c r="BJ24" i="12"/>
  <c r="BL24" i="12" s="1"/>
  <c r="BI24" i="12"/>
  <c r="BF24" i="12"/>
  <c r="BH24" i="12" s="1"/>
  <c r="BE24" i="12"/>
  <c r="BB24" i="12"/>
  <c r="BD24" i="12" s="1"/>
  <c r="BA24" i="12"/>
  <c r="AX24" i="12"/>
  <c r="AZ24" i="12" s="1"/>
  <c r="AW24" i="12"/>
  <c r="AS24" i="12"/>
  <c r="AU24" i="12" s="1"/>
  <c r="AR24" i="12"/>
  <c r="AO24" i="12"/>
  <c r="AQ24" i="12" s="1"/>
  <c r="AN24" i="12"/>
  <c r="AK24" i="12"/>
  <c r="AM24" i="12" s="1"/>
  <c r="AJ24" i="12"/>
  <c r="AG24" i="12"/>
  <c r="AI24" i="12" s="1"/>
  <c r="AF24" i="12"/>
  <c r="AC24" i="12"/>
  <c r="AE24" i="12" s="1"/>
  <c r="AB24" i="12"/>
  <c r="Y24" i="12"/>
  <c r="AA24" i="12" s="1"/>
  <c r="X24" i="12"/>
  <c r="V24" i="12"/>
  <c r="U24" i="12"/>
  <c r="T24" i="12"/>
  <c r="R24" i="12"/>
  <c r="Q24" i="12"/>
  <c r="P24" i="12"/>
  <c r="L24" i="12"/>
  <c r="N24" i="12" s="1"/>
  <c r="K24" i="12"/>
  <c r="H24" i="12"/>
  <c r="G24" i="12"/>
  <c r="D24" i="12"/>
  <c r="C24" i="12"/>
  <c r="F24" i="12" s="1"/>
  <c r="B24" i="12"/>
  <c r="BX23" i="12"/>
  <c r="BY23" i="12" s="1"/>
  <c r="BW23" i="12"/>
  <c r="BS23" i="12"/>
  <c r="BU23" i="12" s="1"/>
  <c r="BR23" i="12"/>
  <c r="BN23" i="12"/>
  <c r="BP23" i="12" s="1"/>
  <c r="BM23" i="12"/>
  <c r="BJ23" i="12"/>
  <c r="BL23" i="12" s="1"/>
  <c r="BI23" i="12"/>
  <c r="BF23" i="12"/>
  <c r="BH23" i="12" s="1"/>
  <c r="BE23" i="12"/>
  <c r="BB23" i="12"/>
  <c r="BD23" i="12" s="1"/>
  <c r="BA23" i="12"/>
  <c r="AX23" i="12"/>
  <c r="AZ23" i="12" s="1"/>
  <c r="AW23" i="12"/>
  <c r="AS23" i="12"/>
  <c r="AU23" i="12" s="1"/>
  <c r="AR23" i="12"/>
  <c r="AO23" i="12"/>
  <c r="AQ23" i="12" s="1"/>
  <c r="AN23" i="12"/>
  <c r="AK23" i="12"/>
  <c r="AM23" i="12" s="1"/>
  <c r="AJ23" i="12"/>
  <c r="AG23" i="12"/>
  <c r="AI23" i="12" s="1"/>
  <c r="AF23" i="12"/>
  <c r="AC23" i="12"/>
  <c r="AE23" i="12" s="1"/>
  <c r="AB23" i="12"/>
  <c r="Y23" i="12"/>
  <c r="AA23" i="12" s="1"/>
  <c r="X23" i="12"/>
  <c r="V23" i="12"/>
  <c r="U23" i="12"/>
  <c r="T23" i="12"/>
  <c r="R23" i="12"/>
  <c r="Q23" i="12"/>
  <c r="P23" i="12"/>
  <c r="L23" i="12"/>
  <c r="M23" i="12" s="1"/>
  <c r="K23" i="12"/>
  <c r="H23" i="12"/>
  <c r="G23" i="12"/>
  <c r="J23" i="12" s="1"/>
  <c r="D23" i="12"/>
  <c r="C23" i="12"/>
  <c r="E23" i="12" s="1"/>
  <c r="B23" i="12"/>
  <c r="BX22" i="12"/>
  <c r="BY22" i="12" s="1"/>
  <c r="BW22" i="12"/>
  <c r="BS22" i="12"/>
  <c r="BU22" i="12" s="1"/>
  <c r="BR22" i="12"/>
  <c r="BN22" i="12"/>
  <c r="BP22" i="12" s="1"/>
  <c r="BM22" i="12"/>
  <c r="BJ22" i="12"/>
  <c r="BL22" i="12" s="1"/>
  <c r="BI22" i="12"/>
  <c r="BF22" i="12"/>
  <c r="BH22" i="12" s="1"/>
  <c r="BE22" i="12"/>
  <c r="BB22" i="12"/>
  <c r="BD22" i="12" s="1"/>
  <c r="BA22" i="12"/>
  <c r="AX22" i="12"/>
  <c r="AZ22" i="12" s="1"/>
  <c r="AW22" i="12"/>
  <c r="AS22" i="12"/>
  <c r="AU22" i="12" s="1"/>
  <c r="AR22" i="12"/>
  <c r="AO22" i="12"/>
  <c r="AQ22" i="12" s="1"/>
  <c r="AN22" i="12"/>
  <c r="AK22" i="12"/>
  <c r="AM22" i="12" s="1"/>
  <c r="AJ22" i="12"/>
  <c r="AG22" i="12"/>
  <c r="AI22" i="12" s="1"/>
  <c r="AF22" i="12"/>
  <c r="AC22" i="12"/>
  <c r="AE22" i="12" s="1"/>
  <c r="AB22" i="12"/>
  <c r="Y22" i="12"/>
  <c r="AA22" i="12" s="1"/>
  <c r="X22" i="12"/>
  <c r="V22" i="12"/>
  <c r="U22" i="12"/>
  <c r="T22" i="12"/>
  <c r="R22" i="12"/>
  <c r="Q22" i="12"/>
  <c r="P22" i="12"/>
  <c r="L22" i="12"/>
  <c r="K22" i="12"/>
  <c r="H22" i="12"/>
  <c r="G22" i="12"/>
  <c r="J22" i="12" s="1"/>
  <c r="D22" i="12"/>
  <c r="C22" i="12"/>
  <c r="B22" i="12"/>
  <c r="BX21" i="12"/>
  <c r="BY21" i="12" s="1"/>
  <c r="BW21" i="12"/>
  <c r="BS21" i="12"/>
  <c r="BR21" i="12"/>
  <c r="BN21" i="12"/>
  <c r="BP21" i="12" s="1"/>
  <c r="BM21" i="12"/>
  <c r="BJ21" i="12"/>
  <c r="BI21" i="12"/>
  <c r="BF21" i="12"/>
  <c r="BH21" i="12" s="1"/>
  <c r="BE21" i="12"/>
  <c r="BB21" i="12"/>
  <c r="BA21" i="12"/>
  <c r="AX21" i="12"/>
  <c r="AZ21" i="12" s="1"/>
  <c r="AW21" i="12"/>
  <c r="AS21" i="12"/>
  <c r="AR21" i="12"/>
  <c r="AO21" i="12"/>
  <c r="AQ21" i="12" s="1"/>
  <c r="AN21" i="12"/>
  <c r="AK21" i="12"/>
  <c r="AJ21" i="12"/>
  <c r="AG21" i="12"/>
  <c r="AI21" i="12" s="1"/>
  <c r="AF21" i="12"/>
  <c r="AC21" i="12"/>
  <c r="AB21" i="12"/>
  <c r="Y21" i="12"/>
  <c r="AA21" i="12" s="1"/>
  <c r="X21" i="12"/>
  <c r="V21" i="12"/>
  <c r="U21" i="12"/>
  <c r="T21" i="12"/>
  <c r="R21" i="12"/>
  <c r="Q21" i="12"/>
  <c r="P21" i="12"/>
  <c r="L21" i="12"/>
  <c r="M21" i="12" s="1"/>
  <c r="K21" i="12"/>
  <c r="H21" i="12"/>
  <c r="G21" i="12"/>
  <c r="J21" i="12" s="1"/>
  <c r="D21" i="12"/>
  <c r="C21" i="12"/>
  <c r="F21" i="12" s="1"/>
  <c r="B21" i="12"/>
  <c r="BX20" i="12"/>
  <c r="BY20" i="12" s="1"/>
  <c r="BW20" i="12"/>
  <c r="BS20" i="12"/>
  <c r="BU20" i="12" s="1"/>
  <c r="BR20" i="12"/>
  <c r="BN20" i="12"/>
  <c r="BO20" i="12" s="1"/>
  <c r="BM20" i="12"/>
  <c r="BJ20" i="12"/>
  <c r="BL20" i="12" s="1"/>
  <c r="BI20" i="12"/>
  <c r="BF20" i="12"/>
  <c r="BG20" i="12" s="1"/>
  <c r="BE20" i="12"/>
  <c r="BB20" i="12"/>
  <c r="BD20" i="12" s="1"/>
  <c r="BA20" i="12"/>
  <c r="AX20" i="12"/>
  <c r="AY20" i="12" s="1"/>
  <c r="AW20" i="12"/>
  <c r="AS20" i="12"/>
  <c r="AU20" i="12" s="1"/>
  <c r="AR20" i="12"/>
  <c r="AO20" i="12"/>
  <c r="AP20" i="12" s="1"/>
  <c r="AN20" i="12"/>
  <c r="AK20" i="12"/>
  <c r="AM20" i="12" s="1"/>
  <c r="AJ20" i="12"/>
  <c r="AG20" i="12"/>
  <c r="AH20" i="12" s="1"/>
  <c r="AF20" i="12"/>
  <c r="AC20" i="12"/>
  <c r="AE20" i="12" s="1"/>
  <c r="AB20" i="12"/>
  <c r="Y20" i="12"/>
  <c r="Z20" i="12" s="1"/>
  <c r="X20" i="12"/>
  <c r="V20" i="12"/>
  <c r="U20" i="12"/>
  <c r="T20" i="12"/>
  <c r="R20" i="12"/>
  <c r="Q20" i="12"/>
  <c r="P20" i="12"/>
  <c r="L20" i="12"/>
  <c r="N20" i="12" s="1"/>
  <c r="K20" i="12"/>
  <c r="H20" i="12"/>
  <c r="G20" i="12"/>
  <c r="D20" i="12"/>
  <c r="C20" i="12"/>
  <c r="F20" i="12" s="1"/>
  <c r="B20" i="12"/>
  <c r="BX19" i="12"/>
  <c r="BY19" i="12" s="1"/>
  <c r="BW19" i="12"/>
  <c r="BS19" i="12"/>
  <c r="BU19" i="12" s="1"/>
  <c r="BR19" i="12"/>
  <c r="BN19" i="12"/>
  <c r="BM19" i="12"/>
  <c r="BJ19" i="12"/>
  <c r="BL19" i="12" s="1"/>
  <c r="BI19" i="12"/>
  <c r="BF19" i="12"/>
  <c r="BE19" i="12"/>
  <c r="BB19" i="12"/>
  <c r="BD19" i="12" s="1"/>
  <c r="BA19" i="12"/>
  <c r="AX19" i="12"/>
  <c r="AW19" i="12"/>
  <c r="AS19" i="12"/>
  <c r="AU19" i="12" s="1"/>
  <c r="AR19" i="12"/>
  <c r="AO19" i="12"/>
  <c r="AN19" i="12"/>
  <c r="AK19" i="12"/>
  <c r="AM19" i="12" s="1"/>
  <c r="AJ19" i="12"/>
  <c r="AG19" i="12"/>
  <c r="AF19" i="12"/>
  <c r="AC19" i="12"/>
  <c r="AE19" i="12" s="1"/>
  <c r="AB19" i="12"/>
  <c r="Y19" i="12"/>
  <c r="X19" i="12"/>
  <c r="V19" i="12"/>
  <c r="U19" i="12"/>
  <c r="T19" i="12"/>
  <c r="R19" i="12"/>
  <c r="Q19" i="12"/>
  <c r="P19" i="12"/>
  <c r="L19" i="12"/>
  <c r="N19" i="12" s="1"/>
  <c r="K19" i="12"/>
  <c r="H19" i="12"/>
  <c r="G19" i="12"/>
  <c r="J19" i="12" s="1"/>
  <c r="D19" i="12"/>
  <c r="C19" i="12"/>
  <c r="E19" i="12" s="1"/>
  <c r="B19" i="12"/>
  <c r="BX18" i="12"/>
  <c r="BY18" i="12" s="1"/>
  <c r="BW18" i="12"/>
  <c r="BS18" i="12"/>
  <c r="BT18" i="12" s="1"/>
  <c r="BR18" i="12"/>
  <c r="BN18" i="12"/>
  <c r="BP18" i="12" s="1"/>
  <c r="BM18" i="12"/>
  <c r="BJ18" i="12"/>
  <c r="BK18" i="12" s="1"/>
  <c r="BI18" i="12"/>
  <c r="BF18" i="12"/>
  <c r="BH18" i="12" s="1"/>
  <c r="BE18" i="12"/>
  <c r="BB18" i="12"/>
  <c r="BC18" i="12" s="1"/>
  <c r="BA18" i="12"/>
  <c r="AX18" i="12"/>
  <c r="AZ18" i="12" s="1"/>
  <c r="AW18" i="12"/>
  <c r="AS18" i="12"/>
  <c r="AT18" i="12" s="1"/>
  <c r="AR18" i="12"/>
  <c r="AO18" i="12"/>
  <c r="AQ18" i="12" s="1"/>
  <c r="AN18" i="12"/>
  <c r="AK18" i="12"/>
  <c r="AL18" i="12" s="1"/>
  <c r="AJ18" i="12"/>
  <c r="AG18" i="12"/>
  <c r="AI18" i="12" s="1"/>
  <c r="AF18" i="12"/>
  <c r="AC18" i="12"/>
  <c r="AD18" i="12" s="1"/>
  <c r="AB18" i="12"/>
  <c r="Y18" i="12"/>
  <c r="AA18" i="12" s="1"/>
  <c r="X18" i="12"/>
  <c r="V18" i="12"/>
  <c r="U18" i="12"/>
  <c r="T18" i="12"/>
  <c r="R18" i="12"/>
  <c r="Q18" i="12"/>
  <c r="P18" i="12"/>
  <c r="L18" i="12"/>
  <c r="K18" i="12"/>
  <c r="H18" i="12"/>
  <c r="G18" i="12"/>
  <c r="J18" i="12" s="1"/>
  <c r="D18" i="12"/>
  <c r="C18" i="12"/>
  <c r="B18" i="12"/>
  <c r="BX17" i="12"/>
  <c r="BY17" i="12" s="1"/>
  <c r="BW17" i="12"/>
  <c r="BS17" i="12"/>
  <c r="BU17" i="12" s="1"/>
  <c r="BR17" i="12"/>
  <c r="BN17" i="12"/>
  <c r="BP17" i="12" s="1"/>
  <c r="BM17" i="12"/>
  <c r="BJ17" i="12"/>
  <c r="BI17" i="12"/>
  <c r="BF17" i="12"/>
  <c r="BH17" i="12" s="1"/>
  <c r="BE17" i="12"/>
  <c r="BB17" i="12"/>
  <c r="BA17" i="12"/>
  <c r="AX17" i="12"/>
  <c r="AZ17" i="12" s="1"/>
  <c r="AW17" i="12"/>
  <c r="AS17" i="12"/>
  <c r="AR17" i="12"/>
  <c r="AO17" i="12"/>
  <c r="AQ17" i="12" s="1"/>
  <c r="AN17" i="12"/>
  <c r="AK17" i="12"/>
  <c r="AJ17" i="12"/>
  <c r="AG17" i="12"/>
  <c r="AI17" i="12" s="1"/>
  <c r="AF17" i="12"/>
  <c r="AC17" i="12"/>
  <c r="AB17" i="12"/>
  <c r="Y17" i="12"/>
  <c r="AA17" i="12" s="1"/>
  <c r="X17" i="12"/>
  <c r="V17" i="12"/>
  <c r="U17" i="12"/>
  <c r="T17" i="12"/>
  <c r="R17" i="12"/>
  <c r="Q17" i="12"/>
  <c r="P17" i="12"/>
  <c r="L17" i="12"/>
  <c r="N17" i="12" s="1"/>
  <c r="K17" i="12"/>
  <c r="H17" i="12"/>
  <c r="G17" i="12"/>
  <c r="I17" i="12" s="1"/>
  <c r="D17" i="12"/>
  <c r="C17" i="12"/>
  <c r="F17" i="12" s="1"/>
  <c r="B17" i="12"/>
  <c r="BX16" i="12"/>
  <c r="BY16" i="12" s="1"/>
  <c r="BW16" i="12"/>
  <c r="BS16" i="12"/>
  <c r="BU16" i="12" s="1"/>
  <c r="BR16" i="12"/>
  <c r="BN16" i="12"/>
  <c r="BO16" i="12" s="1"/>
  <c r="BM16" i="12"/>
  <c r="BJ16" i="12"/>
  <c r="BL16" i="12" s="1"/>
  <c r="BI16" i="12"/>
  <c r="BF16" i="12"/>
  <c r="BG16" i="12" s="1"/>
  <c r="BE16" i="12"/>
  <c r="BB16" i="12"/>
  <c r="BD16" i="12" s="1"/>
  <c r="BA16" i="12"/>
  <c r="AX16" i="12"/>
  <c r="AY16" i="12" s="1"/>
  <c r="AW16" i="12"/>
  <c r="AS16" i="12"/>
  <c r="AU16" i="12" s="1"/>
  <c r="AR16" i="12"/>
  <c r="AO16" i="12"/>
  <c r="AP16" i="12" s="1"/>
  <c r="AN16" i="12"/>
  <c r="AK16" i="12"/>
  <c r="AM16" i="12" s="1"/>
  <c r="AJ16" i="12"/>
  <c r="AG16" i="12"/>
  <c r="AH16" i="12" s="1"/>
  <c r="AF16" i="12"/>
  <c r="AC16" i="12"/>
  <c r="AE16" i="12" s="1"/>
  <c r="AB16" i="12"/>
  <c r="Y16" i="12"/>
  <c r="Z16" i="12" s="1"/>
  <c r="X16" i="12"/>
  <c r="V16" i="12"/>
  <c r="U16" i="12"/>
  <c r="T16" i="12"/>
  <c r="R16" i="12"/>
  <c r="Q16" i="12"/>
  <c r="P16" i="12"/>
  <c r="L16" i="12"/>
  <c r="N16" i="12" s="1"/>
  <c r="K16" i="12"/>
  <c r="H16" i="12"/>
  <c r="G16" i="12"/>
  <c r="D16" i="12"/>
  <c r="C16" i="12"/>
  <c r="F16" i="12" s="1"/>
  <c r="B16" i="12"/>
  <c r="BX15" i="12"/>
  <c r="BY15" i="12" s="1"/>
  <c r="BW15" i="12"/>
  <c r="BS15" i="12"/>
  <c r="BU15" i="12" s="1"/>
  <c r="BR15" i="12"/>
  <c r="BN15" i="12"/>
  <c r="BM15" i="12"/>
  <c r="BJ15" i="12"/>
  <c r="BL15" i="12" s="1"/>
  <c r="BI15" i="12"/>
  <c r="BF15" i="12"/>
  <c r="BE15" i="12"/>
  <c r="BB15" i="12"/>
  <c r="BD15" i="12" s="1"/>
  <c r="BA15" i="12"/>
  <c r="AX15" i="12"/>
  <c r="AW15" i="12"/>
  <c r="AS15" i="12"/>
  <c r="AU15" i="12" s="1"/>
  <c r="AR15" i="12"/>
  <c r="AO15" i="12"/>
  <c r="AQ15" i="12" s="1"/>
  <c r="AN15" i="12"/>
  <c r="AK15" i="12"/>
  <c r="AM15" i="12" s="1"/>
  <c r="AJ15" i="12"/>
  <c r="AG15" i="12"/>
  <c r="AI15" i="12" s="1"/>
  <c r="AF15" i="12"/>
  <c r="AC15" i="12"/>
  <c r="AE15" i="12" s="1"/>
  <c r="AB15" i="12"/>
  <c r="Y15" i="12"/>
  <c r="AA15" i="12" s="1"/>
  <c r="X15" i="12"/>
  <c r="V15" i="12"/>
  <c r="U15" i="12"/>
  <c r="T15" i="12"/>
  <c r="R15" i="12"/>
  <c r="Q15" i="12"/>
  <c r="P15" i="12"/>
  <c r="L15" i="12"/>
  <c r="N15" i="12" s="1"/>
  <c r="K15" i="12"/>
  <c r="H15" i="12"/>
  <c r="G15" i="12"/>
  <c r="D15" i="12"/>
  <c r="C15" i="12"/>
  <c r="E15" i="12" s="1"/>
  <c r="B15" i="12"/>
  <c r="BX14" i="12"/>
  <c r="BY14" i="12" s="1"/>
  <c r="BW14" i="12"/>
  <c r="BS14" i="12"/>
  <c r="BT14" i="12" s="1"/>
  <c r="BR14" i="12"/>
  <c r="BN14" i="12"/>
  <c r="BP14" i="12" s="1"/>
  <c r="BM14" i="12"/>
  <c r="BJ14" i="12"/>
  <c r="BK14" i="12" s="1"/>
  <c r="BI14" i="12"/>
  <c r="BF14" i="12"/>
  <c r="BH14" i="12" s="1"/>
  <c r="BE14" i="12"/>
  <c r="BB14" i="12"/>
  <c r="BC14" i="12" s="1"/>
  <c r="BA14" i="12"/>
  <c r="AX14" i="12"/>
  <c r="AZ14" i="12" s="1"/>
  <c r="AW14" i="12"/>
  <c r="AS14" i="12"/>
  <c r="AT14" i="12" s="1"/>
  <c r="AR14" i="12"/>
  <c r="AO14" i="12"/>
  <c r="AQ14" i="12" s="1"/>
  <c r="AN14" i="12"/>
  <c r="AK14" i="12"/>
  <c r="AL14" i="12" s="1"/>
  <c r="AJ14" i="12"/>
  <c r="AG14" i="12"/>
  <c r="AI14" i="12" s="1"/>
  <c r="AF14" i="12"/>
  <c r="AC14" i="12"/>
  <c r="AD14" i="12" s="1"/>
  <c r="AB14" i="12"/>
  <c r="Y14" i="12"/>
  <c r="AA14" i="12" s="1"/>
  <c r="X14" i="12"/>
  <c r="V14" i="12"/>
  <c r="U14" i="12"/>
  <c r="T14" i="12"/>
  <c r="R14" i="12"/>
  <c r="Q14" i="12"/>
  <c r="P14" i="12"/>
  <c r="L14" i="12"/>
  <c r="N14" i="12" s="1"/>
  <c r="K14" i="12"/>
  <c r="H14" i="12"/>
  <c r="G14" i="12"/>
  <c r="J14" i="12" s="1"/>
  <c r="D14" i="12"/>
  <c r="C14" i="12"/>
  <c r="F14" i="12" s="1"/>
  <c r="B14" i="12"/>
  <c r="BX13" i="12"/>
  <c r="BY13" i="12" s="1"/>
  <c r="BW13" i="12"/>
  <c r="BS13" i="12"/>
  <c r="BU13" i="12" s="1"/>
  <c r="BR13" i="12"/>
  <c r="BN13" i="12"/>
  <c r="BP13" i="12" s="1"/>
  <c r="BM13" i="12"/>
  <c r="BJ13" i="12"/>
  <c r="BL13" i="12" s="1"/>
  <c r="BI13" i="12"/>
  <c r="BF13" i="12"/>
  <c r="BH13" i="12" s="1"/>
  <c r="BE13" i="12"/>
  <c r="BB13" i="12"/>
  <c r="BD13" i="12" s="1"/>
  <c r="BA13" i="12"/>
  <c r="AX13" i="12"/>
  <c r="AZ13" i="12" s="1"/>
  <c r="AW13" i="12"/>
  <c r="AS13" i="12"/>
  <c r="AU13" i="12" s="1"/>
  <c r="AR13" i="12"/>
  <c r="AO13" i="12"/>
  <c r="AQ13" i="12" s="1"/>
  <c r="AN13" i="12"/>
  <c r="AK13" i="12"/>
  <c r="AM13" i="12" s="1"/>
  <c r="AJ13" i="12"/>
  <c r="AG13" i="12"/>
  <c r="AI13" i="12" s="1"/>
  <c r="AF13" i="12"/>
  <c r="AC13" i="12"/>
  <c r="AE13" i="12" s="1"/>
  <c r="AB13" i="12"/>
  <c r="Y13" i="12"/>
  <c r="AA13" i="12" s="1"/>
  <c r="X13" i="12"/>
  <c r="V13" i="12"/>
  <c r="U13" i="12"/>
  <c r="T13" i="12"/>
  <c r="R13" i="12"/>
  <c r="Q13" i="12"/>
  <c r="P13" i="12"/>
  <c r="L13" i="12"/>
  <c r="N13" i="12" s="1"/>
  <c r="K13" i="12"/>
  <c r="H13" i="12"/>
  <c r="G13" i="12"/>
  <c r="J13" i="12" s="1"/>
  <c r="D13" i="12"/>
  <c r="C13" i="12"/>
  <c r="B13" i="12"/>
  <c r="BX12" i="12"/>
  <c r="BY12" i="12" s="1"/>
  <c r="BW12" i="12"/>
  <c r="BS12" i="12"/>
  <c r="BU12" i="12" s="1"/>
  <c r="BR12" i="12"/>
  <c r="BN12" i="12"/>
  <c r="BP12" i="12" s="1"/>
  <c r="BM12" i="12"/>
  <c r="BJ12" i="12"/>
  <c r="BL12" i="12" s="1"/>
  <c r="BI12" i="12"/>
  <c r="BF12" i="12"/>
  <c r="BH12" i="12" s="1"/>
  <c r="BE12" i="12"/>
  <c r="BB12" i="12"/>
  <c r="BD12" i="12" s="1"/>
  <c r="BA12" i="12"/>
  <c r="AX12" i="12"/>
  <c r="AZ12" i="12" s="1"/>
  <c r="AW12" i="12"/>
  <c r="AS12" i="12"/>
  <c r="AT12" i="12" s="1"/>
  <c r="AR12" i="12"/>
  <c r="AO12" i="12"/>
  <c r="AQ12" i="12" s="1"/>
  <c r="AN12" i="12"/>
  <c r="AK12" i="12"/>
  <c r="AM12" i="12" s="1"/>
  <c r="AJ12" i="12"/>
  <c r="AG12" i="12"/>
  <c r="AI12" i="12" s="1"/>
  <c r="AF12" i="12"/>
  <c r="AC12" i="12"/>
  <c r="AE12" i="12" s="1"/>
  <c r="AB12" i="12"/>
  <c r="Y12" i="12"/>
  <c r="AA12" i="12" s="1"/>
  <c r="X12" i="12"/>
  <c r="V12" i="12"/>
  <c r="U12" i="12"/>
  <c r="T12" i="12"/>
  <c r="R12" i="12"/>
  <c r="Q12" i="12"/>
  <c r="P12" i="12"/>
  <c r="L12" i="12"/>
  <c r="N12" i="12" s="1"/>
  <c r="K12" i="12"/>
  <c r="H12" i="12"/>
  <c r="G12" i="12"/>
  <c r="J12" i="12" s="1"/>
  <c r="D12" i="12"/>
  <c r="C12" i="12"/>
  <c r="F12" i="12" s="1"/>
  <c r="B12" i="12"/>
  <c r="BX11" i="12"/>
  <c r="BY11" i="12" s="1"/>
  <c r="BW11" i="12"/>
  <c r="BS11" i="12"/>
  <c r="BU11" i="12" s="1"/>
  <c r="BR11" i="12"/>
  <c r="BN11" i="12"/>
  <c r="BP11" i="12" s="1"/>
  <c r="BM11" i="12"/>
  <c r="BJ11" i="12"/>
  <c r="BL11" i="12" s="1"/>
  <c r="BI11" i="12"/>
  <c r="BF11" i="12"/>
  <c r="BH11" i="12" s="1"/>
  <c r="BE11" i="12"/>
  <c r="BB11" i="12"/>
  <c r="BD11" i="12" s="1"/>
  <c r="BA11" i="12"/>
  <c r="AX11" i="12"/>
  <c r="AZ11" i="12" s="1"/>
  <c r="AW11" i="12"/>
  <c r="AS11" i="12"/>
  <c r="AU11" i="12" s="1"/>
  <c r="AR11" i="12"/>
  <c r="AO11" i="12"/>
  <c r="AQ11" i="12" s="1"/>
  <c r="AN11" i="12"/>
  <c r="AK11" i="12"/>
  <c r="AM11" i="12" s="1"/>
  <c r="AJ11" i="12"/>
  <c r="AG11" i="12"/>
  <c r="AI11" i="12" s="1"/>
  <c r="AF11" i="12"/>
  <c r="AC11" i="12"/>
  <c r="AE11" i="12" s="1"/>
  <c r="AB11" i="12"/>
  <c r="Y11" i="12"/>
  <c r="AA11" i="12" s="1"/>
  <c r="X11" i="12"/>
  <c r="V11" i="12"/>
  <c r="U11" i="12"/>
  <c r="T11" i="12"/>
  <c r="R11" i="12"/>
  <c r="Q11" i="12"/>
  <c r="P11" i="12"/>
  <c r="L11" i="12"/>
  <c r="M11" i="12" s="1"/>
  <c r="K11" i="12"/>
  <c r="H11" i="12"/>
  <c r="G11" i="12"/>
  <c r="D11" i="12"/>
  <c r="C11" i="12"/>
  <c r="F11" i="12" s="1"/>
  <c r="B11" i="12"/>
  <c r="BX10" i="12"/>
  <c r="BY10" i="12" s="1"/>
  <c r="BW10" i="12"/>
  <c r="BS10" i="12"/>
  <c r="BU10" i="12" s="1"/>
  <c r="BR10" i="12"/>
  <c r="BN10" i="12"/>
  <c r="BP10" i="12" s="1"/>
  <c r="BM10" i="12"/>
  <c r="BJ10" i="12"/>
  <c r="BL10" i="12" s="1"/>
  <c r="BI10" i="12"/>
  <c r="BF10" i="12"/>
  <c r="BH10" i="12" s="1"/>
  <c r="BE10" i="12"/>
  <c r="BB10" i="12"/>
  <c r="BD10" i="12" s="1"/>
  <c r="BA10" i="12"/>
  <c r="AX10" i="12"/>
  <c r="AZ10" i="12" s="1"/>
  <c r="AW10" i="12"/>
  <c r="AS10" i="12"/>
  <c r="AU10" i="12" s="1"/>
  <c r="AR10" i="12"/>
  <c r="AO10" i="12"/>
  <c r="AQ10" i="12" s="1"/>
  <c r="AN10" i="12"/>
  <c r="AK10" i="12"/>
  <c r="AM10" i="12" s="1"/>
  <c r="AJ10" i="12"/>
  <c r="AG10" i="12"/>
  <c r="AI10" i="12" s="1"/>
  <c r="AF10" i="12"/>
  <c r="AC10" i="12"/>
  <c r="AE10" i="12" s="1"/>
  <c r="AB10" i="12"/>
  <c r="Y10" i="12"/>
  <c r="AA10" i="12" s="1"/>
  <c r="X10" i="12"/>
  <c r="V10" i="12"/>
  <c r="U10" i="12"/>
  <c r="T10" i="12"/>
  <c r="R10" i="12"/>
  <c r="Q10" i="12"/>
  <c r="P10" i="12"/>
  <c r="L10" i="12"/>
  <c r="N10" i="12" s="1"/>
  <c r="K10" i="12"/>
  <c r="H10" i="12"/>
  <c r="G10" i="12"/>
  <c r="J10" i="12" s="1"/>
  <c r="D10" i="12"/>
  <c r="C10" i="12"/>
  <c r="F10" i="12" s="1"/>
  <c r="B10" i="12"/>
  <c r="BX9" i="12"/>
  <c r="BY9" i="12" s="1"/>
  <c r="BW9" i="12"/>
  <c r="BS9" i="12"/>
  <c r="BU9" i="12" s="1"/>
  <c r="BR9" i="12"/>
  <c r="BN9" i="12"/>
  <c r="BP9" i="12" s="1"/>
  <c r="BM9" i="12"/>
  <c r="BJ9" i="12"/>
  <c r="BL9" i="12" s="1"/>
  <c r="BI9" i="12"/>
  <c r="BF9" i="12"/>
  <c r="BH9" i="12" s="1"/>
  <c r="BE9" i="12"/>
  <c r="BB9" i="12"/>
  <c r="BD9" i="12" s="1"/>
  <c r="BA9" i="12"/>
  <c r="AX9" i="12"/>
  <c r="AZ9" i="12" s="1"/>
  <c r="AW9" i="12"/>
  <c r="AS9" i="12"/>
  <c r="AU9" i="12" s="1"/>
  <c r="AR9" i="12"/>
  <c r="AO9" i="12"/>
  <c r="AQ9" i="12" s="1"/>
  <c r="AN9" i="12"/>
  <c r="AK9" i="12"/>
  <c r="AM9" i="12" s="1"/>
  <c r="AJ9" i="12"/>
  <c r="AG9" i="12"/>
  <c r="AI9" i="12" s="1"/>
  <c r="AF9" i="12"/>
  <c r="AC9" i="12"/>
  <c r="AE9" i="12" s="1"/>
  <c r="AB9" i="12"/>
  <c r="Y9" i="12"/>
  <c r="AA9" i="12" s="1"/>
  <c r="X9" i="12"/>
  <c r="V9" i="12"/>
  <c r="U9" i="12"/>
  <c r="T9" i="12"/>
  <c r="R9" i="12"/>
  <c r="Q9" i="12"/>
  <c r="P9" i="12"/>
  <c r="L9" i="12"/>
  <c r="N9" i="12" s="1"/>
  <c r="K9" i="12"/>
  <c r="H9" i="12"/>
  <c r="G9" i="12"/>
  <c r="I9" i="12" s="1"/>
  <c r="D9" i="12"/>
  <c r="C9" i="12"/>
  <c r="B9" i="12"/>
  <c r="BX8" i="12"/>
  <c r="BY8" i="12" s="1"/>
  <c r="BW8" i="12"/>
  <c r="BS8" i="12"/>
  <c r="BU8" i="12" s="1"/>
  <c r="BR8" i="12"/>
  <c r="BN8" i="12"/>
  <c r="BO8" i="12" s="1"/>
  <c r="BM8" i="12"/>
  <c r="BJ8" i="12"/>
  <c r="BL8" i="12" s="1"/>
  <c r="BI8" i="12"/>
  <c r="BF8" i="12"/>
  <c r="BG8" i="12" s="1"/>
  <c r="BE8" i="12"/>
  <c r="BB8" i="12"/>
  <c r="BD8" i="12" s="1"/>
  <c r="BA8" i="12"/>
  <c r="AX8" i="12"/>
  <c r="AZ8" i="12" s="1"/>
  <c r="AW8" i="12"/>
  <c r="AS8" i="12"/>
  <c r="AU8" i="12" s="1"/>
  <c r="AR8" i="12"/>
  <c r="AO8" i="12"/>
  <c r="AP8" i="12" s="1"/>
  <c r="AN8" i="12"/>
  <c r="AK8" i="12"/>
  <c r="AM8" i="12" s="1"/>
  <c r="AJ8" i="12"/>
  <c r="AG8" i="12"/>
  <c r="AH8" i="12" s="1"/>
  <c r="AF8" i="12"/>
  <c r="AC8" i="12"/>
  <c r="AE8" i="12" s="1"/>
  <c r="AB8" i="12"/>
  <c r="Y8" i="12"/>
  <c r="Z8" i="12" s="1"/>
  <c r="X8" i="12"/>
  <c r="V8" i="12"/>
  <c r="U8" i="12"/>
  <c r="T8" i="12"/>
  <c r="R8" i="12"/>
  <c r="Q8" i="12"/>
  <c r="P8" i="12"/>
  <c r="L8" i="12"/>
  <c r="N8" i="12" s="1"/>
  <c r="K8" i="12"/>
  <c r="H8" i="12"/>
  <c r="G8" i="12"/>
  <c r="J8" i="12" s="1"/>
  <c r="D8" i="12"/>
  <c r="C8" i="12"/>
  <c r="F8" i="12" s="1"/>
  <c r="B8" i="12"/>
  <c r="BX7" i="12"/>
  <c r="BY7" i="12" s="1"/>
  <c r="BW7" i="12"/>
  <c r="BS7" i="12"/>
  <c r="BU7" i="12" s="1"/>
  <c r="BR7" i="12"/>
  <c r="BN7" i="12"/>
  <c r="BP7" i="12" s="1"/>
  <c r="BM7" i="12"/>
  <c r="BJ7" i="12"/>
  <c r="BL7" i="12" s="1"/>
  <c r="BI7" i="12"/>
  <c r="BF7" i="12"/>
  <c r="BH7" i="12" s="1"/>
  <c r="BE7" i="12"/>
  <c r="BB7" i="12"/>
  <c r="BD7" i="12" s="1"/>
  <c r="BA7" i="12"/>
  <c r="AX7" i="12"/>
  <c r="AZ7" i="12" s="1"/>
  <c r="AW7" i="12"/>
  <c r="AS7" i="12"/>
  <c r="AU7" i="12" s="1"/>
  <c r="AR7" i="12"/>
  <c r="AO7" i="12"/>
  <c r="AQ7" i="12" s="1"/>
  <c r="AN7" i="12"/>
  <c r="AK7" i="12"/>
  <c r="AM7" i="12" s="1"/>
  <c r="AJ7" i="12"/>
  <c r="AG7" i="12"/>
  <c r="AI7" i="12" s="1"/>
  <c r="AF7" i="12"/>
  <c r="AC7" i="12"/>
  <c r="AE7" i="12" s="1"/>
  <c r="AB7" i="12"/>
  <c r="Y7" i="12"/>
  <c r="AA7" i="12" s="1"/>
  <c r="X7" i="12"/>
  <c r="V7" i="12"/>
  <c r="U7" i="12"/>
  <c r="T7" i="12"/>
  <c r="R7" i="12"/>
  <c r="Q7" i="12"/>
  <c r="P7" i="12"/>
  <c r="L7" i="12"/>
  <c r="N7" i="12" s="1"/>
  <c r="K7" i="12"/>
  <c r="H7" i="12"/>
  <c r="G7" i="12"/>
  <c r="D7" i="12"/>
  <c r="C7" i="12"/>
  <c r="E7" i="12" s="1"/>
  <c r="B7" i="12"/>
  <c r="BX6" i="12"/>
  <c r="BY6" i="12" s="1"/>
  <c r="BW6" i="12"/>
  <c r="BS6" i="12"/>
  <c r="BT6" i="12" s="1"/>
  <c r="BR6" i="12"/>
  <c r="BN6" i="12"/>
  <c r="BP6" i="12" s="1"/>
  <c r="BM6" i="12"/>
  <c r="BJ6" i="12"/>
  <c r="BK6" i="12" s="1"/>
  <c r="BI6" i="12"/>
  <c r="BF6" i="12"/>
  <c r="BH6" i="12" s="1"/>
  <c r="BE6" i="12"/>
  <c r="BB6" i="12"/>
  <c r="BC6" i="12" s="1"/>
  <c r="BA6" i="12"/>
  <c r="AX6" i="12"/>
  <c r="AZ6" i="12" s="1"/>
  <c r="AW6" i="12"/>
  <c r="AS6" i="12"/>
  <c r="AT6" i="12" s="1"/>
  <c r="AR6" i="12"/>
  <c r="AO6" i="12"/>
  <c r="AQ6" i="12" s="1"/>
  <c r="AN6" i="12"/>
  <c r="AK6" i="12"/>
  <c r="AL6" i="12" s="1"/>
  <c r="AJ6" i="12"/>
  <c r="AG6" i="12"/>
  <c r="AI6" i="12" s="1"/>
  <c r="AF6" i="12"/>
  <c r="AC6" i="12"/>
  <c r="AD6" i="12" s="1"/>
  <c r="AB6" i="12"/>
  <c r="Y6" i="12"/>
  <c r="AA6" i="12" s="1"/>
  <c r="X6" i="12"/>
  <c r="V6" i="12"/>
  <c r="U6" i="12"/>
  <c r="T6" i="12"/>
  <c r="R6" i="12"/>
  <c r="Q6" i="12"/>
  <c r="P6" i="12"/>
  <c r="L6" i="12"/>
  <c r="N6" i="12" s="1"/>
  <c r="K6" i="12"/>
  <c r="H6" i="12"/>
  <c r="G6" i="12"/>
  <c r="J6" i="12" s="1"/>
  <c r="D6" i="12"/>
  <c r="C6" i="12"/>
  <c r="F6" i="12" s="1"/>
  <c r="B6" i="12"/>
  <c r="BX5" i="12"/>
  <c r="BY5" i="12" s="1"/>
  <c r="BW5" i="12"/>
  <c r="BS5" i="12"/>
  <c r="BU5" i="12" s="1"/>
  <c r="BR5" i="12"/>
  <c r="BN5" i="12"/>
  <c r="BM5" i="12"/>
  <c r="BJ5" i="12"/>
  <c r="BL5" i="12" s="1"/>
  <c r="BI5" i="12"/>
  <c r="BF5" i="12"/>
  <c r="BE5" i="12"/>
  <c r="BB5" i="12"/>
  <c r="BD5" i="12" s="1"/>
  <c r="BA5" i="12"/>
  <c r="AX5" i="12"/>
  <c r="AW5" i="12"/>
  <c r="AS5" i="12"/>
  <c r="AU5" i="12" s="1"/>
  <c r="AR5" i="12"/>
  <c r="AO5" i="12"/>
  <c r="AN5" i="12"/>
  <c r="AK5" i="12"/>
  <c r="AM5" i="12" s="1"/>
  <c r="AJ5" i="12"/>
  <c r="AG5" i="12"/>
  <c r="AF5" i="12"/>
  <c r="AC5" i="12"/>
  <c r="AE5" i="12" s="1"/>
  <c r="AB5" i="12"/>
  <c r="Y5" i="12"/>
  <c r="X5" i="12"/>
  <c r="V5" i="12"/>
  <c r="U5" i="12"/>
  <c r="T5" i="12"/>
  <c r="R5" i="12"/>
  <c r="Q5" i="12"/>
  <c r="P5" i="12"/>
  <c r="L5" i="12"/>
  <c r="M5" i="12" s="1"/>
  <c r="K5" i="12"/>
  <c r="H5" i="12"/>
  <c r="G5" i="12"/>
  <c r="J5" i="12" s="1"/>
  <c r="D5" i="12"/>
  <c r="C5" i="12"/>
  <c r="E5" i="12" s="1"/>
  <c r="B5" i="12"/>
  <c r="BX4" i="12"/>
  <c r="BY4" i="12" s="1"/>
  <c r="BW4" i="12"/>
  <c r="BS4" i="12"/>
  <c r="BT4" i="12" s="1"/>
  <c r="BR4" i="12"/>
  <c r="BN4" i="12"/>
  <c r="BP4" i="12" s="1"/>
  <c r="BM4" i="12"/>
  <c r="BJ4" i="12"/>
  <c r="BK4" i="12" s="1"/>
  <c r="BI4" i="12"/>
  <c r="BF4" i="12"/>
  <c r="BG4" i="12" s="1"/>
  <c r="BE4" i="12"/>
  <c r="BB4" i="12"/>
  <c r="BC4" i="12" s="1"/>
  <c r="BA4" i="12"/>
  <c r="AX4" i="12"/>
  <c r="AZ4" i="12" s="1"/>
  <c r="AW4" i="12"/>
  <c r="AS4" i="12"/>
  <c r="AT4" i="12" s="1"/>
  <c r="AR4" i="12"/>
  <c r="AO4" i="12"/>
  <c r="AQ4" i="12" s="1"/>
  <c r="AN4" i="12"/>
  <c r="AK4" i="12"/>
  <c r="AL4" i="12" s="1"/>
  <c r="AJ4" i="12"/>
  <c r="AG4" i="12"/>
  <c r="AH4" i="12" s="1"/>
  <c r="AF4" i="12"/>
  <c r="AC4" i="12"/>
  <c r="AD4" i="12" s="1"/>
  <c r="AB4" i="12"/>
  <c r="Y4" i="12"/>
  <c r="AA4" i="12" s="1"/>
  <c r="X4" i="12"/>
  <c r="V4" i="12"/>
  <c r="U4" i="12"/>
  <c r="T4" i="12"/>
  <c r="R4" i="12"/>
  <c r="Q4" i="12"/>
  <c r="P4" i="12"/>
  <c r="L4" i="12"/>
  <c r="K4" i="12"/>
  <c r="H4" i="12"/>
  <c r="G4" i="12"/>
  <c r="J4" i="12" s="1"/>
  <c r="D4" i="12"/>
  <c r="C4" i="12"/>
  <c r="F4" i="12" s="1"/>
  <c r="H37" i="11"/>
  <c r="H35" i="11"/>
  <c r="K29" i="11"/>
  <c r="P37" i="11" s="1"/>
  <c r="H10" i="11"/>
  <c r="BS68" i="10"/>
  <c r="BR68" i="10"/>
  <c r="BQ68" i="10"/>
  <c r="BP68" i="10"/>
  <c r="BO68" i="10"/>
  <c r="BN68" i="10"/>
  <c r="BM68" i="10"/>
  <c r="BL68" i="10"/>
  <c r="H29" i="11" s="1"/>
  <c r="BK68" i="10"/>
  <c r="BJ68" i="10"/>
  <c r="BI68" i="10"/>
  <c r="H28" i="11" s="1"/>
  <c r="BH68" i="10"/>
  <c r="H26" i="11"/>
  <c r="BE68" i="10"/>
  <c r="BC68" i="10"/>
  <c r="H25" i="11" s="1"/>
  <c r="BB68" i="10"/>
  <c r="BA68" i="10"/>
  <c r="H24" i="11"/>
  <c r="AY68" i="10"/>
  <c r="AV68" i="10"/>
  <c r="AU68" i="10"/>
  <c r="AT68" i="10"/>
  <c r="H22" i="11" s="1"/>
  <c r="AS68" i="10"/>
  <c r="AP68" i="10"/>
  <c r="AK68" i="10"/>
  <c r="H19" i="11" s="1"/>
  <c r="AJ68" i="10"/>
  <c r="AH68" i="10"/>
  <c r="H18" i="11" s="1"/>
  <c r="AG68" i="10"/>
  <c r="AC68" i="10"/>
  <c r="H17" i="11" s="1"/>
  <c r="AB68" i="10"/>
  <c r="AA68" i="10"/>
  <c r="Y68" i="10"/>
  <c r="X68" i="10"/>
  <c r="W68" i="10"/>
  <c r="H16" i="11" s="1"/>
  <c r="U68" i="10"/>
  <c r="S68" i="10"/>
  <c r="R68" i="10"/>
  <c r="Q68" i="10"/>
  <c r="P68" i="10"/>
  <c r="N68" i="10"/>
  <c r="M68" i="10"/>
  <c r="L68" i="10"/>
  <c r="H15" i="11" s="1"/>
  <c r="I15" i="11" s="1"/>
  <c r="K68" i="10"/>
  <c r="J68" i="10"/>
  <c r="I68" i="10"/>
  <c r="H68" i="10"/>
  <c r="E68" i="10"/>
  <c r="D68" i="10"/>
  <c r="B68" i="10"/>
  <c r="G37" i="10"/>
  <c r="G68" i="10" s="1"/>
  <c r="BL35" i="10"/>
  <c r="G35" i="10"/>
  <c r="G34" i="10"/>
  <c r="G33" i="10"/>
  <c r="BL32" i="10"/>
  <c r="G32" i="10"/>
  <c r="BL31" i="10"/>
  <c r="G31" i="10"/>
  <c r="BL30" i="10"/>
  <c r="G30" i="10"/>
  <c r="BL29" i="10"/>
  <c r="G29" i="10"/>
  <c r="BL28" i="10"/>
  <c r="G28" i="10"/>
  <c r="G27" i="10"/>
  <c r="G26" i="10"/>
  <c r="BL25" i="10"/>
  <c r="G25" i="10"/>
  <c r="BL24" i="10"/>
  <c r="G24" i="10"/>
  <c r="BL23" i="10"/>
  <c r="G23" i="10"/>
  <c r="BL22" i="10"/>
  <c r="G22" i="10"/>
  <c r="BL21" i="10"/>
  <c r="G21" i="10"/>
  <c r="G20" i="10"/>
  <c r="G19" i="10"/>
  <c r="BL18" i="10"/>
  <c r="G18" i="10"/>
  <c r="BL17" i="10"/>
  <c r="G17" i="10"/>
  <c r="BL16" i="10"/>
  <c r="G16" i="10"/>
  <c r="BL15" i="10"/>
  <c r="G15" i="10"/>
  <c r="BL14" i="10"/>
  <c r="G14" i="10"/>
  <c r="G13" i="10"/>
  <c r="G12" i="10"/>
  <c r="BL11" i="10"/>
  <c r="G11" i="10"/>
  <c r="BL10" i="10"/>
  <c r="G10" i="10"/>
  <c r="BL9" i="10"/>
  <c r="G9" i="10"/>
  <c r="BL8" i="10"/>
  <c r="G8" i="10"/>
  <c r="BL7" i="10"/>
  <c r="G7" i="10"/>
  <c r="G6" i="10"/>
  <c r="G5" i="10"/>
  <c r="G4" i="10"/>
  <c r="I29" i="11" l="1"/>
  <c r="BL27" i="12"/>
  <c r="F27" i="12"/>
  <c r="BC26" i="12"/>
  <c r="AP6" i="12"/>
  <c r="I25" i="12"/>
  <c r="M15" i="12"/>
  <c r="AQ16" i="12"/>
  <c r="E8" i="12"/>
  <c r="BP20" i="12"/>
  <c r="AD12" i="12"/>
  <c r="AE6" i="12"/>
  <c r="AL12" i="12"/>
  <c r="BT26" i="12"/>
  <c r="BU6" i="12"/>
  <c r="BL14" i="12"/>
  <c r="Z4" i="12"/>
  <c r="AM4" i="12"/>
  <c r="N11" i="12"/>
  <c r="AM18" i="12"/>
  <c r="M9" i="12"/>
  <c r="J17" i="12"/>
  <c r="BO6" i="12"/>
  <c r="BT12" i="12"/>
  <c r="BU18" i="12"/>
  <c r="AU26" i="12"/>
  <c r="BG6" i="12"/>
  <c r="M27" i="12"/>
  <c r="I26" i="12"/>
  <c r="BK12" i="12"/>
  <c r="BL4" i="12"/>
  <c r="AL8" i="12"/>
  <c r="J9" i="12"/>
  <c r="F7" i="12"/>
  <c r="I21" i="12"/>
  <c r="AL26" i="12"/>
  <c r="I28" i="11"/>
  <c r="N23" i="12"/>
  <c r="BD27" i="12"/>
  <c r="BD14" i="12"/>
  <c r="F15" i="12"/>
  <c r="AM6" i="12"/>
  <c r="BT8" i="12"/>
  <c r="AU12" i="12"/>
  <c r="BU14" i="12"/>
  <c r="AZ16" i="12"/>
  <c r="AE27" i="12"/>
  <c r="AL37" i="10"/>
  <c r="BD4" i="12"/>
  <c r="BO4" i="12"/>
  <c r="AY6" i="12"/>
  <c r="BC8" i="12"/>
  <c r="AM14" i="12"/>
  <c r="AA16" i="12"/>
  <c r="BD18" i="12"/>
  <c r="F19" i="12"/>
  <c r="BH20" i="12"/>
  <c r="AD26" i="12"/>
  <c r="BK26" i="12"/>
  <c r="AD5" i="12"/>
  <c r="BL6" i="12"/>
  <c r="BO7" i="12"/>
  <c r="AD8" i="12"/>
  <c r="AD9" i="12"/>
  <c r="BP16" i="12"/>
  <c r="AE18" i="12"/>
  <c r="AI20" i="12"/>
  <c r="I27" i="12"/>
  <c r="I5" i="12"/>
  <c r="BD6" i="12"/>
  <c r="M7" i="12"/>
  <c r="AT8" i="12"/>
  <c r="BC12" i="12"/>
  <c r="AE14" i="12"/>
  <c r="AU18" i="12"/>
  <c r="AZ20" i="12"/>
  <c r="M25" i="12"/>
  <c r="AT27" i="12"/>
  <c r="AI4" i="12"/>
  <c r="BH16" i="12"/>
  <c r="I18" i="12"/>
  <c r="AA20" i="12"/>
  <c r="F23" i="12"/>
  <c r="I6" i="12"/>
  <c r="AU6" i="12"/>
  <c r="BK8" i="12"/>
  <c r="AU14" i="12"/>
  <c r="AI16" i="12"/>
  <c r="BL18" i="12"/>
  <c r="E24" i="12"/>
  <c r="AQ20" i="12"/>
  <c r="N5" i="12"/>
  <c r="AY8" i="12"/>
  <c r="M17" i="12"/>
  <c r="AY4" i="12"/>
  <c r="BH4" i="12"/>
  <c r="AA8" i="12"/>
  <c r="AI8" i="12"/>
  <c r="AQ8" i="12"/>
  <c r="BH8" i="12"/>
  <c r="BP8" i="12"/>
  <c r="AD10" i="12"/>
  <c r="AL10" i="12"/>
  <c r="AT10" i="12"/>
  <c r="BC10" i="12"/>
  <c r="BK10" i="12"/>
  <c r="BT10" i="12"/>
  <c r="E11" i="12"/>
  <c r="I13" i="12"/>
  <c r="AD13" i="12"/>
  <c r="M14" i="12"/>
  <c r="E16" i="12"/>
  <c r="E20" i="12"/>
  <c r="N21" i="12"/>
  <c r="Z22" i="12"/>
  <c r="AH22" i="12"/>
  <c r="AP22" i="12"/>
  <c r="AY22" i="12"/>
  <c r="BG22" i="12"/>
  <c r="BO22" i="12"/>
  <c r="AD24" i="12"/>
  <c r="AL24" i="12"/>
  <c r="AT24" i="12"/>
  <c r="BC24" i="12"/>
  <c r="BK24" i="12"/>
  <c r="BT24" i="12"/>
  <c r="AL27" i="12"/>
  <c r="BT27" i="12"/>
  <c r="AP4" i="12"/>
  <c r="Z6" i="12"/>
  <c r="AH6" i="12"/>
  <c r="I10" i="12"/>
  <c r="Z14" i="12"/>
  <c r="AH14" i="12"/>
  <c r="AP14" i="12"/>
  <c r="AY14" i="12"/>
  <c r="BG14" i="12"/>
  <c r="BO14" i="12"/>
  <c r="AD16" i="12"/>
  <c r="AL16" i="12"/>
  <c r="AT16" i="12"/>
  <c r="BC16" i="12"/>
  <c r="BK16" i="12"/>
  <c r="BT16" i="12"/>
  <c r="Z18" i="12"/>
  <c r="AH18" i="12"/>
  <c r="AP18" i="12"/>
  <c r="AY18" i="12"/>
  <c r="BG18" i="12"/>
  <c r="BO18" i="12"/>
  <c r="AD20" i="12"/>
  <c r="AL20" i="12"/>
  <c r="AT20" i="12"/>
  <c r="BC20" i="12"/>
  <c r="BK20" i="12"/>
  <c r="BT20" i="12"/>
  <c r="BU4" i="12"/>
  <c r="Z12" i="12"/>
  <c r="AH12" i="12"/>
  <c r="AP12" i="12"/>
  <c r="AY12" i="12"/>
  <c r="BG12" i="12"/>
  <c r="BO12" i="12"/>
  <c r="Z26" i="12"/>
  <c r="AH26" i="12"/>
  <c r="AP26" i="12"/>
  <c r="AY26" i="12"/>
  <c r="BG26" i="12"/>
  <c r="BO26" i="12"/>
  <c r="AE4" i="12"/>
  <c r="M19" i="12"/>
  <c r="Z10" i="12"/>
  <c r="AH10" i="12"/>
  <c r="AP10" i="12"/>
  <c r="AY10" i="12"/>
  <c r="BG10" i="12"/>
  <c r="BO10" i="12"/>
  <c r="BO11" i="12"/>
  <c r="M13" i="12"/>
  <c r="AD22" i="12"/>
  <c r="AL22" i="12"/>
  <c r="AT22" i="12"/>
  <c r="BC22" i="12"/>
  <c r="BK22" i="12"/>
  <c r="BT22" i="12"/>
  <c r="Z24" i="12"/>
  <c r="AH24" i="12"/>
  <c r="AP24" i="12"/>
  <c r="AY24" i="12"/>
  <c r="BG24" i="12"/>
  <c r="BO24" i="12"/>
  <c r="AU4" i="12"/>
  <c r="E12" i="12"/>
  <c r="AL13" i="12"/>
  <c r="I14" i="12"/>
  <c r="Z17" i="10"/>
  <c r="AL19" i="10"/>
  <c r="AN4" i="10"/>
  <c r="AI15" i="10"/>
  <c r="O8" i="10"/>
  <c r="O28" i="10"/>
  <c r="AL33" i="10"/>
  <c r="J7" i="12"/>
  <c r="I7" i="12"/>
  <c r="F9" i="12"/>
  <c r="E9" i="12"/>
  <c r="BK9" i="12"/>
  <c r="J11" i="12"/>
  <c r="I11" i="12"/>
  <c r="AP11" i="12"/>
  <c r="F13" i="12"/>
  <c r="E13" i="12"/>
  <c r="BK13" i="12"/>
  <c r="J15" i="12"/>
  <c r="I15" i="12"/>
  <c r="AP15" i="12"/>
  <c r="BH15" i="12"/>
  <c r="BG15" i="12"/>
  <c r="AU21" i="12"/>
  <c r="AT21" i="12"/>
  <c r="AA19" i="12"/>
  <c r="Z19" i="12"/>
  <c r="AQ19" i="12"/>
  <c r="AP19" i="12"/>
  <c r="BH19" i="12"/>
  <c r="BG19" i="12"/>
  <c r="AE21" i="12"/>
  <c r="AD21" i="12"/>
  <c r="BG7" i="12"/>
  <c r="BG11" i="12"/>
  <c r="AM17" i="12"/>
  <c r="AL17" i="12"/>
  <c r="F26" i="12"/>
  <c r="E26" i="12"/>
  <c r="AZ5" i="12"/>
  <c r="AY5" i="12"/>
  <c r="AL5" i="12"/>
  <c r="F5" i="12"/>
  <c r="BP5" i="12"/>
  <c r="BO5" i="12"/>
  <c r="BD17" i="12"/>
  <c r="BC17" i="12"/>
  <c r="N4" i="12"/>
  <c r="M4" i="12"/>
  <c r="AQ5" i="12"/>
  <c r="AP5" i="12"/>
  <c r="BC5" i="12"/>
  <c r="E6" i="12"/>
  <c r="AH7" i="12"/>
  <c r="I8" i="12"/>
  <c r="BC9" i="12"/>
  <c r="E10" i="12"/>
  <c r="AH11" i="12"/>
  <c r="I12" i="12"/>
  <c r="BC13" i="12"/>
  <c r="E14" i="12"/>
  <c r="AH15" i="12"/>
  <c r="BT17" i="12"/>
  <c r="AM21" i="12"/>
  <c r="AL21" i="12"/>
  <c r="BD21" i="12"/>
  <c r="BC21" i="12"/>
  <c r="BU21" i="12"/>
  <c r="BT21" i="12"/>
  <c r="F18" i="12"/>
  <c r="E18" i="12"/>
  <c r="BL21" i="12"/>
  <c r="BK21" i="12"/>
  <c r="BP15" i="12"/>
  <c r="BO15" i="12"/>
  <c r="N22" i="12"/>
  <c r="M22" i="12"/>
  <c r="F22" i="12"/>
  <c r="E22" i="12"/>
  <c r="AP7" i="12"/>
  <c r="BH5" i="12"/>
  <c r="BG5" i="12"/>
  <c r="BT5" i="12"/>
  <c r="AY7" i="12"/>
  <c r="BT9" i="12"/>
  <c r="AY11" i="12"/>
  <c r="BT13" i="12"/>
  <c r="J16" i="12"/>
  <c r="I16" i="12"/>
  <c r="N18" i="12"/>
  <c r="M18" i="12"/>
  <c r="AI19" i="12"/>
  <c r="AH19" i="12"/>
  <c r="AZ19" i="12"/>
  <c r="AY19" i="12"/>
  <c r="BP19" i="12"/>
  <c r="BO19" i="12"/>
  <c r="J24" i="12"/>
  <c r="I24" i="12"/>
  <c r="BK5" i="12"/>
  <c r="I4" i="12"/>
  <c r="AA5" i="12"/>
  <c r="Z5" i="12"/>
  <c r="M6" i="12"/>
  <c r="AL9" i="12"/>
  <c r="M10" i="12"/>
  <c r="AZ15" i="12"/>
  <c r="AY15" i="12"/>
  <c r="AI5" i="12"/>
  <c r="AH5" i="12"/>
  <c r="AT5" i="12"/>
  <c r="Z7" i="12"/>
  <c r="AT9" i="12"/>
  <c r="Z11" i="12"/>
  <c r="AT13" i="12"/>
  <c r="Z15" i="12"/>
  <c r="AE17" i="12"/>
  <c r="AD17" i="12"/>
  <c r="AU17" i="12"/>
  <c r="AT17" i="12"/>
  <c r="BL17" i="12"/>
  <c r="BK17" i="12"/>
  <c r="J20" i="12"/>
  <c r="I20" i="12"/>
  <c r="Z23" i="12"/>
  <c r="AH23" i="12"/>
  <c r="AP23" i="12"/>
  <c r="AY23" i="12"/>
  <c r="BG23" i="12"/>
  <c r="BO23" i="12"/>
  <c r="AD25" i="12"/>
  <c r="AL25" i="12"/>
  <c r="AT25" i="12"/>
  <c r="BC25" i="12"/>
  <c r="BK25" i="12"/>
  <c r="BT25" i="12"/>
  <c r="M26" i="12"/>
  <c r="Z27" i="12"/>
  <c r="AH27" i="12"/>
  <c r="AP27" i="12"/>
  <c r="AY27" i="12"/>
  <c r="BG27" i="12"/>
  <c r="BO27" i="12"/>
  <c r="E17" i="12"/>
  <c r="I19" i="12"/>
  <c r="E21" i="12"/>
  <c r="I23" i="12"/>
  <c r="E25" i="12"/>
  <c r="AD7" i="12"/>
  <c r="AL7" i="12"/>
  <c r="AT7" i="12"/>
  <c r="BC7" i="12"/>
  <c r="BK7" i="12"/>
  <c r="BT7" i="12"/>
  <c r="M8" i="12"/>
  <c r="Z9" i="12"/>
  <c r="AH9" i="12"/>
  <c r="AP9" i="12"/>
  <c r="AY9" i="12"/>
  <c r="BG9" i="12"/>
  <c r="BO9" i="12"/>
  <c r="AD11" i="12"/>
  <c r="AL11" i="12"/>
  <c r="AT11" i="12"/>
  <c r="BC11" i="12"/>
  <c r="BK11" i="12"/>
  <c r="BT11" i="12"/>
  <c r="M12" i="12"/>
  <c r="Z13" i="12"/>
  <c r="AH13" i="12"/>
  <c r="AP13" i="12"/>
  <c r="AY13" i="12"/>
  <c r="BG13" i="12"/>
  <c r="BO13" i="12"/>
  <c r="AD15" i="12"/>
  <c r="AL15" i="12"/>
  <c r="AT15" i="12"/>
  <c r="BC15" i="12"/>
  <c r="BK15" i="12"/>
  <c r="BT15" i="12"/>
  <c r="M16" i="12"/>
  <c r="Z17" i="12"/>
  <c r="AH17" i="12"/>
  <c r="AP17" i="12"/>
  <c r="AY17" i="12"/>
  <c r="BG17" i="12"/>
  <c r="BO17" i="12"/>
  <c r="AD19" i="12"/>
  <c r="AL19" i="12"/>
  <c r="AT19" i="12"/>
  <c r="BC19" i="12"/>
  <c r="BK19" i="12"/>
  <c r="BT19" i="12"/>
  <c r="M20" i="12"/>
  <c r="Z21" i="12"/>
  <c r="AH21" i="12"/>
  <c r="AP21" i="12"/>
  <c r="AY21" i="12"/>
  <c r="BG21" i="12"/>
  <c r="BO21" i="12"/>
  <c r="I22" i="12"/>
  <c r="AD23" i="12"/>
  <c r="AL23" i="12"/>
  <c r="AT23" i="12"/>
  <c r="BC23" i="12"/>
  <c r="BK23" i="12"/>
  <c r="BT23" i="12"/>
  <c r="M24" i="12"/>
  <c r="Z25" i="12"/>
  <c r="AH25" i="12"/>
  <c r="AP25" i="12"/>
  <c r="AY25" i="12"/>
  <c r="BG25" i="12"/>
  <c r="BO25" i="12"/>
  <c r="E4" i="12"/>
  <c r="O12" i="10"/>
  <c r="AI6" i="10"/>
  <c r="AN10" i="10"/>
  <c r="O4" i="10"/>
  <c r="AM6" i="10"/>
  <c r="AR12" i="10"/>
  <c r="AD19" i="10"/>
  <c r="AR25" i="10"/>
  <c r="AL30" i="10"/>
  <c r="AR4" i="10"/>
  <c r="AD11" i="10"/>
  <c r="O13" i="10"/>
  <c r="AM15" i="10"/>
  <c r="AR17" i="10"/>
  <c r="AM22" i="10"/>
  <c r="Z24" i="10"/>
  <c r="AD28" i="10"/>
  <c r="AL7" i="10"/>
  <c r="AL11" i="10"/>
  <c r="O20" i="10"/>
  <c r="AI24" i="10"/>
  <c r="AI26" i="10"/>
  <c r="Z31" i="10"/>
  <c r="AI34" i="10"/>
  <c r="AD7" i="10"/>
  <c r="AN9" i="10"/>
  <c r="AN13" i="10"/>
  <c r="AR22" i="10"/>
  <c r="AL5" i="10"/>
  <c r="AD20" i="10"/>
  <c r="AM26" i="10"/>
  <c r="O9" i="10"/>
  <c r="AN5" i="10"/>
  <c r="AM14" i="10"/>
  <c r="Z16" i="10"/>
  <c r="AM18" i="10"/>
  <c r="AN29" i="10"/>
  <c r="Z35" i="10"/>
  <c r="AL10" i="10"/>
  <c r="AI16" i="10"/>
  <c r="Z21" i="10"/>
  <c r="AI23" i="10"/>
  <c r="O25" i="10"/>
  <c r="AD27" i="10"/>
  <c r="AN32" i="10"/>
  <c r="AR14" i="10"/>
  <c r="AD8" i="10"/>
  <c r="AD12" i="10"/>
  <c r="AR21" i="10"/>
  <c r="AM23" i="10"/>
  <c r="AN25" i="10"/>
  <c r="AL27" i="10"/>
  <c r="O36" i="10"/>
  <c r="O29" i="10"/>
  <c r="AM34" i="10"/>
  <c r="AI35" i="10"/>
  <c r="AM4" i="10"/>
  <c r="AI5" i="10"/>
  <c r="AD6" i="10"/>
  <c r="Z7" i="10"/>
  <c r="AR8" i="10"/>
  <c r="AM9" i="10"/>
  <c r="AI10" i="10"/>
  <c r="Z11" i="10"/>
  <c r="AM13" i="10"/>
  <c r="AL14" i="10"/>
  <c r="AD15" i="10"/>
  <c r="O16" i="10"/>
  <c r="AN17" i="10"/>
  <c r="AL18" i="10"/>
  <c r="Z19" i="10"/>
  <c r="AR20" i="10"/>
  <c r="AN21" i="10"/>
  <c r="AL22" i="10"/>
  <c r="AD23" i="10"/>
  <c r="O24" i="10"/>
  <c r="AR24" i="10"/>
  <c r="AM25" i="10"/>
  <c r="AD26" i="10"/>
  <c r="Z27" i="10"/>
  <c r="AR28" i="10"/>
  <c r="AM29" i="10"/>
  <c r="AI30" i="10"/>
  <c r="O31" i="10"/>
  <c r="AR31" i="10"/>
  <c r="AM32" i="10"/>
  <c r="AI33" i="10"/>
  <c r="AD34" i="10"/>
  <c r="O35" i="10"/>
  <c r="AR36" i="10"/>
  <c r="AR68" i="10" s="1"/>
  <c r="AN37" i="10"/>
  <c r="AM5" i="10"/>
  <c r="AL6" i="10"/>
  <c r="AI7" i="10"/>
  <c r="Z8" i="10"/>
  <c r="AR9" i="10"/>
  <c r="AM10" i="10"/>
  <c r="AI11" i="10"/>
  <c r="Z12" i="10"/>
  <c r="AR13" i="10"/>
  <c r="AN14" i="10"/>
  <c r="AL15" i="10"/>
  <c r="AD16" i="10"/>
  <c r="O17" i="10"/>
  <c r="AN18" i="10"/>
  <c r="AI19" i="10"/>
  <c r="Z20" i="10"/>
  <c r="O21" i="10"/>
  <c r="AN22" i="10"/>
  <c r="AL23" i="10"/>
  <c r="AD24" i="10"/>
  <c r="AL26" i="10"/>
  <c r="AI27" i="10"/>
  <c r="Z28" i="10"/>
  <c r="AR29" i="10"/>
  <c r="AM30" i="10"/>
  <c r="AD31" i="10"/>
  <c r="AR32" i="10"/>
  <c r="AM33" i="10"/>
  <c r="AL34" i="10"/>
  <c r="AD35" i="10"/>
  <c r="Z36" i="10"/>
  <c r="AI31" i="10"/>
  <c r="AR5" i="10"/>
  <c r="AN6" i="10"/>
  <c r="AM7" i="10"/>
  <c r="AI8" i="10"/>
  <c r="Z9" i="10"/>
  <c r="AR10" i="10"/>
  <c r="AM11" i="10"/>
  <c r="AI12" i="10"/>
  <c r="Z13" i="10"/>
  <c r="O14" i="10"/>
  <c r="AN15" i="10"/>
  <c r="AL16" i="10"/>
  <c r="AD17" i="10"/>
  <c r="O18" i="10"/>
  <c r="AR18" i="10"/>
  <c r="AM19" i="10"/>
  <c r="AI20" i="10"/>
  <c r="AD21" i="10"/>
  <c r="O22" i="10"/>
  <c r="AN23" i="10"/>
  <c r="AL24" i="10"/>
  <c r="Z25" i="10"/>
  <c r="AN26" i="10"/>
  <c r="AM27" i="10"/>
  <c r="AI28" i="10"/>
  <c r="Z29" i="10"/>
  <c r="AL31" i="10"/>
  <c r="Z32" i="10"/>
  <c r="AR33" i="10"/>
  <c r="AN34" i="10"/>
  <c r="AL35" i="10"/>
  <c r="AI36" i="10"/>
  <c r="AN33" i="10"/>
  <c r="AD4" i="10"/>
  <c r="AR6" i="10"/>
  <c r="AN7" i="10"/>
  <c r="AL8" i="10"/>
  <c r="AD9" i="10"/>
  <c r="O10" i="10"/>
  <c r="AN11" i="10"/>
  <c r="AL12" i="10"/>
  <c r="AD13" i="10"/>
  <c r="Z14" i="10"/>
  <c r="AR15" i="10"/>
  <c r="AM16" i="10"/>
  <c r="AI17" i="10"/>
  <c r="Z18" i="10"/>
  <c r="AN19" i="10"/>
  <c r="AL20" i="10"/>
  <c r="AI21" i="10"/>
  <c r="Z22" i="10"/>
  <c r="AR23" i="10"/>
  <c r="AM24" i="10"/>
  <c r="AD25" i="10"/>
  <c r="AR26" i="10"/>
  <c r="AN27" i="10"/>
  <c r="AL28" i="10"/>
  <c r="AD29" i="10"/>
  <c r="O30" i="10"/>
  <c r="AR30" i="10"/>
  <c r="AM31" i="10"/>
  <c r="AD32" i="10"/>
  <c r="O33" i="10"/>
  <c r="AM35" i="10"/>
  <c r="AL36" i="10"/>
  <c r="O32" i="10"/>
  <c r="AD36" i="10"/>
  <c r="Z4" i="10"/>
  <c r="O5" i="10"/>
  <c r="AI4" i="10"/>
  <c r="Z5" i="10"/>
  <c r="O6" i="10"/>
  <c r="AR7" i="10"/>
  <c r="AM8" i="10"/>
  <c r="AI9" i="10"/>
  <c r="Z10" i="10"/>
  <c r="AR11" i="10"/>
  <c r="AM12" i="10"/>
  <c r="AI13" i="10"/>
  <c r="AD14" i="10"/>
  <c r="O15" i="10"/>
  <c r="AN16" i="10"/>
  <c r="AL17" i="10"/>
  <c r="AD18" i="10"/>
  <c r="AM20" i="10"/>
  <c r="AL21" i="10"/>
  <c r="AD22" i="10"/>
  <c r="O23" i="10"/>
  <c r="AN24" i="10"/>
  <c r="AI25" i="10"/>
  <c r="O26" i="10"/>
  <c r="AM28" i="10"/>
  <c r="AI29" i="10"/>
  <c r="Z30" i="10"/>
  <c r="AN31" i="10"/>
  <c r="AI32" i="10"/>
  <c r="Z33" i="10"/>
  <c r="O34" i="10"/>
  <c r="AR34" i="10"/>
  <c r="AN35" i="10"/>
  <c r="AM36" i="10"/>
  <c r="AN30" i="10"/>
  <c r="AL4" i="10"/>
  <c r="AD5" i="10"/>
  <c r="Z6" i="10"/>
  <c r="O7" i="10"/>
  <c r="AN8" i="10"/>
  <c r="AL9" i="10"/>
  <c r="AD10" i="10"/>
  <c r="O11" i="10"/>
  <c r="AN12" i="10"/>
  <c r="AL13" i="10"/>
  <c r="AI14" i="10"/>
  <c r="Z15" i="10"/>
  <c r="AR16" i="10"/>
  <c r="AM17" i="10"/>
  <c r="AI18" i="10"/>
  <c r="O19" i="10"/>
  <c r="AR19" i="10"/>
  <c r="AN20" i="10"/>
  <c r="AM21" i="10"/>
  <c r="AI22" i="10"/>
  <c r="Z23" i="10"/>
  <c r="AL25" i="10"/>
  <c r="Z26" i="10"/>
  <c r="O27" i="10"/>
  <c r="AR27" i="10"/>
  <c r="AN28" i="10"/>
  <c r="AL29" i="10"/>
  <c r="AD30" i="10"/>
  <c r="AL32" i="10"/>
  <c r="AD33" i="10"/>
  <c r="Z34" i="10"/>
  <c r="AR35" i="10"/>
  <c r="AN36" i="10"/>
  <c r="AM37" i="10"/>
  <c r="O11" i="11"/>
  <c r="J24" i="11"/>
  <c r="J29" i="11"/>
  <c r="L29" i="11" s="1"/>
  <c r="K24" i="11"/>
  <c r="O26" i="11"/>
  <c r="I37" i="11"/>
  <c r="O25" i="11"/>
  <c r="K23" i="11"/>
  <c r="K13" i="11"/>
  <c r="N10" i="11"/>
  <c r="O28" i="11"/>
  <c r="N18" i="11"/>
  <c r="J28" i="11"/>
  <c r="N25" i="11"/>
  <c r="J23" i="11"/>
  <c r="N20" i="11"/>
  <c r="J18" i="11"/>
  <c r="N16" i="11"/>
  <c r="K26" i="11"/>
  <c r="O24" i="11"/>
  <c r="K22" i="11"/>
  <c r="K11" i="11"/>
  <c r="I35" i="11"/>
  <c r="O29" i="11"/>
  <c r="J26" i="11"/>
  <c r="N24" i="11"/>
  <c r="J22" i="11"/>
  <c r="N19" i="11"/>
  <c r="J17" i="11"/>
  <c r="N15" i="11"/>
  <c r="N29" i="11"/>
  <c r="K25" i="11"/>
  <c r="O23" i="11"/>
  <c r="O13" i="11"/>
  <c r="N28" i="11"/>
  <c r="J25" i="11"/>
  <c r="N23" i="11"/>
  <c r="J20" i="11"/>
  <c r="J16" i="11"/>
  <c r="O12" i="11"/>
  <c r="J19" i="11"/>
  <c r="O22" i="11"/>
  <c r="O10" i="11"/>
  <c r="J15" i="11"/>
  <c r="N17" i="11"/>
  <c r="N26" i="11"/>
  <c r="O37" i="11" l="1"/>
  <c r="Q37" i="11" s="1"/>
  <c r="P36" i="11"/>
  <c r="P35" i="11"/>
  <c r="O35" i="11"/>
  <c r="O34" i="11"/>
  <c r="O33" i="11"/>
  <c r="Z68" i="10"/>
  <c r="AO37" i="10"/>
  <c r="O18" i="11"/>
  <c r="Q18" i="11" s="1"/>
  <c r="K18" i="11"/>
  <c r="M18" i="11" s="1"/>
  <c r="O17" i="11"/>
  <c r="Q17" i="11" s="1"/>
  <c r="AO4" i="10"/>
  <c r="AO10" i="10"/>
  <c r="AO25" i="10"/>
  <c r="AO9" i="10"/>
  <c r="AO32" i="10"/>
  <c r="AO5" i="10"/>
  <c r="O15" i="11"/>
  <c r="P15" i="11" s="1"/>
  <c r="O16" i="11"/>
  <c r="P16" i="11" s="1"/>
  <c r="O20" i="11"/>
  <c r="Q20" i="11" s="1"/>
  <c r="K16" i="11"/>
  <c r="P33" i="11" s="1"/>
  <c r="AO8" i="10"/>
  <c r="K17" i="11"/>
  <c r="AO28" i="10"/>
  <c r="AO12" i="10"/>
  <c r="L15" i="11"/>
  <c r="AO33" i="10"/>
  <c r="AO23" i="10"/>
  <c r="AO27" i="10"/>
  <c r="AO19" i="10"/>
  <c r="AO35" i="10"/>
  <c r="AO30" i="10"/>
  <c r="AO22" i="10"/>
  <c r="K20" i="11"/>
  <c r="M20" i="11" s="1"/>
  <c r="AO31" i="10"/>
  <c r="AO7" i="10"/>
  <c r="AO34" i="10"/>
  <c r="AO26" i="10"/>
  <c r="AM68" i="10"/>
  <c r="AO13" i="10"/>
  <c r="AO18" i="10"/>
  <c r="AO11" i="10"/>
  <c r="AO15" i="10"/>
  <c r="AL68" i="10"/>
  <c r="AO21" i="10"/>
  <c r="AO14" i="10"/>
  <c r="AO6" i="10"/>
  <c r="AO20" i="10"/>
  <c r="AO24" i="10"/>
  <c r="AN68" i="10"/>
  <c r="AO17" i="10"/>
  <c r="AI68" i="10"/>
  <c r="AO16" i="10"/>
  <c r="O68" i="10"/>
  <c r="AO29" i="10"/>
  <c r="I6" i="11"/>
  <c r="J13" i="11"/>
  <c r="L13" i="11" s="1"/>
  <c r="J12" i="11"/>
  <c r="L12" i="11" s="1"/>
  <c r="J11" i="11"/>
  <c r="Q28" i="11"/>
  <c r="P28" i="11"/>
  <c r="Q25" i="11"/>
  <c r="P25" i="11"/>
  <c r="N13" i="11"/>
  <c r="P13" i="11" s="1"/>
  <c r="N11" i="11"/>
  <c r="P11" i="11" s="1"/>
  <c r="N12" i="11"/>
  <c r="P12" i="11" s="1"/>
  <c r="P26" i="11"/>
  <c r="Q26" i="11"/>
  <c r="M23" i="11"/>
  <c r="L23" i="11"/>
  <c r="K10" i="11"/>
  <c r="L10" i="11" s="1"/>
  <c r="I11" i="11"/>
  <c r="I13" i="11"/>
  <c r="I24" i="11"/>
  <c r="L24" i="11"/>
  <c r="M24" i="11"/>
  <c r="I12" i="11"/>
  <c r="P22" i="11"/>
  <c r="Q22" i="11"/>
  <c r="M22" i="11"/>
  <c r="L22" i="11"/>
  <c r="Q24" i="11"/>
  <c r="P24" i="11"/>
  <c r="M28" i="11"/>
  <c r="L28" i="11"/>
  <c r="Q23" i="11"/>
  <c r="P23" i="11"/>
  <c r="Q10" i="11"/>
  <c r="P10" i="11"/>
  <c r="M25" i="11"/>
  <c r="L25" i="11"/>
  <c r="I25" i="11"/>
  <c r="Q29" i="11"/>
  <c r="P29" i="11"/>
  <c r="M26" i="11"/>
  <c r="L26" i="11"/>
  <c r="I26" i="11"/>
  <c r="O36" i="11" l="1"/>
  <c r="Q36" i="11" s="1"/>
  <c r="Q35" i="11"/>
  <c r="Q33" i="11"/>
  <c r="M11" i="11"/>
  <c r="L17" i="11"/>
  <c r="L16" i="11"/>
  <c r="I23" i="11"/>
  <c r="P18" i="11"/>
  <c r="P17" i="11"/>
  <c r="Q15" i="11"/>
  <c r="Q16" i="11"/>
  <c r="O19" i="11"/>
  <c r="Q19" i="11" s="1"/>
  <c r="P20" i="11"/>
  <c r="I16" i="11"/>
  <c r="M16" i="11"/>
  <c r="I18" i="11"/>
  <c r="L18" i="11"/>
  <c r="I17" i="11"/>
  <c r="M17" i="11"/>
  <c r="M15" i="11"/>
  <c r="L20" i="11"/>
  <c r="AO68" i="10"/>
  <c r="I20" i="11" s="1"/>
  <c r="K19" i="11"/>
  <c r="L11" i="11"/>
  <c r="Q11" i="11"/>
  <c r="M12" i="11"/>
  <c r="M13" i="11"/>
  <c r="Q12" i="11"/>
  <c r="Q13" i="11"/>
  <c r="I10" i="11"/>
  <c r="M10" i="11"/>
  <c r="P34" i="11" l="1"/>
  <c r="Q34" i="11" s="1"/>
  <c r="I22" i="11"/>
  <c r="P19" i="11"/>
  <c r="M19" i="11"/>
  <c r="I19" i="11"/>
  <c r="L19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<sst xmlns="http://schemas.openxmlformats.org/spreadsheetml/2006/main" count="687" uniqueCount="242">
  <si>
    <t>INBOUND</t>
  </si>
  <si>
    <t>B2C</t>
  </si>
  <si>
    <t>PERFIL</t>
  </si>
  <si>
    <t>B2B</t>
  </si>
  <si>
    <t>BOUTIQUE</t>
  </si>
  <si>
    <t>ABASTECIMENTO CDs</t>
  </si>
  <si>
    <t>TRADE</t>
  </si>
  <si>
    <t>AGENTS</t>
  </si>
  <si>
    <t>RETRABALHO</t>
  </si>
  <si>
    <t>DEVOLUÇÃO</t>
  </si>
  <si>
    <t>SLA</t>
  </si>
  <si>
    <t>PALLETS</t>
  </si>
  <si>
    <t>FAMÍLIA</t>
  </si>
  <si>
    <t>LOCAL SEPARAÇÃO</t>
  </si>
  <si>
    <t>HSE</t>
  </si>
  <si>
    <t>OUT</t>
  </si>
  <si>
    <t>Dia</t>
  </si>
  <si>
    <t>Semana</t>
  </si>
  <si>
    <t>Veículos Planejados Inbound</t>
  </si>
  <si>
    <t>Veículos Recebidos Inbound</t>
  </si>
  <si>
    <t>Pallets Planejados</t>
  </si>
  <si>
    <t>Pallets Recebidos</t>
  </si>
  <si>
    <t>Pallets Homogêneo</t>
  </si>
  <si>
    <t>Pallets Heterogêneo</t>
  </si>
  <si>
    <t xml:space="preserve">Pallets Repaletozado Café </t>
  </si>
  <si>
    <t>Aderência Inbound</t>
  </si>
  <si>
    <t>Pedidos Planejados</t>
  </si>
  <si>
    <t>Pedidos Integrados</t>
  </si>
  <si>
    <t>Pedidos Separados</t>
  </si>
  <si>
    <t>Pedidos Carregados</t>
  </si>
  <si>
    <t>Pedidos Despachado</t>
  </si>
  <si>
    <t>Aderência B2C</t>
  </si>
  <si>
    <t>Café</t>
  </si>
  <si>
    <t>Acessório</t>
  </si>
  <si>
    <t>PTL</t>
  </si>
  <si>
    <t>PTL + SMK</t>
  </si>
  <si>
    <t>SMK</t>
  </si>
  <si>
    <t>Aderência B2B</t>
  </si>
  <si>
    <t>Cargas Planejados</t>
  </si>
  <si>
    <t>Aderência Boutique</t>
  </si>
  <si>
    <t>Abastecimento Planejados</t>
  </si>
  <si>
    <t>Abastecimento Separados</t>
  </si>
  <si>
    <t>Aderência Abastecimento</t>
  </si>
  <si>
    <t>Maquinas Planejadas</t>
  </si>
  <si>
    <t>Outros CS</t>
  </si>
  <si>
    <t>Café CS</t>
  </si>
  <si>
    <t>Maquinas Separadas EA</t>
  </si>
  <si>
    <t>Total Trade</t>
  </si>
  <si>
    <t>Aderência Trade</t>
  </si>
  <si>
    <t>Agents Planejados</t>
  </si>
  <si>
    <t>Agents Separados</t>
  </si>
  <si>
    <t>Aderência Agents</t>
  </si>
  <si>
    <t>Estojamento Planejado</t>
  </si>
  <si>
    <t>Estojamento Realizado</t>
  </si>
  <si>
    <t>Aderência Estojamento</t>
  </si>
  <si>
    <t>Pack de Café Planejado</t>
  </si>
  <si>
    <t>Pack de Café Realizado</t>
  </si>
  <si>
    <t>Aderência Pack</t>
  </si>
  <si>
    <t>Combo Planejado</t>
  </si>
  <si>
    <t>Combo Realizado</t>
  </si>
  <si>
    <t>Aderência Combo</t>
  </si>
  <si>
    <t>QR CODE Planejado</t>
  </si>
  <si>
    <t>QR CODE Realizado</t>
  </si>
  <si>
    <t>Aderência QR CODE</t>
  </si>
  <si>
    <t>Etiquetagem Planejado</t>
  </si>
  <si>
    <t>Etiquetagem Realizado</t>
  </si>
  <si>
    <t>Aderência Etiquetagem</t>
  </si>
  <si>
    <t>Devolução Planejado</t>
  </si>
  <si>
    <t>Devolução  Pedidos</t>
  </si>
  <si>
    <t>Aderência Devolução de Pedidos</t>
  </si>
  <si>
    <t>Devolução Planejada  Máquinas B2B</t>
  </si>
  <si>
    <t>Devolução Total Máquinas</t>
  </si>
  <si>
    <t xml:space="preserve">Aderência Devolução de Máquinas </t>
  </si>
  <si>
    <t>Acidente com Afastamento</t>
  </si>
  <si>
    <t>Tempo de Descarga de Veículo</t>
  </si>
  <si>
    <t>Atendimento de Janela DHL</t>
  </si>
  <si>
    <t>Backlog de CD</t>
  </si>
  <si>
    <t>BTQ OTIF</t>
  </si>
  <si>
    <t>Dom</t>
  </si>
  <si>
    <t>Seg</t>
  </si>
  <si>
    <t>Ter</t>
  </si>
  <si>
    <t>Qua</t>
  </si>
  <si>
    <t>Qui</t>
  </si>
  <si>
    <t>Sex</t>
  </si>
  <si>
    <t>MTD-06</t>
  </si>
  <si>
    <t>DIA</t>
  </si>
  <si>
    <t>Medida</t>
  </si>
  <si>
    <t>UOM</t>
  </si>
  <si>
    <t>Soma de Unidades</t>
  </si>
  <si>
    <t>Data</t>
  </si>
  <si>
    <t>Locais</t>
  </si>
  <si>
    <t>NE - OCUPAÇÃO - Alto</t>
  </si>
  <si>
    <t>Summary Report - Nespresso</t>
  </si>
  <si>
    <t>TOTAL</t>
  </si>
  <si>
    <t>MTD</t>
  </si>
  <si>
    <t>D-1</t>
  </si>
  <si>
    <t>Inicio</t>
  </si>
  <si>
    <t>Phasing</t>
  </si>
  <si>
    <t>%</t>
  </si>
  <si>
    <t>Actual</t>
  </si>
  <si>
    <t>Gap / Over</t>
  </si>
  <si>
    <t>Final</t>
  </si>
  <si>
    <t xml:space="preserve">PALLET TOTAL INBOUND </t>
  </si>
  <si>
    <t>HOMOGÊNEO</t>
  </si>
  <si>
    <t>HETEROGÊNEO</t>
  </si>
  <si>
    <t>REPALLETIZADO CAFÉ</t>
  </si>
  <si>
    <t>ABASTECIMENTO DE CD</t>
  </si>
  <si>
    <t>ESTOJAMENTO</t>
  </si>
  <si>
    <t>PACK DE CAFÉ</t>
  </si>
  <si>
    <t>COMBO</t>
  </si>
  <si>
    <t>QR CODE</t>
  </si>
  <si>
    <t>ETIQUETAGEM</t>
  </si>
  <si>
    <t xml:space="preserve"> DEVOLUÇÃO PEDIDOS</t>
  </si>
  <si>
    <t>DEVOLUÇÃO MAQ B2B</t>
  </si>
  <si>
    <t>PERFIL B2C</t>
  </si>
  <si>
    <t>CAFÉ</t>
  </si>
  <si>
    <t>ACESSÓRIO</t>
  </si>
  <si>
    <t>IN  - Moving (veículos)</t>
  </si>
  <si>
    <t>IN - Recebimento (veículos)</t>
  </si>
  <si>
    <t>IN - Pallets</t>
  </si>
  <si>
    <t>IN - Pallet Heterogêneo</t>
  </si>
  <si>
    <t>IN - Pallet Café</t>
  </si>
  <si>
    <t>OUT - Trade (Máquinas)</t>
  </si>
  <si>
    <t>OUT - B2B (Pedidos)</t>
  </si>
  <si>
    <t>OUT - BOUTIQUE (Cargas)</t>
  </si>
  <si>
    <t>OUT - B2C (Pedidos)</t>
  </si>
  <si>
    <t>Agents (Pallet)</t>
  </si>
  <si>
    <t>Abastecimento (Pallet)</t>
  </si>
  <si>
    <t>Estojamento (Unidades)</t>
  </si>
  <si>
    <t>Pack (Unidades)</t>
  </si>
  <si>
    <t>Combos (Unidades)</t>
  </si>
  <si>
    <t>QR Code (Máquinas)</t>
  </si>
  <si>
    <t>Etiquetagem (Máquinas)</t>
  </si>
  <si>
    <t>Devolução (Pedidos)</t>
  </si>
  <si>
    <t>Ocupação (plls)</t>
  </si>
  <si>
    <t>Plan.</t>
  </si>
  <si>
    <t>Realiz.</t>
  </si>
  <si>
    <t>Dif</t>
  </si>
  <si>
    <t>Cap.</t>
  </si>
  <si>
    <t>Ocupado</t>
  </si>
  <si>
    <t>Sab</t>
  </si>
  <si>
    <t>&gt;&gt;&gt;</t>
  </si>
  <si>
    <t>Carregadas Extras</t>
  </si>
  <si>
    <t>Cargas Separados Total</t>
  </si>
  <si>
    <t>Cargas Separadas</t>
  </si>
  <si>
    <t>Volumes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</si>
  <si>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</si>
  <si>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</si>
  <si>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</si>
  <si>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</si>
  <si>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</si>
  <si>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</si>
  <si>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</si>
  <si>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</si>
  <si>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</si>
  <si>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</si>
  <si>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</si>
  <si>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</si>
  <si>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Handling in Uniform Pallets</t>
  </si>
  <si>
    <t>Handling in Non Uniform Pallets</t>
  </si>
  <si>
    <t>Clamp</t>
  </si>
  <si>
    <t>Returns Customers</t>
  </si>
  <si>
    <t>Returns Machines B2B</t>
  </si>
  <si>
    <t>Storage</t>
  </si>
  <si>
    <t>Storage Pallets 2,1</t>
  </si>
  <si>
    <t>Storage Pallets 1,0</t>
  </si>
  <si>
    <t>Picking &amp; Packing B2C</t>
  </si>
  <si>
    <t>Picking &amp; Packing B2B</t>
  </si>
  <si>
    <t>BTQ + Broker Preparation</t>
  </si>
  <si>
    <t>Replenishment (DCs/Stock Locations)</t>
  </si>
  <si>
    <t>B2B Agents</t>
  </si>
  <si>
    <t>Winset preparation</t>
  </si>
  <si>
    <t>Labelling</t>
  </si>
  <si>
    <t>Kit Assembling</t>
  </si>
  <si>
    <t>Packs</t>
  </si>
  <si>
    <t>Trade Preparation</t>
  </si>
  <si>
    <t>QR Code (Média ano anterior real)</t>
  </si>
  <si>
    <t>DATA</t>
  </si>
  <si>
    <t>OBS</t>
  </si>
  <si>
    <t>B2C, 75 Dias</t>
  </si>
  <si>
    <t>B2B, 75 Dias</t>
  </si>
  <si>
    <t>B2C Total</t>
  </si>
  <si>
    <t>B2B Total</t>
  </si>
  <si>
    <t>PERCENTUAL B2C TOTAL</t>
  </si>
  <si>
    <t>PERCENTUAL B2B TOTAL</t>
  </si>
  <si>
    <t>PERCENTUAL 75 DIAS B2C</t>
  </si>
  <si>
    <t>PERCENTUAL 75 DIAS B2B</t>
  </si>
  <si>
    <t>B2C 75 DAYS</t>
  </si>
  <si>
    <t>B2B 75 DAYS</t>
  </si>
  <si>
    <t>B2C + 25%</t>
  </si>
  <si>
    <t>B2B + 25%</t>
  </si>
  <si>
    <t>QTD DAYS MOTH ADM</t>
  </si>
  <si>
    <t>QTD DAYS MOTH OPERATION</t>
  </si>
  <si>
    <t>BOUTIQUES</t>
  </si>
  <si>
    <t>QTD ENTREGAS</t>
  </si>
  <si>
    <t>DAYS</t>
  </si>
  <si>
    <t>QTY TOTAL</t>
  </si>
  <si>
    <t>SETOR</t>
  </si>
  <si>
    <t>TRADES</t>
  </si>
  <si>
    <t>PACK</t>
  </si>
  <si>
    <t>DEVOLUÇÃO DE PEDIDOS</t>
  </si>
  <si>
    <t>DEVOLUÇÃO DE MÁQUINAS B2B</t>
  </si>
  <si>
    <t>MEDIDA</t>
  </si>
  <si>
    <t>SHIPMMENT</t>
  </si>
  <si>
    <t>MACHINES</t>
  </si>
  <si>
    <t>UNIDADE PACK</t>
  </si>
  <si>
    <t>UNIDADE COMBO</t>
  </si>
  <si>
    <t>UNIDADE DE QR CODE</t>
  </si>
  <si>
    <t>UNIDADE DE ETQ</t>
  </si>
  <si>
    <t>ORDER</t>
  </si>
  <si>
    <t>QTD ENTREGAS ROUND</t>
  </si>
  <si>
    <t>STS</t>
  </si>
  <si>
    <t>QTD ENTREGAS 75 DAYS</t>
  </si>
  <si>
    <t>QTD ENTREGAS CALENDAR</t>
  </si>
  <si>
    <t>PERCENTUAL</t>
  </si>
  <si>
    <t>QTD ENTREGAS SUMMARY</t>
  </si>
  <si>
    <t>REAL</t>
  </si>
  <si>
    <t>PLANEJADO</t>
  </si>
  <si>
    <t>BACKLOG</t>
  </si>
  <si>
    <t>-</t>
  </si>
  <si>
    <t>NE - SEPARAÇÃO - Pedidos B2C</t>
  </si>
  <si>
    <t>Pedido</t>
  </si>
  <si>
    <t>NE - SEPARAÇÃO - Trade maquinas</t>
  </si>
  <si>
    <t>Maquina</t>
  </si>
  <si>
    <t>NE - OCUPAÇÃO - Baixo</t>
  </si>
  <si>
    <t>NE - SEPARAÇÃO - Trade Café</t>
  </si>
  <si>
    <t>Caixas</t>
  </si>
  <si>
    <t>NE - SEPARAÇÃO - Pedidos B2B</t>
  </si>
  <si>
    <t>NE - EXPEDICAO - Pallets Montados</t>
  </si>
  <si>
    <t>PLTS</t>
  </si>
  <si>
    <t>NE - EXPEDICAO - Custo Unitário por pallet separado Outros CDs</t>
  </si>
  <si>
    <t>NE - SEPARAÇÃO - Custo Unitário por pallet separado (Agents B2B / POSM Trade)</t>
  </si>
  <si>
    <t>NE - EXPEDICAO - Abastecimento Boutiques</t>
  </si>
  <si>
    <t>Carga</t>
  </si>
  <si>
    <t>NE - SEPARAÇÃO - Trade Acessórios</t>
  </si>
  <si>
    <t>DG - OCUPAÇÃO - Alto</t>
  </si>
  <si>
    <t>DG - OCUPAÇÃO - Baixo</t>
  </si>
  <si>
    <t>ECOM</t>
  </si>
  <si>
    <t>VAREJO</t>
  </si>
  <si>
    <t>REWORK</t>
  </si>
  <si>
    <t>PHASING</t>
  </si>
  <si>
    <t>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</si>
</sst>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0.0%"/>
    <numFmt numFmtId="165" formatCode="_(* #,##0_);_(* \(#,##0\);_(* &quot;-&quot;_);_(@_)"/>
    <numFmt numFmtId="166" formatCode="_-* #,##0_-;\-* #,##0_-;_-* &quot;-&quot;??_-;_-@_-"/>
  </numFmts>
  <fonts count="3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70C0"/>
      <name val="Calibri"/>
      <family val="2"/>
      <scheme val="minor"/>
    </font>
    <font>
      <sz val="10"/>
      <color rgb="FF000000"/>
      <name val="Arial"/>
      <family val="2"/>
    </font>
    <font>
      <sz val="11"/>
      <color theme="1" tint="0.34998626667073579"/>
      <name val="Arial"/>
      <family val="2"/>
    </font>
    <font>
      <sz val="11"/>
      <name val="Arial"/>
      <family val="2"/>
    </font>
    <font>
      <sz val="11"/>
      <color rgb="FFFF0000"/>
      <name val="Arial"/>
      <family val="2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Arial"/>
      <family val="2"/>
    </font>
    <font>
      <b/>
      <sz val="12"/>
      <name val="Arial"/>
      <family val="2"/>
    </font>
    <font>
      <b/>
      <sz val="20"/>
      <name val="Arial"/>
      <family val="2"/>
    </font>
    <font>
      <b/>
      <sz val="11"/>
      <color theme="1" tint="0.14999847407452621"/>
      <name val="Arial"/>
      <family val="2"/>
    </font>
    <font>
      <sz val="12"/>
      <name val="Arial"/>
      <family val="2"/>
    </font>
    <font>
      <b/>
      <sz val="11"/>
      <color theme="1" tint="0.34998626667073579"/>
      <name val="Arial"/>
      <family val="2"/>
    </font>
    <font>
      <sz val="11"/>
      <color theme="1"/>
      <name val="Arial"/>
      <family val="2"/>
    </font>
    <font>
      <sz val="11"/>
      <color theme="8"/>
      <name val="Arial"/>
      <family val="2"/>
    </font>
    <font>
      <sz val="11"/>
      <color theme="4"/>
      <name val="Arial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charset val="1"/>
    </font>
    <font>
      <u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Times New Roman"/>
      <family val="1"/>
    </font>
    <font>
      <sz val="10"/>
      <color rgb="FF000000"/>
      <name val="Calibri"/>
      <family val="2"/>
    </font>
    <font>
      <sz val="9"/>
      <color rgb="FF000000"/>
      <name val="Calibri"/>
      <family val="2"/>
    </font>
    <font>
      <u/>
      <sz val="9"/>
      <color rgb="FF000000"/>
      <name val="Calibri"/>
      <family val="2"/>
    </font>
    <font>
      <b/>
      <u/>
      <sz val="9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0"/>
      <color rgb="FF000000"/>
      <name val="Times New Roman"/>
      <family val="1"/>
    </font>
  </fonts>
  <fills count="2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56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4" tint="0.79998168889431442"/>
      </left>
      <right/>
      <top style="thin">
        <color theme="4" tint="0.79998168889431442"/>
      </top>
      <bottom style="thin">
        <color theme="4" tint="0.79998168889431442"/>
      </bottom>
      <diagonal/>
    </border>
    <border>
      <left/>
      <right style="thin">
        <color theme="4" tint="0.79998168889431442"/>
      </right>
      <top style="thin">
        <color theme="4" tint="0.79998168889431442"/>
      </top>
      <bottom style="thin">
        <color theme="4" tint="0.79998168889431442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theme="0" tint="-0.2499465926084170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0" tint="-0.24994659260841701"/>
      </left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/>
      <right style="thin">
        <color theme="0" tint="-0.24994659260841701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medium">
        <color theme="0" tint="-0.249977111117893"/>
      </left>
      <right/>
      <top style="medium">
        <color theme="0" tint="-0.249977111117893"/>
      </top>
      <bottom style="medium">
        <color theme="0" tint="-0.249977111117893"/>
      </bottom>
      <diagonal/>
    </border>
    <border>
      <left/>
      <right/>
      <top style="medium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14999847407452621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14999847407452621"/>
      </bottom>
      <diagonal/>
    </border>
    <border>
      <left/>
      <right/>
      <top style="thin">
        <color theme="0" tint="-0.249977111117893"/>
      </top>
      <bottom style="thin">
        <color theme="0" tint="-0.14999847407452621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 style="medium">
        <color theme="0" tint="-0.249977111117893"/>
      </left>
      <right/>
      <top style="thin">
        <color theme="0" tint="-0.34998626667073579"/>
      </top>
      <bottom style="medium">
        <color theme="0" tint="-0.249977111117893"/>
      </bottom>
      <diagonal/>
    </border>
    <border>
      <left/>
      <right/>
      <top style="thin">
        <color theme="0" tint="-0.34998626667073579"/>
      </top>
      <bottom style="medium">
        <color theme="0" tint="-0.249977111117893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medium">
        <color theme="0" tint="-0.249977111117893"/>
      </bottom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theme="0" tint="-0.34998626667073579"/>
      </right>
      <top/>
      <bottom/>
      <diagonal/>
    </border>
    <border>
      <left/>
      <right style="thin">
        <color theme="0" tint="-0.34998626667073579"/>
      </right>
      <top style="medium">
        <color theme="0" tint="-0.249977111117893"/>
      </top>
      <bottom style="medium">
        <color theme="0" tint="-0.249977111117893"/>
      </bottom>
      <diagonal/>
    </border>
    <border>
      <left style="thin">
        <color theme="0" tint="-0.34998626667073579"/>
      </left>
      <right/>
      <top/>
      <bottom style="medium">
        <color theme="0" tint="-0.249977111117893"/>
      </bottom>
      <diagonal/>
    </border>
    <border>
      <left style="thin">
        <color theme="0" tint="-0.34998626667073579"/>
      </left>
      <right/>
      <top style="medium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34998626667073579"/>
      </right>
      <top/>
      <bottom style="thin">
        <color theme="0" tint="-0.249977111117893"/>
      </bottom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/>
      <right style="medium">
        <color rgb="FFBFBFBF"/>
      </right>
      <top/>
      <bottom style="medium">
        <color rgb="FFBFBFB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0" tint="-0.34998626667073579"/>
      </left>
      <right style="thin">
        <color theme="0" tint="-0.249977111117893"/>
      </right>
      <top style="medium">
        <color theme="0" tint="-0.249977111117893"/>
      </top>
      <bottom style="thin">
        <color theme="0" tint="-0.249977111117893"/>
      </bottom>
      <diagonal/>
    </border>
  </borders>
  <cellStyleXfs count="20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4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73">
    <xf numFmtId="0" fontId="0" fillId="0" borderId="0" xfId="0"/>
    <xf numFmtId="0" fontId="0" fillId="0" borderId="0" xfId="0" applyAlignment="1">
      <alignment horizontal="center"/>
    </xf>
    <xf numFmtId="165" fontId="0" fillId="0" borderId="1" xfId="0" applyNumberFormat="1" applyBorder="1" applyAlignment="1">
      <alignment horizontal="center"/>
    </xf>
    <xf numFmtId="165" fontId="0" fillId="2" borderId="1" xfId="0" applyNumberFormat="1" applyFill="1" applyBorder="1" applyAlignment="1">
      <alignment horizontal="center"/>
    </xf>
    <xf numFmtId="0" fontId="0" fillId="0" borderId="3" xfId="0" applyBorder="1" applyAlignment="1">
      <alignment horizontal="center"/>
    </xf>
    <xf numFmtId="9" fontId="0" fillId="2" borderId="1" xfId="1" applyFont="1" applyFill="1" applyBorder="1" applyAlignment="1">
      <alignment horizontal="center"/>
    </xf>
    <xf numFmtId="0" fontId="0" fillId="0" borderId="6" xfId="0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10" xfId="0" applyBorder="1"/>
    <xf numFmtId="3" fontId="0" fillId="0" borderId="10" xfId="0" applyNumberFormat="1" applyBorder="1" applyAlignment="1">
      <alignment horizontal="center"/>
    </xf>
    <xf numFmtId="3" fontId="0" fillId="0" borderId="1" xfId="1" applyNumberFormat="1" applyFont="1" applyFill="1" applyBorder="1" applyAlignment="1">
      <alignment horizontal="center"/>
    </xf>
    <xf numFmtId="9" fontId="7" fillId="0" borderId="0" xfId="1" applyFont="1" applyFill="1" applyBorder="1" applyAlignment="1">
      <alignment horizontal="center" vertical="center" wrapText="1"/>
    </xf>
    <xf numFmtId="165" fontId="0" fillId="0" borderId="1" xfId="0" applyNumberFormat="1" applyBorder="1" applyAlignment="1">
      <alignment horizontal="center" textRotation="90" wrapText="1"/>
    </xf>
    <xf numFmtId="165" fontId="0" fillId="2" borderId="1" xfId="0" applyNumberFormat="1" applyFill="1" applyBorder="1" applyAlignment="1">
      <alignment horizontal="center" textRotation="90" wrapText="1"/>
    </xf>
    <xf numFmtId="9" fontId="0" fillId="2" borderId="1" xfId="1" applyFont="1" applyFill="1" applyBorder="1" applyAlignment="1">
      <alignment horizontal="center" textRotation="90" wrapText="1"/>
    </xf>
    <xf numFmtId="9" fontId="0" fillId="0" borderId="1" xfId="1" applyFont="1" applyFill="1" applyBorder="1" applyAlignment="1">
      <alignment horizontal="center" textRotation="90" wrapText="1"/>
    </xf>
    <xf numFmtId="3" fontId="0" fillId="0" borderId="1" xfId="1" applyNumberFormat="1" applyFont="1" applyFill="1" applyBorder="1" applyAlignment="1">
      <alignment horizontal="center" textRotation="90" wrapText="1"/>
    </xf>
    <xf numFmtId="0" fontId="0" fillId="0" borderId="0" xfId="0" applyAlignment="1">
      <alignment horizontal="center" wrapText="1"/>
    </xf>
    <xf numFmtId="1" fontId="0" fillId="0" borderId="0" xfId="0" applyNumberFormat="1" applyAlignment="1">
      <alignment horizontal="center"/>
    </xf>
    <xf numFmtId="1" fontId="0" fillId="0" borderId="1" xfId="0" applyNumberFormat="1" applyBorder="1" applyAlignment="1">
      <alignment horizontal="center" textRotation="90" wrapText="1"/>
    </xf>
    <xf numFmtId="0" fontId="0" fillId="0" borderId="0" xfId="0" applyAlignment="1">
      <alignment vertical="center"/>
    </xf>
    <xf numFmtId="0" fontId="9" fillId="0" borderId="0" xfId="0" applyFont="1" applyAlignment="1">
      <alignment vertical="center"/>
    </xf>
    <xf numFmtId="0" fontId="9" fillId="3" borderId="14" xfId="0" applyFont="1" applyFill="1" applyBorder="1" applyAlignment="1">
      <alignment horizontal="right" vertical="center"/>
    </xf>
    <xf numFmtId="0" fontId="9" fillId="3" borderId="8" xfId="0" applyFont="1" applyFill="1" applyBorder="1" applyAlignment="1">
      <alignment horizontal="right" vertical="center"/>
    </xf>
    <xf numFmtId="0" fontId="0" fillId="0" borderId="16" xfId="0" applyBorder="1" applyAlignment="1">
      <alignment vertical="center"/>
    </xf>
    <xf numFmtId="0" fontId="9" fillId="3" borderId="17" xfId="0" applyFont="1" applyFill="1" applyBorder="1" applyAlignment="1">
      <alignment horizontal="right" vertical="center"/>
    </xf>
    <xf numFmtId="0" fontId="9" fillId="3" borderId="17" xfId="0" applyFont="1" applyFill="1" applyBorder="1" applyAlignment="1">
      <alignment horizontal="center" vertical="center"/>
    </xf>
    <xf numFmtId="0" fontId="8" fillId="6" borderId="20" xfId="0" applyFont="1" applyFill="1" applyBorder="1" applyAlignment="1">
      <alignment horizontal="center" vertical="center"/>
    </xf>
    <xf numFmtId="9" fontId="8" fillId="7" borderId="18" xfId="1" applyFont="1" applyFill="1" applyBorder="1" applyAlignment="1">
      <alignment vertical="center"/>
    </xf>
    <xf numFmtId="9" fontId="8" fillId="8" borderId="18" xfId="1" applyFont="1" applyFill="1" applyBorder="1" applyAlignment="1">
      <alignment vertical="center"/>
    </xf>
    <xf numFmtId="0" fontId="8" fillId="7" borderId="20" xfId="0" applyFont="1" applyFill="1" applyBorder="1" applyAlignment="1">
      <alignment horizontal="center" vertical="center"/>
    </xf>
    <xf numFmtId="0" fontId="0" fillId="7" borderId="0" xfId="0" applyFill="1" applyAlignment="1">
      <alignment vertical="center"/>
    </xf>
    <xf numFmtId="3" fontId="0" fillId="0" borderId="15" xfId="0" applyNumberFormat="1" applyBorder="1" applyAlignment="1">
      <alignment vertical="center"/>
    </xf>
    <xf numFmtId="3" fontId="0" fillId="0" borderId="0" xfId="0" applyNumberFormat="1" applyAlignment="1">
      <alignment vertical="center"/>
    </xf>
    <xf numFmtId="3" fontId="0" fillId="0" borderId="16" xfId="0" applyNumberFormat="1" applyBorder="1" applyAlignment="1">
      <alignment vertical="center"/>
    </xf>
    <xf numFmtId="3" fontId="0" fillId="7" borderId="16" xfId="0" applyNumberFormat="1" applyFill="1" applyBorder="1" applyAlignment="1">
      <alignment vertical="center"/>
    </xf>
    <xf numFmtId="3" fontId="0" fillId="7" borderId="0" xfId="0" applyNumberFormat="1" applyFill="1" applyAlignment="1">
      <alignment vertical="center"/>
    </xf>
    <xf numFmtId="3" fontId="8" fillId="8" borderId="0" xfId="0" applyNumberFormat="1" applyFont="1" applyFill="1" applyAlignment="1">
      <alignment vertical="center"/>
    </xf>
    <xf numFmtId="3" fontId="8" fillId="7" borderId="0" xfId="0" applyNumberFormat="1" applyFont="1" applyFill="1" applyAlignment="1">
      <alignment vertical="center"/>
    </xf>
    <xf numFmtId="0" fontId="0" fillId="0" borderId="20" xfId="0" applyBorder="1" applyAlignment="1">
      <alignment vertical="center"/>
    </xf>
    <xf numFmtId="0" fontId="9" fillId="0" borderId="16" xfId="0" applyFont="1" applyBorder="1" applyAlignment="1">
      <alignment vertical="center"/>
    </xf>
    <xf numFmtId="0" fontId="9" fillId="0" borderId="20" xfId="0" applyFont="1" applyBorder="1" applyAlignment="1">
      <alignment vertical="center"/>
    </xf>
    <xf numFmtId="164" fontId="8" fillId="8" borderId="18" xfId="1" applyNumberFormat="1" applyFont="1" applyFill="1" applyBorder="1" applyAlignment="1">
      <alignment vertical="center"/>
    </xf>
    <xf numFmtId="164" fontId="8" fillId="7" borderId="18" xfId="1" applyNumberFormat="1" applyFont="1" applyFill="1" applyBorder="1" applyAlignment="1">
      <alignment vertical="center"/>
    </xf>
    <xf numFmtId="3" fontId="0" fillId="0" borderId="10" xfId="0" applyNumberFormat="1" applyBorder="1" applyAlignment="1">
      <alignment horizontal="right"/>
    </xf>
    <xf numFmtId="9" fontId="0" fillId="0" borderId="10" xfId="1" applyFont="1" applyFill="1" applyBorder="1" applyAlignment="1">
      <alignment horizontal="center"/>
    </xf>
    <xf numFmtId="9" fontId="0" fillId="0" borderId="10" xfId="1" applyFont="1" applyFill="1" applyBorder="1" applyAlignment="1">
      <alignment horizontal="right"/>
    </xf>
    <xf numFmtId="3" fontId="0" fillId="0" borderId="23" xfId="1" applyNumberFormat="1" applyFont="1" applyFill="1" applyBorder="1" applyAlignment="1">
      <alignment horizontal="center"/>
    </xf>
    <xf numFmtId="165" fontId="0" fillId="0" borderId="5" xfId="0" applyNumberFormat="1" applyBorder="1" applyAlignment="1">
      <alignment horizontal="center"/>
    </xf>
    <xf numFmtId="165" fontId="0" fillId="2" borderId="5" xfId="0" applyNumberFormat="1" applyFill="1" applyBorder="1" applyAlignment="1">
      <alignment horizontal="center"/>
    </xf>
    <xf numFmtId="9" fontId="0" fillId="2" borderId="22" xfId="1" applyFont="1" applyFill="1" applyBorder="1" applyAlignment="1">
      <alignment horizontal="center"/>
    </xf>
    <xf numFmtId="9" fontId="0" fillId="2" borderId="5" xfId="1" applyFont="1" applyFill="1" applyBorder="1" applyAlignment="1">
      <alignment horizontal="center"/>
    </xf>
    <xf numFmtId="9" fontId="0" fillId="9" borderId="1" xfId="1" applyFont="1" applyFill="1" applyBorder="1" applyAlignment="1">
      <alignment horizontal="center" textRotation="90" wrapText="1"/>
    </xf>
    <xf numFmtId="9" fontId="0" fillId="12" borderId="1" xfId="1" applyFont="1" applyFill="1" applyBorder="1" applyAlignment="1">
      <alignment horizontal="center" textRotation="90" wrapText="1"/>
    </xf>
    <xf numFmtId="165" fontId="0" fillId="9" borderId="5" xfId="0" applyNumberFormat="1" applyFill="1" applyBorder="1" applyAlignment="1">
      <alignment horizontal="center"/>
    </xf>
    <xf numFmtId="165" fontId="0" fillId="12" borderId="5" xfId="0" applyNumberFormat="1" applyFill="1" applyBorder="1" applyAlignment="1">
      <alignment horizontal="center"/>
    </xf>
    <xf numFmtId="165" fontId="0" fillId="0" borderId="0" xfId="0" applyNumberFormat="1" applyAlignment="1">
      <alignment horizontal="center"/>
    </xf>
    <xf numFmtId="16" fontId="0" fillId="15" borderId="21" xfId="0" applyNumberFormat="1" applyFill="1" applyBorder="1" applyAlignment="1">
      <alignment wrapText="1"/>
    </xf>
    <xf numFmtId="16" fontId="0" fillId="15" borderId="0" xfId="0" applyNumberFormat="1" applyFill="1" applyAlignment="1">
      <alignment wrapText="1"/>
    </xf>
    <xf numFmtId="16" fontId="0" fillId="15" borderId="24" xfId="0" applyNumberFormat="1" applyFill="1" applyBorder="1" applyAlignment="1">
      <alignment wrapText="1"/>
    </xf>
    <xf numFmtId="3" fontId="0" fillId="15" borderId="23" xfId="1" applyNumberFormat="1" applyFont="1" applyFill="1" applyBorder="1" applyAlignment="1">
      <alignment horizontal="center"/>
    </xf>
    <xf numFmtId="3" fontId="0" fillId="15" borderId="1" xfId="1" applyNumberFormat="1" applyFont="1" applyFill="1" applyBorder="1" applyAlignment="1">
      <alignment horizontal="center"/>
    </xf>
    <xf numFmtId="165" fontId="0" fillId="15" borderId="1" xfId="0" applyNumberFormat="1" applyFill="1" applyBorder="1" applyAlignment="1">
      <alignment horizontal="center"/>
    </xf>
    <xf numFmtId="9" fontId="0" fillId="16" borderId="1" xfId="1" applyFont="1" applyFill="1" applyBorder="1" applyAlignment="1">
      <alignment horizontal="center" textRotation="90" wrapText="1"/>
    </xf>
    <xf numFmtId="9" fontId="0" fillId="17" borderId="1" xfId="1" applyFont="1" applyFill="1" applyBorder="1" applyAlignment="1">
      <alignment horizontal="center" textRotation="90" wrapText="1"/>
    </xf>
    <xf numFmtId="9" fontId="0" fillId="18" borderId="5" xfId="1" applyFont="1" applyFill="1" applyBorder="1" applyAlignment="1">
      <alignment horizontal="center"/>
    </xf>
    <xf numFmtId="9" fontId="0" fillId="11" borderId="5" xfId="1" applyFont="1" applyFill="1" applyBorder="1" applyAlignment="1">
      <alignment horizontal="center"/>
    </xf>
    <xf numFmtId="16" fontId="0" fillId="0" borderId="0" xfId="0" applyNumberFormat="1" applyAlignment="1">
      <alignment horizontal="center"/>
    </xf>
    <xf numFmtId="9" fontId="0" fillId="2" borderId="5" xfId="1" applyFont="1" applyFill="1" applyBorder="1" applyAlignment="1">
      <alignment horizontal="center" textRotation="90" wrapText="1"/>
    </xf>
    <xf numFmtId="0" fontId="0" fillId="10" borderId="0" xfId="0" applyFill="1" applyAlignment="1">
      <alignment horizontal="center"/>
    </xf>
    <xf numFmtId="1" fontId="0" fillId="10" borderId="0" xfId="0" applyNumberFormat="1" applyFill="1" applyAlignment="1">
      <alignment horizontal="center"/>
    </xf>
    <xf numFmtId="9" fontId="0" fillId="10" borderId="0" xfId="1" applyFont="1" applyFill="1" applyAlignment="1">
      <alignment horizontal="center"/>
    </xf>
    <xf numFmtId="9" fontId="0" fillId="10" borderId="0" xfId="1" applyFont="1" applyFill="1" applyAlignment="1"/>
    <xf numFmtId="3" fontId="0" fillId="10" borderId="0" xfId="1" applyNumberFormat="1" applyFont="1" applyFill="1" applyAlignment="1">
      <alignment horizontal="center"/>
    </xf>
    <xf numFmtId="3" fontId="0" fillId="10" borderId="0" xfId="1" applyNumberFormat="1" applyFont="1" applyFill="1" applyAlignment="1">
      <alignment horizontal="right"/>
    </xf>
    <xf numFmtId="9" fontId="0" fillId="10" borderId="0" xfId="1" applyFont="1" applyFill="1" applyAlignment="1">
      <alignment horizontal="right"/>
    </xf>
    <xf numFmtId="16" fontId="0" fillId="15" borderId="0" xfId="0" applyNumberFormat="1" applyFill="1" applyAlignment="1">
      <alignment horizontal="center"/>
    </xf>
    <xf numFmtId="165" fontId="0" fillId="15" borderId="5" xfId="0" applyNumberFormat="1" applyFill="1" applyBorder="1" applyAlignment="1">
      <alignment horizontal="center"/>
    </xf>
    <xf numFmtId="9" fontId="0" fillId="15" borderId="22" xfId="1" applyFont="1" applyFill="1" applyBorder="1" applyAlignment="1">
      <alignment horizontal="center"/>
    </xf>
    <xf numFmtId="9" fontId="0" fillId="15" borderId="5" xfId="1" applyFont="1" applyFill="1" applyBorder="1" applyAlignment="1">
      <alignment horizontal="center"/>
    </xf>
    <xf numFmtId="165" fontId="0" fillId="15" borderId="0" xfId="0" applyNumberFormat="1" applyFill="1" applyAlignment="1">
      <alignment horizontal="center"/>
    </xf>
    <xf numFmtId="9" fontId="0" fillId="15" borderId="1" xfId="1" applyFont="1" applyFill="1" applyBorder="1" applyAlignment="1">
      <alignment horizontal="center"/>
    </xf>
    <xf numFmtId="9" fontId="0" fillId="15" borderId="1" xfId="1" applyFont="1" applyFill="1" applyBorder="1" applyAlignment="1">
      <alignment horizontal="center" textRotation="90" wrapText="1"/>
    </xf>
    <xf numFmtId="0" fontId="0" fillId="15" borderId="0" xfId="0" applyFill="1" applyAlignment="1">
      <alignment horizontal="center"/>
    </xf>
    <xf numFmtId="165" fontId="0" fillId="10" borderId="0" xfId="0" applyNumberFormat="1" applyFill="1" applyAlignment="1">
      <alignment horizontal="center"/>
    </xf>
    <xf numFmtId="16" fontId="0" fillId="15" borderId="0" xfId="0" applyNumberFormat="1" applyFill="1" applyAlignment="1">
      <alignment horizontal="center" wrapText="1"/>
    </xf>
    <xf numFmtId="1" fontId="0" fillId="2" borderId="1" xfId="1" applyNumberFormat="1" applyFont="1" applyFill="1" applyBorder="1" applyAlignment="1">
      <alignment horizontal="center"/>
    </xf>
    <xf numFmtId="3" fontId="6" fillId="5" borderId="25" xfId="0" applyNumberFormat="1" applyFont="1" applyFill="1" applyBorder="1" applyAlignment="1">
      <alignment horizontal="center" vertical="center" wrapText="1"/>
    </xf>
    <xf numFmtId="9" fontId="7" fillId="5" borderId="25" xfId="1" applyFont="1" applyFill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1" fillId="0" borderId="28" xfId="0" applyFont="1" applyBorder="1" applyAlignment="1">
      <alignment horizontal="center" vertical="center" wrapText="1"/>
    </xf>
    <xf numFmtId="0" fontId="14" fillId="19" borderId="25" xfId="0" applyFont="1" applyFill="1" applyBorder="1" applyAlignment="1">
      <alignment horizontal="center" vertical="center" wrapText="1"/>
    </xf>
    <xf numFmtId="0" fontId="14" fillId="5" borderId="25" xfId="0" applyFont="1" applyFill="1" applyBorder="1" applyAlignment="1">
      <alignment horizontal="center" vertical="center" wrapText="1"/>
    </xf>
    <xf numFmtId="9" fontId="15" fillId="19" borderId="25" xfId="1" applyFont="1" applyFill="1" applyBorder="1" applyAlignment="1">
      <alignment horizontal="center" wrapText="1"/>
    </xf>
    <xf numFmtId="9" fontId="15" fillId="5" borderId="25" xfId="1" applyFont="1" applyFill="1" applyBorder="1" applyAlignment="1">
      <alignment horizontal="center" wrapText="1"/>
    </xf>
    <xf numFmtId="3" fontId="17" fillId="5" borderId="25" xfId="0" applyNumberFormat="1" applyFont="1" applyFill="1" applyBorder="1" applyAlignment="1">
      <alignment horizontal="center" vertical="center" wrapText="1"/>
    </xf>
    <xf numFmtId="1" fontId="0" fillId="10" borderId="0" xfId="1" applyNumberFormat="1" applyFont="1" applyFill="1" applyAlignment="1"/>
    <xf numFmtId="9" fontId="18" fillId="5" borderId="25" xfId="1" applyFont="1" applyFill="1" applyBorder="1" applyAlignment="1">
      <alignment horizontal="center" vertical="center" wrapText="1"/>
    </xf>
    <xf numFmtId="165" fontId="0" fillId="12" borderId="5" xfId="0" applyNumberFormat="1" applyFill="1" applyBorder="1"/>
    <xf numFmtId="16" fontId="10" fillId="0" borderId="0" xfId="0" applyNumberFormat="1" applyFont="1" applyAlignment="1">
      <alignment horizontal="center" vertical="center"/>
    </xf>
    <xf numFmtId="3" fontId="6" fillId="5" borderId="26" xfId="0" applyNumberFormat="1" applyFont="1" applyFill="1" applyBorder="1" applyAlignment="1">
      <alignment horizontal="center" vertical="center" wrapText="1"/>
    </xf>
    <xf numFmtId="3" fontId="7" fillId="5" borderId="26" xfId="3" applyNumberFormat="1" applyFont="1" applyFill="1" applyBorder="1" applyAlignment="1">
      <alignment horizontal="center" vertical="center" wrapText="1"/>
    </xf>
    <xf numFmtId="3" fontId="0" fillId="0" borderId="0" xfId="0" applyNumberFormat="1"/>
    <xf numFmtId="165" fontId="0" fillId="0" borderId="1" xfId="0" applyNumberFormat="1" applyBorder="1" applyAlignment="1">
      <alignment horizontal="left"/>
    </xf>
    <xf numFmtId="9" fontId="8" fillId="2" borderId="1" xfId="1" applyFont="1" applyFill="1" applyBorder="1" applyAlignment="1">
      <alignment horizontal="center"/>
    </xf>
    <xf numFmtId="3" fontId="7" fillId="5" borderId="29" xfId="3" applyNumberFormat="1" applyFont="1" applyFill="1" applyBorder="1" applyAlignment="1">
      <alignment horizontal="center" vertical="center" wrapText="1"/>
    </xf>
    <xf numFmtId="3" fontId="7" fillId="5" borderId="30" xfId="3" applyNumberFormat="1" applyFont="1" applyFill="1" applyBorder="1" applyAlignment="1">
      <alignment horizontal="center" vertical="center" wrapText="1"/>
    </xf>
    <xf numFmtId="9" fontId="7" fillId="5" borderId="29" xfId="1" applyFont="1" applyFill="1" applyBorder="1" applyAlignment="1">
      <alignment horizontal="center" vertical="center" wrapText="1"/>
    </xf>
    <xf numFmtId="3" fontId="7" fillId="0" borderId="31" xfId="3" applyNumberFormat="1" applyFont="1" applyFill="1" applyBorder="1" applyAlignment="1">
      <alignment horizontal="center" vertical="center" wrapText="1"/>
    </xf>
    <xf numFmtId="37" fontId="7" fillId="0" borderId="31" xfId="0" applyNumberFormat="1" applyFont="1" applyBorder="1" applyAlignment="1">
      <alignment horizontal="center" vertical="center"/>
    </xf>
    <xf numFmtId="0" fontId="0" fillId="0" borderId="31" xfId="0" applyBorder="1"/>
    <xf numFmtId="165" fontId="0" fillId="10" borderId="0" xfId="1" applyNumberFormat="1" applyFont="1" applyFill="1" applyAlignment="1"/>
    <xf numFmtId="9" fontId="0" fillId="2" borderId="1" xfId="1" applyFont="1" applyFill="1" applyBorder="1" applyAlignment="1">
      <alignment horizontal="center" vertical="center"/>
    </xf>
    <xf numFmtId="3" fontId="0" fillId="0" borderId="22" xfId="1" applyNumberFormat="1" applyFont="1" applyFill="1" applyBorder="1" applyAlignment="1">
      <alignment horizontal="center"/>
    </xf>
    <xf numFmtId="0" fontId="22" fillId="0" borderId="0" xfId="0" applyFont="1"/>
    <xf numFmtId="9" fontId="22" fillId="2" borderId="1" xfId="1" applyFont="1" applyFill="1" applyBorder="1" applyAlignment="1">
      <alignment horizontal="center"/>
    </xf>
    <xf numFmtId="0" fontId="22" fillId="0" borderId="0" xfId="0" applyFont="1" applyAlignment="1">
      <alignment horizontal="center"/>
    </xf>
    <xf numFmtId="14" fontId="0" fillId="0" borderId="0" xfId="0" applyNumberFormat="1"/>
    <xf numFmtId="0" fontId="3" fillId="0" borderId="0" xfId="0" applyFont="1"/>
    <xf numFmtId="166" fontId="0" fillId="0" borderId="0" xfId="0" applyNumberFormat="1"/>
    <xf numFmtId="10" fontId="4" fillId="0" borderId="0" xfId="0" applyNumberFormat="1" applyFont="1"/>
    <xf numFmtId="3" fontId="6" fillId="0" borderId="0" xfId="0" applyNumberFormat="1" applyFont="1" applyAlignment="1">
      <alignment horizontal="center" vertical="center" wrapText="1"/>
    </xf>
    <xf numFmtId="9" fontId="7" fillId="0" borderId="0" xfId="0" applyNumberFormat="1" applyFont="1" applyAlignment="1">
      <alignment horizontal="center" vertical="center"/>
    </xf>
    <xf numFmtId="14" fontId="12" fillId="4" borderId="33" xfId="0" applyNumberFormat="1" applyFont="1" applyFill="1" applyBorder="1" applyAlignment="1">
      <alignment horizontal="center" vertical="center"/>
    </xf>
    <xf numFmtId="9" fontId="12" fillId="4" borderId="34" xfId="1" applyFont="1" applyFill="1" applyBorder="1" applyAlignment="1">
      <alignment horizontal="center" vertical="center"/>
    </xf>
    <xf numFmtId="0" fontId="0" fillId="0" borderId="37" xfId="0" applyBorder="1"/>
    <xf numFmtId="0" fontId="11" fillId="0" borderId="38" xfId="0" applyFont="1" applyBorder="1" applyAlignment="1">
      <alignment horizontal="center" vertical="center" wrapText="1"/>
    </xf>
    <xf numFmtId="3" fontId="11" fillId="5" borderId="40" xfId="0" applyNumberFormat="1" applyFont="1" applyFill="1" applyBorder="1" applyAlignment="1">
      <alignment horizontal="center" vertical="center" wrapText="1"/>
    </xf>
    <xf numFmtId="3" fontId="7" fillId="5" borderId="41" xfId="3" applyNumberFormat="1" applyFont="1" applyFill="1" applyBorder="1" applyAlignment="1">
      <alignment horizontal="center" vertical="center" wrapText="1"/>
    </xf>
    <xf numFmtId="3" fontId="11" fillId="5" borderId="36" xfId="0" applyNumberFormat="1" applyFont="1" applyFill="1" applyBorder="1" applyAlignment="1">
      <alignment horizontal="center" vertical="center" wrapText="1"/>
    </xf>
    <xf numFmtId="3" fontId="11" fillId="5" borderId="39" xfId="0" applyNumberFormat="1" applyFont="1" applyFill="1" applyBorder="1" applyAlignment="1">
      <alignment horizontal="center" vertical="center" wrapText="1"/>
    </xf>
    <xf numFmtId="0" fontId="0" fillId="0" borderId="36" xfId="0" applyBorder="1"/>
    <xf numFmtId="3" fontId="19" fillId="5" borderId="41" xfId="3" applyNumberFormat="1" applyFont="1" applyFill="1" applyBorder="1" applyAlignment="1">
      <alignment horizontal="center" vertical="center" wrapText="1"/>
    </xf>
    <xf numFmtId="3" fontId="5" fillId="0" borderId="36" xfId="0" applyNumberFormat="1" applyFont="1" applyBorder="1" applyAlignment="1">
      <alignment horizontal="center" vertical="center" wrapText="1"/>
    </xf>
    <xf numFmtId="3" fontId="7" fillId="0" borderId="37" xfId="3" applyNumberFormat="1" applyFont="1" applyFill="1" applyBorder="1" applyAlignment="1">
      <alignment horizontal="center" vertical="center" wrapText="1"/>
    </xf>
    <xf numFmtId="0" fontId="14" fillId="5" borderId="40" xfId="0" applyFont="1" applyFill="1" applyBorder="1" applyAlignment="1">
      <alignment horizontal="center" vertical="center" wrapText="1"/>
    </xf>
    <xf numFmtId="0" fontId="16" fillId="5" borderId="36" xfId="0" applyFont="1" applyFill="1" applyBorder="1" applyAlignment="1">
      <alignment horizontal="center" wrapText="1"/>
    </xf>
    <xf numFmtId="0" fontId="16" fillId="5" borderId="42" xfId="0" applyFont="1" applyFill="1" applyBorder="1" applyAlignment="1">
      <alignment horizontal="center" wrapText="1"/>
    </xf>
    <xf numFmtId="9" fontId="15" fillId="19" borderId="43" xfId="1" applyFont="1" applyFill="1" applyBorder="1" applyAlignment="1">
      <alignment horizontal="center" wrapText="1"/>
    </xf>
    <xf numFmtId="9" fontId="15" fillId="5" borderId="43" xfId="1" applyFont="1" applyFill="1" applyBorder="1" applyAlignment="1">
      <alignment horizontal="center" wrapText="1"/>
    </xf>
    <xf numFmtId="0" fontId="0" fillId="0" borderId="44" xfId="0" applyBorder="1"/>
    <xf numFmtId="165" fontId="8" fillId="0" borderId="5" xfId="0" applyNumberFormat="1" applyFont="1" applyBorder="1" applyAlignment="1">
      <alignment horizontal="center"/>
    </xf>
    <xf numFmtId="165" fontId="0" fillId="20" borderId="5" xfId="0" applyNumberFormat="1" applyFill="1" applyBorder="1"/>
    <xf numFmtId="3" fontId="0" fillId="15" borderId="0" xfId="1" applyNumberFormat="1" applyFont="1" applyFill="1" applyBorder="1" applyAlignment="1">
      <alignment horizontal="center"/>
    </xf>
    <xf numFmtId="3" fontId="0" fillId="9" borderId="23" xfId="1" applyNumberFormat="1" applyFont="1" applyFill="1" applyBorder="1" applyAlignment="1">
      <alignment horizontal="center"/>
    </xf>
    <xf numFmtId="3" fontId="0" fillId="9" borderId="1" xfId="1" applyNumberFormat="1" applyFont="1" applyFill="1" applyBorder="1" applyAlignment="1">
      <alignment horizontal="center" textRotation="90" wrapText="1"/>
    </xf>
    <xf numFmtId="10" fontId="0" fillId="0" borderId="5" xfId="1" applyNumberFormat="1" applyFont="1" applyBorder="1" applyAlignment="1">
      <alignment horizontal="center"/>
    </xf>
    <xf numFmtId="9" fontId="0" fillId="2" borderId="3" xfId="1" applyFont="1" applyFill="1" applyBorder="1" applyAlignment="1">
      <alignment horizontal="center"/>
    </xf>
    <xf numFmtId="0" fontId="26" fillId="0" borderId="45" xfId="0" applyFont="1" applyBorder="1" applyAlignment="1">
      <alignment vertical="center"/>
    </xf>
    <xf numFmtId="0" fontId="26" fillId="0" borderId="46" xfId="0" applyFont="1" applyBorder="1" applyAlignment="1">
      <alignment vertical="center"/>
    </xf>
    <xf numFmtId="0" fontId="25" fillId="0" borderId="46" xfId="0" applyFont="1" applyBorder="1" applyAlignment="1">
      <alignment horizontal="center" vertical="center"/>
    </xf>
    <xf numFmtId="0" fontId="26" fillId="0" borderId="47" xfId="0" applyFont="1" applyBorder="1" applyAlignment="1">
      <alignment vertical="center"/>
    </xf>
    <xf numFmtId="0" fontId="27" fillId="0" borderId="48" xfId="0" applyFont="1" applyBorder="1" applyAlignment="1">
      <alignment horizontal="center" vertical="center"/>
    </xf>
    <xf numFmtId="3" fontId="27" fillId="0" borderId="48" xfId="0" applyNumberFormat="1" applyFont="1" applyBorder="1" applyAlignment="1">
      <alignment horizontal="center" vertical="center"/>
    </xf>
    <xf numFmtId="0" fontId="28" fillId="0" borderId="48" xfId="0" applyFont="1" applyBorder="1" applyAlignment="1">
      <alignment horizontal="center" vertical="center"/>
    </xf>
    <xf numFmtId="0" fontId="29" fillId="0" borderId="48" xfId="0" applyFont="1" applyBorder="1" applyAlignment="1">
      <alignment horizontal="center" vertical="center"/>
    </xf>
    <xf numFmtId="0" fontId="27" fillId="20" borderId="48" xfId="0" applyFont="1" applyFill="1" applyBorder="1" applyAlignment="1">
      <alignment horizontal="center" vertical="center"/>
    </xf>
    <xf numFmtId="3" fontId="27" fillId="20" borderId="48" xfId="0" applyNumberFormat="1" applyFont="1" applyFill="1" applyBorder="1" applyAlignment="1">
      <alignment horizontal="center" vertical="center"/>
    </xf>
    <xf numFmtId="0" fontId="28" fillId="20" borderId="48" xfId="0" applyFont="1" applyFill="1" applyBorder="1" applyAlignment="1">
      <alignment horizontal="center" vertical="center"/>
    </xf>
    <xf numFmtId="0" fontId="0" fillId="0" borderId="49" xfId="0" applyBorder="1"/>
    <xf numFmtId="1" fontId="0" fillId="0" borderId="0" xfId="0" applyNumberFormat="1"/>
    <xf numFmtId="10" fontId="0" fillId="0" borderId="0" xfId="1" applyNumberFormat="1" applyFont="1" applyBorder="1"/>
    <xf numFmtId="0" fontId="30" fillId="21" borderId="15" xfId="0" applyFont="1" applyFill="1" applyBorder="1" applyAlignment="1">
      <alignment horizontal="center" vertical="center"/>
    </xf>
    <xf numFmtId="0" fontId="30" fillId="21" borderId="50" xfId="0" applyFont="1" applyFill="1" applyBorder="1" applyAlignment="1">
      <alignment horizontal="center" vertical="center"/>
    </xf>
    <xf numFmtId="0" fontId="30" fillId="21" borderId="51" xfId="0" applyFont="1" applyFill="1" applyBorder="1" applyAlignment="1">
      <alignment horizontal="center" vertical="center"/>
    </xf>
    <xf numFmtId="14" fontId="31" fillId="0" borderId="16" xfId="0" applyNumberFormat="1" applyFont="1" applyBorder="1" applyAlignment="1">
      <alignment horizontal="center" vertical="center"/>
    </xf>
    <xf numFmtId="1" fontId="0" fillId="0" borderId="18" xfId="0" applyNumberFormat="1" applyBorder="1"/>
    <xf numFmtId="14" fontId="31" fillId="0" borderId="8" xfId="0" applyNumberFormat="1" applyFont="1" applyBorder="1" applyAlignment="1">
      <alignment horizontal="center" vertical="center"/>
    </xf>
    <xf numFmtId="0" fontId="31" fillId="0" borderId="14" xfId="0" applyFont="1" applyBorder="1" applyAlignment="1">
      <alignment horizontal="center" vertical="center"/>
    </xf>
    <xf numFmtId="0" fontId="32" fillId="22" borderId="14" xfId="0" applyFont="1" applyFill="1" applyBorder="1" applyAlignment="1">
      <alignment vertical="center"/>
    </xf>
    <xf numFmtId="0" fontId="0" fillId="0" borderId="14" xfId="0" applyBorder="1"/>
    <xf numFmtId="10" fontId="0" fillId="0" borderId="14" xfId="1" applyNumberFormat="1" applyFont="1" applyBorder="1"/>
    <xf numFmtId="1" fontId="0" fillId="0" borderId="17" xfId="0" applyNumberFormat="1" applyBorder="1"/>
    <xf numFmtId="1" fontId="0" fillId="0" borderId="49" xfId="0" applyNumberFormat="1" applyBorder="1" applyAlignment="1">
      <alignment horizontal="center"/>
    </xf>
    <xf numFmtId="1" fontId="0" fillId="0" borderId="16" xfId="0" applyNumberFormat="1" applyBorder="1" applyAlignment="1">
      <alignment horizontal="center"/>
    </xf>
    <xf numFmtId="10" fontId="0" fillId="0" borderId="0" xfId="1" applyNumberFormat="1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8" xfId="0" applyBorder="1" applyAlignment="1">
      <alignment horizontal="center"/>
    </xf>
    <xf numFmtId="0" fontId="8" fillId="9" borderId="49" xfId="0" applyFont="1" applyFill="1" applyBorder="1" applyAlignment="1">
      <alignment horizontal="center"/>
    </xf>
    <xf numFmtId="0" fontId="0" fillId="0" borderId="9" xfId="0" applyBorder="1"/>
    <xf numFmtId="0" fontId="0" fillId="0" borderId="51" xfId="0" applyBorder="1" applyAlignment="1">
      <alignment horizontal="center"/>
    </xf>
    <xf numFmtId="0" fontId="0" fillId="0" borderId="12" xfId="0" applyBorder="1" applyAlignment="1">
      <alignment horizontal="center"/>
    </xf>
    <xf numFmtId="3" fontId="0" fillId="0" borderId="49" xfId="0" applyNumberFormat="1" applyBorder="1" applyAlignment="1">
      <alignment horizontal="center"/>
    </xf>
    <xf numFmtId="0" fontId="0" fillId="0" borderId="49" xfId="0" applyBorder="1" applyAlignment="1">
      <alignment horizontal="center"/>
    </xf>
    <xf numFmtId="0" fontId="8" fillId="9" borderId="51" xfId="0" applyFont="1" applyFill="1" applyBorder="1" applyAlignment="1">
      <alignment horizontal="center"/>
    </xf>
    <xf numFmtId="14" fontId="23" fillId="23" borderId="11" xfId="0" applyNumberFormat="1" applyFont="1" applyFill="1" applyBorder="1"/>
    <xf numFmtId="0" fontId="23" fillId="23" borderId="13" xfId="0" applyFont="1" applyFill="1" applyBorder="1"/>
    <xf numFmtId="0" fontId="23" fillId="23" borderId="12" xfId="0" applyFont="1" applyFill="1" applyBorder="1"/>
    <xf numFmtId="14" fontId="0" fillId="0" borderId="9" xfId="0" applyNumberFormat="1" applyBorder="1"/>
    <xf numFmtId="14" fontId="0" fillId="0" borderId="20" xfId="0" applyNumberFormat="1" applyBorder="1"/>
    <xf numFmtId="14" fontId="0" fillId="0" borderId="19" xfId="0" applyNumberFormat="1" applyBorder="1"/>
    <xf numFmtId="0" fontId="0" fillId="0" borderId="20" xfId="0" applyBorder="1"/>
    <xf numFmtId="0" fontId="0" fillId="0" borderId="19" xfId="0" applyBorder="1"/>
    <xf numFmtId="3" fontId="0" fillId="0" borderId="18" xfId="0" applyNumberFormat="1" applyBorder="1" applyAlignment="1">
      <alignment horizontal="center"/>
    </xf>
    <xf numFmtId="0" fontId="0" fillId="0" borderId="18" xfId="0" applyBorder="1" applyAlignment="1">
      <alignment horizontal="center"/>
    </xf>
    <xf numFmtId="10" fontId="0" fillId="0" borderId="17" xfId="1" applyNumberFormat="1" applyFont="1" applyBorder="1" applyAlignment="1">
      <alignment horizontal="center"/>
    </xf>
    <xf numFmtId="0" fontId="0" fillId="0" borderId="18" xfId="0" applyBorder="1"/>
    <xf numFmtId="10" fontId="0" fillId="0" borderId="18" xfId="1" applyNumberFormat="1" applyFont="1" applyBorder="1" applyAlignment="1">
      <alignment horizontal="center"/>
    </xf>
    <xf numFmtId="1" fontId="24" fillId="14" borderId="0" xfId="0" applyNumberFormat="1" applyFont="1" applyFill="1"/>
    <xf numFmtId="0" fontId="24" fillId="14" borderId="0" xfId="0" applyFont="1" applyFill="1"/>
    <xf numFmtId="3" fontId="24" fillId="14" borderId="0" xfId="0" applyNumberFormat="1" applyFont="1" applyFill="1"/>
    <xf numFmtId="0" fontId="0" fillId="14" borderId="0" xfId="0" applyFill="1"/>
    <xf numFmtId="0" fontId="0" fillId="0" borderId="0" xfId="0"/>
    <xf numFmtId="3" fontId="0" fillId="0" borderId="0" xfId="0" applyNumberFormat="1"/>
    <xf numFmtId="0" fontId="0" fillId="24" borderId="52" xfId="0" applyFill="1" applyBorder="1"/>
    <xf numFmtId="0" fontId="0" fillId="24" borderId="53" xfId="0" applyFill="1" applyBorder="1"/>
    <xf numFmtId="3" fontId="0" fillId="24" borderId="53" xfId="0" applyNumberFormat="1" applyFill="1" applyBorder="1"/>
    <xf numFmtId="14" fontId="0" fillId="24" borderId="54" xfId="0" applyNumberFormat="1" applyFill="1" applyBorder="1"/>
    <xf numFmtId="0" fontId="0" fillId="0" borderId="52" xfId="0" applyBorder="1"/>
    <xf numFmtId="0" fontId="0" fillId="0" borderId="53" xfId="0" applyBorder="1"/>
    <xf numFmtId="3" fontId="0" fillId="0" borderId="53" xfId="0" applyNumberFormat="1" applyBorder="1"/>
    <xf numFmtId="14" fontId="0" fillId="0" borderId="54" xfId="0" applyNumberFormat="1" applyBorder="1"/>
    <xf numFmtId="3" fontId="14" fillId="5" borderId="25" xfId="0" applyNumberFormat="1" applyFont="1" applyFill="1" applyBorder="1" applyAlignment="1">
      <alignment horizontal="center" vertical="center" wrapText="1"/>
    </xf>
    <xf numFmtId="14" fontId="31" fillId="0" borderId="0" xfId="0" applyNumberFormat="1" applyFont="1" applyBorder="1" applyAlignment="1">
      <alignment horizontal="center" vertical="center"/>
    </xf>
    <xf numFmtId="0" fontId="31" fillId="0" borderId="0" xfId="0" applyFont="1" applyBorder="1" applyAlignment="1">
      <alignment horizontal="center" vertical="center"/>
    </xf>
    <xf numFmtId="0" fontId="32" fillId="22" borderId="0" xfId="0" applyFont="1" applyFill="1" applyBorder="1" applyAlignment="1">
      <alignment vertical="center"/>
    </xf>
    <xf numFmtId="3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Border="1"/>
    <xf numFmtId="0" fontId="0" fillId="0" borderId="0" xfId="0" applyBorder="1"/>
    <xf numFmtId="14" fontId="0" fillId="0" borderId="0" xfId="0" applyNumberFormat="1" applyBorder="1"/>
    <xf numFmtId="3" fontId="31" fillId="0" borderId="0" xfId="0" applyNumberFormat="1" applyFont="1" applyBorder="1" applyAlignment="1">
      <alignment horizontal="center" vertical="center"/>
    </xf>
    <xf numFmtId="0" fontId="31" fillId="22" borderId="0" xfId="0" applyFont="1" applyFill="1" applyBorder="1" applyAlignment="1">
      <alignment horizontal="center" vertical="center"/>
    </xf>
    <xf numFmtId="0" fontId="24" fillId="14" borderId="11" xfId="0" applyFont="1" applyFill="1" applyBorder="1"/>
    <xf numFmtId="3" fontId="24" fillId="14" borderId="13" xfId="0" applyNumberFormat="1" applyFont="1" applyFill="1" applyBorder="1"/>
    <xf numFmtId="0" fontId="0" fillId="14" borderId="12" xfId="0" applyFill="1" applyBorder="1"/>
    <xf numFmtId="0" fontId="32" fillId="0" borderId="0" xfId="0" applyFont="1" applyFill="1" applyBorder="1" applyAlignment="1">
      <alignment vertical="center"/>
    </xf>
    <xf numFmtId="0" fontId="14" fillId="5" borderId="55" xfId="0" applyFont="1" applyFill="1" applyBorder="1" applyAlignment="1">
      <alignment horizontal="center" vertical="center" wrapText="1"/>
    </xf>
    <xf numFmtId="0" fontId="12" fillId="0" borderId="32" xfId="0" applyFont="1" applyBorder="1" applyAlignment="1">
      <alignment horizontal="center" vertical="center" wrapText="1"/>
    </xf>
    <xf numFmtId="0" fontId="12" fillId="0" borderId="36" xfId="0" applyFont="1" applyBorder="1" applyAlignment="1">
      <alignment horizontal="center" vertical="center" wrapText="1"/>
    </xf>
    <xf numFmtId="0" fontId="12" fillId="0" borderId="39" xfId="0" applyFont="1" applyBorder="1" applyAlignment="1">
      <alignment horizontal="center" vertical="center" wrapText="1"/>
    </xf>
    <xf numFmtId="0" fontId="13" fillId="4" borderId="34" xfId="0" applyFont="1" applyFill="1" applyBorder="1" applyAlignment="1">
      <alignment horizontal="left" vertical="top" indent="7"/>
    </xf>
    <xf numFmtId="0" fontId="13" fillId="4" borderId="35" xfId="0" applyFont="1" applyFill="1" applyBorder="1" applyAlignment="1">
      <alignment horizontal="left" vertical="top" indent="7"/>
    </xf>
    <xf numFmtId="0" fontId="0" fillId="10" borderId="0" xfId="0" quotePrefix="1" applyFill="1" applyAlignment="1">
      <alignment horizontal="center" vertical="center" wrapText="1"/>
    </xf>
    <xf numFmtId="0" fontId="12" fillId="0" borderId="27" xfId="0" applyFont="1" applyBorder="1" applyAlignment="1">
      <alignment horizontal="center" vertical="center" wrapText="1"/>
    </xf>
    <xf numFmtId="0" fontId="12" fillId="0" borderId="28" xfId="0" applyFont="1" applyBorder="1" applyAlignment="1">
      <alignment horizontal="center" vertical="center" wrapText="1"/>
    </xf>
    <xf numFmtId="0" fontId="12" fillId="0" borderId="38" xfId="0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0" xfId="0" applyAlignment="1">
      <alignment horizontal="center"/>
    </xf>
    <xf numFmtId="0" fontId="8" fillId="13" borderId="2" xfId="0" applyFont="1" applyFill="1" applyBorder="1" applyAlignment="1" applyProtection="1">
      <alignment horizontal="center"/>
      <protection locked="0"/>
    </xf>
    <xf numFmtId="0" fontId="8" fillId="13" borderId="4" xfId="0" applyFont="1" applyFill="1" applyBorder="1" applyAlignment="1" applyProtection="1">
      <alignment horizontal="center"/>
      <protection locked="0"/>
    </xf>
    <xf numFmtId="0" fontId="8" fillId="13" borderId="3" xfId="0" applyFont="1" applyFill="1" applyBorder="1" applyAlignment="1" applyProtection="1">
      <alignment horizontal="center"/>
      <protection locked="0"/>
    </xf>
    <xf numFmtId="0" fontId="8" fillId="15" borderId="2" xfId="0" applyFont="1" applyFill="1" applyBorder="1" applyAlignment="1" applyProtection="1">
      <alignment horizontal="center"/>
      <protection locked="0"/>
    </xf>
    <xf numFmtId="0" fontId="8" fillId="15" borderId="4" xfId="0" applyFont="1" applyFill="1" applyBorder="1" applyAlignment="1" applyProtection="1">
      <alignment horizontal="center"/>
      <protection locked="0"/>
    </xf>
    <xf numFmtId="0" fontId="8" fillId="15" borderId="3" xfId="0" applyFont="1" applyFill="1" applyBorder="1" applyAlignment="1" applyProtection="1">
      <alignment horizontal="center"/>
      <protection locked="0"/>
    </xf>
    <xf numFmtId="0" fontId="8" fillId="14" borderId="2" xfId="0" applyFont="1" applyFill="1" applyBorder="1" applyAlignment="1" applyProtection="1">
      <alignment horizontal="center"/>
      <protection locked="0"/>
    </xf>
    <xf numFmtId="0" fontId="8" fillId="14" borderId="4" xfId="0" applyFont="1" applyFill="1" applyBorder="1" applyAlignment="1" applyProtection="1">
      <alignment horizontal="center"/>
      <protection locked="0"/>
    </xf>
    <xf numFmtId="0" fontId="8" fillId="14" borderId="3" xfId="0" applyFont="1" applyFill="1" applyBorder="1" applyAlignment="1" applyProtection="1">
      <alignment horizontal="center"/>
      <protection locked="0"/>
    </xf>
    <xf numFmtId="0" fontId="8" fillId="11" borderId="4" xfId="0" applyFont="1" applyFill="1" applyBorder="1" applyAlignment="1" applyProtection="1">
      <alignment horizontal="center"/>
      <protection locked="0"/>
    </xf>
    <xf numFmtId="0" fontId="0" fillId="0" borderId="4" xfId="0" applyBorder="1" applyAlignment="1" applyProtection="1">
      <alignment horizontal="center"/>
      <protection locked="0"/>
    </xf>
    <xf numFmtId="0" fontId="0" fillId="0" borderId="4" xfId="0" applyBorder="1" applyAlignment="1">
      <alignment horizontal="center"/>
    </xf>
    <xf numFmtId="0" fontId="8" fillId="12" borderId="2" xfId="0" applyFont="1" applyFill="1" applyBorder="1" applyAlignment="1" applyProtection="1">
      <alignment horizontal="center"/>
      <protection locked="0"/>
    </xf>
    <xf numFmtId="0" fontId="8" fillId="12" borderId="4" xfId="0" applyFont="1" applyFill="1" applyBorder="1" applyAlignment="1" applyProtection="1">
      <alignment horizontal="center"/>
      <protection locked="0"/>
    </xf>
    <xf numFmtId="0" fontId="8" fillId="12" borderId="3" xfId="0" applyFont="1" applyFill="1" applyBorder="1" applyAlignment="1" applyProtection="1">
      <alignment horizontal="center"/>
      <protection locked="0"/>
    </xf>
    <xf numFmtId="0" fontId="8" fillId="9" borderId="2" xfId="0" applyFont="1" applyFill="1" applyBorder="1" applyAlignment="1" applyProtection="1">
      <alignment horizontal="center"/>
      <protection locked="0"/>
    </xf>
    <xf numFmtId="0" fontId="8" fillId="9" borderId="4" xfId="0" applyFont="1" applyFill="1" applyBorder="1" applyAlignment="1" applyProtection="1">
      <alignment horizontal="center"/>
      <protection locked="0"/>
    </xf>
    <xf numFmtId="0" fontId="8" fillId="9" borderId="3" xfId="0" applyFont="1" applyFill="1" applyBorder="1" applyAlignment="1" applyProtection="1">
      <alignment horizontal="center"/>
      <protection locked="0"/>
    </xf>
    <xf numFmtId="0" fontId="8" fillId="16" borderId="2" xfId="0" applyFont="1" applyFill="1" applyBorder="1" applyAlignment="1" applyProtection="1">
      <alignment horizontal="center"/>
      <protection locked="0"/>
    </xf>
    <xf numFmtId="0" fontId="8" fillId="16" borderId="4" xfId="0" applyFont="1" applyFill="1" applyBorder="1" applyAlignment="1" applyProtection="1">
      <alignment horizontal="center"/>
      <protection locked="0"/>
    </xf>
    <xf numFmtId="0" fontId="8" fillId="16" borderId="3" xfId="0" applyFont="1" applyFill="1" applyBorder="1" applyAlignment="1" applyProtection="1">
      <alignment horizontal="center"/>
      <protection locked="0"/>
    </xf>
    <xf numFmtId="3" fontId="0" fillId="0" borderId="2" xfId="0" applyNumberFormat="1" applyBorder="1" applyAlignment="1">
      <alignment horizontal="center"/>
    </xf>
    <xf numFmtId="3" fontId="0" fillId="0" borderId="3" xfId="0" applyNumberFormat="1" applyBorder="1" applyAlignment="1">
      <alignment horizontal="center"/>
    </xf>
    <xf numFmtId="3" fontId="0" fillId="0" borderId="4" xfId="0" applyNumberFormat="1" applyBorder="1" applyAlignment="1">
      <alignment horizontal="center"/>
    </xf>
    <xf numFmtId="0" fontId="8" fillId="6" borderId="9" xfId="0" applyFont="1" applyFill="1" applyBorder="1" applyAlignment="1">
      <alignment horizontal="center" vertical="center"/>
    </xf>
    <xf numFmtId="0" fontId="8" fillId="6" borderId="19" xfId="0" applyFont="1" applyFill="1" applyBorder="1" applyAlignment="1">
      <alignment horizontal="center" vertical="center"/>
    </xf>
    <xf numFmtId="0" fontId="8" fillId="6" borderId="11" xfId="0" applyFont="1" applyFill="1" applyBorder="1" applyAlignment="1">
      <alignment horizontal="center" vertical="center"/>
    </xf>
    <xf numFmtId="0" fontId="8" fillId="6" borderId="13" xfId="0" applyFont="1" applyFill="1" applyBorder="1" applyAlignment="1">
      <alignment horizontal="center" vertical="center"/>
    </xf>
    <xf numFmtId="0" fontId="8" fillId="6" borderId="12" xfId="0" applyFont="1" applyFill="1" applyBorder="1" applyAlignment="1">
      <alignment horizontal="center" vertical="center"/>
    </xf>
  </cellXfs>
  <cellStyles count="20">
    <cellStyle name="Moeda 2" xfId="7" xr:uid="{00000000-0005-0000-0000-000000000000}"/>
    <cellStyle name="Moeda 2 2" xfId="11" xr:uid="{00000000-0005-0000-0000-000001000000}"/>
    <cellStyle name="Moeda 2 3" xfId="15" xr:uid="{00000000-0005-0000-0000-000002000000}"/>
    <cellStyle name="Normal" xfId="0" builtinId="0"/>
    <cellStyle name="Normal 10 2" xfId="5" xr:uid="{00000000-0005-0000-0000-000004000000}"/>
    <cellStyle name="Normal 2" xfId="6" xr:uid="{00000000-0005-0000-0000-000005000000}"/>
    <cellStyle name="Normal 2 2" xfId="17" xr:uid="{A71D8AC9-D591-4557-A970-EDD09E1586B2}"/>
    <cellStyle name="Normal 4" xfId="2" xr:uid="{00000000-0005-0000-0000-000006000000}"/>
    <cellStyle name="Porcentagem" xfId="1" builtinId="5"/>
    <cellStyle name="Vírgula" xfId="3" builtinId="3"/>
    <cellStyle name="Vírgula 2" xfId="4" xr:uid="{00000000-0005-0000-0000-000009000000}"/>
    <cellStyle name="Vírgula 2 2" xfId="8" xr:uid="{00000000-0005-0000-0000-00000A000000}"/>
    <cellStyle name="Vírgula 2 2 2" xfId="12" xr:uid="{00000000-0005-0000-0000-00000B000000}"/>
    <cellStyle name="Vírgula 2 2 3" xfId="16" xr:uid="{00000000-0005-0000-0000-00000C000000}"/>
    <cellStyle name="Vírgula 2 3" xfId="10" xr:uid="{00000000-0005-0000-0000-00000D000000}"/>
    <cellStyle name="Vírgula 2 4" xfId="14" xr:uid="{00000000-0005-0000-0000-00000E000000}"/>
    <cellStyle name="Vírgula 2 5" xfId="19" xr:uid="{1DF08F34-0417-4190-BB79-E2F21BFDC956}"/>
    <cellStyle name="Vírgula 3" xfId="9" xr:uid="{00000000-0005-0000-0000-00000F000000}"/>
    <cellStyle name="Vírgula 4" xfId="13" xr:uid="{00000000-0005-0000-0000-000010000000}"/>
    <cellStyle name="Vírgula 5" xfId="18" xr:uid="{BEED7B4E-5F0E-41EA-8E39-69BA9FAB2781}"/>
  </cellStyles>
  <dxfs count="254">
    <dxf>
      <numFmt numFmtId="167" formatCode="_(* #,##0_);_(* \(#,##0\);_(* &quot;-&quot;??_);_(@_)"/>
    </dxf>
    <dxf>
      <numFmt numFmtId="167" formatCode="_(* #,##0_);_(* \(#,##0\);_(* &quot;-&quot;??_);_(@_)"/>
    </dxf>
    <dxf>
      <numFmt numFmtId="167" formatCode="_(* #,##0_);_(* \(#,##0\);_(* &quot;-&quot;??_);_(@_)"/>
    </dxf>
    <dxf>
      <numFmt numFmtId="167" formatCode="_(* #,##0_);_(* \(#,##0\);_(* &quot;-&quot;??_);_(@_)"/>
    </dxf>
    <dxf>
      <numFmt numFmtId="167" formatCode="_(* #,##0_);_(* \(#,##0\);_(* &quot;-&quot;??_);_(@_)"/>
    </dxf>
    <dxf>
      <numFmt numFmtId="167" formatCode="_(* #,##0_);_(* \(#,##0\);_(* &quot;-&quot;??_);_(@_)"/>
    </dxf>
    <dxf>
      <numFmt numFmtId="167" formatCode="_(* #,##0_);_(* \(#,##0\);_(* &quot;-&quot;??_);_(@_)"/>
    </dxf>
    <dxf>
      <numFmt numFmtId="167" formatCode="_(* #,##0_);_(* \(#,##0\);_(* &quot;-&quot;??_);_(@_)"/>
    </dxf>
    <dxf>
      <numFmt numFmtId="167" formatCode="_(* #,##0_);_(* \(#,##0\);_(* &quot;-&quot;??_);_(@_)"/>
    </dxf>
    <dxf>
      <numFmt numFmtId="167" formatCode="_(* #,##0_);_(* \(#,##0\);_(* &quot;-&quot;??_);_(@_)"/>
    </dxf>
    <dxf>
      <numFmt numFmtId="167" formatCode="_(* #,##0_);_(* \(#,##0\);_(* &quot;-&quot;??_);_(@_)"/>
    </dxf>
    <dxf>
      <numFmt numFmtId="167" formatCode="_(* #,##0_);_(* \(#,##0\);_(* &quot;-&quot;??_);_(@_)"/>
    </dxf>
    <dxf>
      <numFmt numFmtId="167" formatCode="_(* #,##0_);_(* \(#,##0\);_(* &quot;-&quot;??_);_(@_)"/>
    </dxf>
    <dxf>
      <numFmt numFmtId="167" formatCode="_(* #,##0_);_(* \(#,##0\);_(* &quot;-&quot;??_);_(@_)"/>
    </dxf>
    <dxf>
      <numFmt numFmtId="167" formatCode="_(* #,##0_);_(* \(#,##0\);_(* &quot;-&quot;??_);_(@_)"/>
    </dxf>
    <dxf>
      <numFmt numFmtId="167" formatCode="_(* #,##0_);_(* \(#,##0\);_(* &quot;-&quot;??_);_(@_)"/>
    </dxf>
    <dxf>
      <numFmt numFmtId="167" formatCode="_(* #,##0_);_(* \(#,##0\);_(* &quot;-&quot;??_);_(@_)"/>
    </dxf>
    <dxf>
      <numFmt numFmtId="167" formatCode="_(* #,##0_);_(* \(#,##0\);_(* &quot;-&quot;??_);_(@_)"/>
    </dxf>
    <dxf>
      <numFmt numFmtId="167" formatCode="_(* #,##0_);_(* \(#,##0\);_(* &quot;-&quot;??_);_(@_)"/>
    </dxf>
    <dxf>
      <numFmt numFmtId="167" formatCode="_(* #,##0_);_(* \(#,##0\);_(* &quot;-&quot;??_);_(@_)"/>
    </dxf>
    <dxf>
      <numFmt numFmtId="167" formatCode="_(* #,##0_);_(* \(#,##0\);_(* &quot;-&quot;??_);_(@_)"/>
    </dxf>
    <dxf>
      <numFmt numFmtId="167" formatCode="_(* #,##0_);_(* \(#,##0\);_(* &quot;-&quot;??_);_(@_)"/>
    </dxf>
    <dxf>
      <numFmt numFmtId="167" formatCode="_(* #,##0_);_(* \(#,##0\);_(* &quot;-&quot;??_);_(@_)"/>
    </dxf>
    <dxf>
      <numFmt numFmtId="167" formatCode="_(* #,##0_);_(* \(#,##0\);_(* &quot;-&quot;??_);_(@_)"/>
    </dxf>
    <dxf>
      <numFmt numFmtId="167" formatCode="_(* #,##0_);_(* \(#,##0\);_(* &quot;-&quot;??_);_(@_)"/>
    </dxf>
    <dxf>
      <numFmt numFmtId="167" formatCode="_(* #,##0_);_(* \(#,##0\);_(* &quot;-&quot;??_);_(@_)"/>
    </dxf>
    <dxf>
      <numFmt numFmtId="167" formatCode="_(* #,##0_);_(* \(#,##0\);_(* &quot;-&quot;??_);_(@_)"/>
    </dxf>
    <dxf>
      <numFmt numFmtId="167" formatCode="_(* #,##0_);_(* \(#,##0\);_(* &quot;-&quot;??_);_(@_)"/>
    </dxf>
    <dxf>
      <numFmt numFmtId="167" formatCode="_(* #,##0_);_(* \(#,##0\);_(* &quot;-&quot;??_);_(@_)"/>
    </dxf>
    <dxf>
      <numFmt numFmtId="167" formatCode="_(* #,##0_);_(* \(#,##0\);_(* &quot;-&quot;??_);_(@_)"/>
    </dxf>
    <dxf>
      <numFmt numFmtId="167" formatCode="_(* #,##0_);_(* \(#,##0\);_(* &quot;-&quot;??_);_(@_)"/>
    </dxf>
    <dxf>
      <numFmt numFmtId="167" formatCode="_(* #,##0_);_(* \(#,##0\);_(* &quot;-&quot;??_);_(@_)"/>
    </dxf>
    <dxf>
      <numFmt numFmtId="167" formatCode="_(* #,##0_);_(* \(#,##0\);_(* &quot;-&quot;??_);_(@_)"/>
    </dxf>
    <dxf>
      <numFmt numFmtId="167" formatCode="_(* #,##0_);_(* \(#,##0\);_(* &quot;-&quot;??_);_(@_)"/>
    </dxf>
    <dxf>
      <numFmt numFmtId="167" formatCode="_(* #,##0_);_(* \(#,##0\);_(* &quot;-&quot;??_);_(@_)"/>
    </dxf>
    <dxf>
      <numFmt numFmtId="167" formatCode="_(* #,##0_);_(* \(#,##0\);_(* &quot;-&quot;??_);_(@_)"/>
    </dxf>
    <dxf>
      <numFmt numFmtId="167" formatCode="_(* #,##0_);_(* \(#,##0\);_(* &quot;-&quot;??_);_(@_)"/>
    </dxf>
    <dxf>
      <numFmt numFmtId="167" formatCode="_(* #,##0_);_(* \(#,##0\);_(* &quot;-&quot;??_);_(@_)"/>
    </dxf>
    <dxf>
      <numFmt numFmtId="167" formatCode="_(* #,##0_);_(* \(#,##0\);_(* &quot;-&quot;??_);_(@_)"/>
    </dxf>
    <dxf>
      <numFmt numFmtId="167" formatCode="_(* #,##0_);_(* \(#,##0\);_(* &quot;-&quot;??_);_(@_)"/>
    </dxf>
    <dxf>
      <numFmt numFmtId="167" formatCode="_(* #,##0_);_(* \(#,##0\);_(* &quot;-&quot;??_);_(@_)"/>
    </dxf>
    <dxf>
      <numFmt numFmtId="167" formatCode="_(* #,##0_);_(* \(#,##0\);_(* &quot;-&quot;??_);_(@_)"/>
    </dxf>
    <dxf>
      <numFmt numFmtId="167" formatCode="_(* #,##0_);_(* \(#,##0\);_(* &quot;-&quot;??_);_(@_)"/>
    </dxf>
    <dxf>
      <numFmt numFmtId="167" formatCode="_(* #,##0_);_(* \(#,##0\);_(* &quot;-&quot;??_);_(@_)"/>
    </dxf>
    <dxf>
      <numFmt numFmtId="167" formatCode="_(* #,##0_);_(* \(#,##0\);_(* &quot;-&quot;??_);_(@_)"/>
    </dxf>
    <dxf>
      <numFmt numFmtId="167" formatCode="_(* #,##0_);_(* \(#,##0\);_(* &quot;-&quot;??_);_(@_)"/>
    </dxf>
    <dxf>
      <numFmt numFmtId="167" formatCode="_(* #,##0_);_(* \(#,##0\);_(* &quot;-&quot;??_);_(@_)"/>
    </dxf>
    <dxf>
      <numFmt numFmtId="167" formatCode="_(* #,##0_);_(* \(#,##0\);_(* &quot;-&quot;??_);_(@_)"/>
    </dxf>
    <dxf>
      <numFmt numFmtId="167" formatCode="_(* #,##0_);_(* \(#,##0\);_(* &quot;-&quot;??_);_(@_)"/>
    </dxf>
    <dxf>
      <numFmt numFmtId="167" formatCode="_(* #,##0_);_(* \(#,##0\);_(* &quot;-&quot;??_);_(@_)"/>
    </dxf>
    <dxf>
      <numFmt numFmtId="167" formatCode="_(* #,##0_);_(* \(#,##0\);_(* &quot;-&quot;??_);_(@_)"/>
    </dxf>
    <dxf>
      <numFmt numFmtId="167" formatCode="_(* #,##0_);_(* \(#,##0\);_(* &quot;-&quot;??_);_(@_)"/>
    </dxf>
    <dxf>
      <numFmt numFmtId="167" formatCode="_(* #,##0_);_(* \(#,##0\);_(* &quot;-&quot;??_);_(@_)"/>
    </dxf>
    <dxf>
      <numFmt numFmtId="167" formatCode="_(* #,##0_);_(* \(#,##0\);_(* &quot;-&quot;??_);_(@_)"/>
    </dxf>
    <dxf>
      <numFmt numFmtId="167" formatCode="_(* #,##0_);_(* \(#,##0\);_(* &quot;-&quot;??_);_(@_)"/>
    </dxf>
    <dxf>
      <numFmt numFmtId="167" formatCode="_(* #,##0_);_(* \(#,##0\);_(* &quot;-&quot;??_);_(@_)"/>
    </dxf>
    <dxf>
      <numFmt numFmtId="167" formatCode="_(* #,##0_);_(* \(#,##0\);_(* &quot;-&quot;??_);_(@_)"/>
    </dxf>
    <dxf>
      <numFmt numFmtId="167" formatCode="_(* #,##0_);_(* \(#,##0\);_(* &quot;-&quot;??_);_(@_)"/>
    </dxf>
    <dxf>
      <numFmt numFmtId="167" formatCode="_(* #,##0_);_(* \(#,##0\);_(* &quot;-&quot;??_);_(@_)"/>
    </dxf>
    <dxf>
      <numFmt numFmtId="167" formatCode="_(* #,##0_);_(* \(#,##0\);_(* &quot;-&quot;??_);_(@_)"/>
    </dxf>
    <dxf>
      <numFmt numFmtId="167" formatCode="_(* #,##0_);_(* \(#,##0\);_(* &quot;-&quot;??_);_(@_)"/>
    </dxf>
    <dxf>
      <numFmt numFmtId="167" formatCode="_(* #,##0_);_(* \(#,##0\);_(* &quot;-&quot;??_);_(@_)"/>
    </dxf>
    <dxf>
      <numFmt numFmtId="167" formatCode="_(* #,##0_);_(* \(#,##0\);_(* &quot;-&quot;??_);_(@_)"/>
    </dxf>
    <dxf>
      <numFmt numFmtId="167" formatCode="_(* #,##0_);_(* \(#,##0\);_(* &quot;-&quot;??_);_(@_)"/>
    </dxf>
    <dxf>
      <numFmt numFmtId="167" formatCode="_(* #,##0_);_(* \(#,##0\);_(* &quot;-&quot;??_);_(@_)"/>
    </dxf>
    <dxf>
      <numFmt numFmtId="167" formatCode="_(* #,##0_);_(* \(#,##0\);_(* &quot;-&quot;??_);_(@_)"/>
    </dxf>
    <dxf>
      <numFmt numFmtId="167" formatCode="_(* #,##0_);_(* \(#,##0\);_(* &quot;-&quot;??_);_(@_)"/>
    </dxf>
    <dxf>
      <font>
        <color rgb="FF00B0F0"/>
      </font>
    </dxf>
    <dxf>
      <font>
        <color theme="8"/>
      </font>
    </dxf>
    <dxf>
      <font>
        <color rgb="FFFF0000"/>
      </font>
    </dxf>
    <dxf>
      <font>
        <color rgb="FF00B0F0"/>
      </font>
    </dxf>
    <dxf>
      <font>
        <color rgb="FF00B0F0"/>
      </font>
    </dxf>
    <dxf>
      <font>
        <color rgb="FFFF0000"/>
      </font>
    </dxf>
    <dxf>
      <font>
        <color rgb="FF00B0F0"/>
      </font>
    </dxf>
    <dxf>
      <font>
        <color rgb="FF00B0F0"/>
      </font>
    </dxf>
    <dxf>
      <font>
        <color rgb="FFFF0000"/>
      </font>
    </dxf>
    <dxf>
      <font>
        <color rgb="FF00B0F0"/>
      </font>
    </dxf>
    <dxf>
      <font>
        <color rgb="FF00B0F0"/>
      </font>
    </dxf>
    <dxf>
      <font>
        <color rgb="FFFF0000"/>
      </font>
    </dxf>
    <dxf>
      <font>
        <color rgb="FF00B0F0"/>
      </font>
    </dxf>
    <dxf>
      <font>
        <color rgb="FF00B0F0"/>
      </font>
    </dxf>
    <dxf>
      <font>
        <color rgb="FFFF0000"/>
      </font>
    </dxf>
    <dxf>
      <font>
        <color rgb="FF00B0F0"/>
      </font>
    </dxf>
    <dxf>
      <font>
        <color theme="8"/>
      </font>
    </dxf>
    <dxf>
      <font>
        <color rgb="FFFF0000"/>
      </font>
    </dxf>
    <dxf>
      <font>
        <color rgb="FF00B0F0"/>
      </font>
    </dxf>
    <dxf>
      <font>
        <color theme="8"/>
      </font>
    </dxf>
    <dxf>
      <font>
        <color rgb="FFFF0000"/>
      </font>
    </dxf>
    <dxf>
      <font>
        <color rgb="FF00B0F0"/>
      </font>
    </dxf>
    <dxf>
      <font>
        <color theme="8"/>
      </font>
    </dxf>
    <dxf>
      <font>
        <color rgb="FFFF0000"/>
      </font>
    </dxf>
    <dxf>
      <font>
        <color rgb="FF00B0F0"/>
      </font>
    </dxf>
    <dxf>
      <font>
        <color theme="8"/>
      </font>
    </dxf>
    <dxf>
      <font>
        <color rgb="FFFF0000"/>
      </font>
    </dxf>
    <dxf>
      <font>
        <color rgb="FF00B0F0"/>
      </font>
    </dxf>
    <dxf>
      <font>
        <color rgb="FFFF0000"/>
      </font>
    </dxf>
    <dxf>
      <font>
        <color rgb="FF00B0F0"/>
      </font>
    </dxf>
    <dxf>
      <font>
        <color theme="8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00B0F0"/>
      </font>
    </dxf>
    <dxf>
      <font>
        <color rgb="FFFF0000"/>
      </font>
    </dxf>
    <dxf>
      <font>
        <color rgb="FF00B0F0"/>
      </font>
    </dxf>
    <dxf>
      <font>
        <color rgb="FF00B0F0"/>
      </font>
    </dxf>
    <dxf>
      <font>
        <color rgb="FFFF0000"/>
      </font>
    </dxf>
    <dxf>
      <font>
        <color rgb="FF00B0F0"/>
      </font>
    </dxf>
    <dxf>
      <font>
        <color rgb="FFFF0000"/>
      </font>
    </dxf>
    <dxf>
      <font>
        <color rgb="FF00B0F0"/>
      </font>
    </dxf>
    <dxf>
      <font>
        <color rgb="FFFF0000"/>
      </font>
    </dxf>
    <dxf>
      <font>
        <color rgb="FF00B0F0"/>
      </font>
    </dxf>
    <dxf>
      <font>
        <color theme="8"/>
      </font>
    </dxf>
    <dxf>
      <font>
        <color rgb="FFFF0000"/>
      </font>
    </dxf>
    <dxf>
      <font>
        <color rgb="FF00B0F0"/>
      </font>
    </dxf>
    <dxf>
      <font>
        <color rgb="FFFF0000"/>
      </font>
    </dxf>
    <dxf>
      <font>
        <color rgb="FF00B0F0"/>
      </font>
    </dxf>
    <dxf>
      <font>
        <color rgb="FFFF0000"/>
      </font>
    </dxf>
    <dxf>
      <font>
        <color rgb="FF00B0F0"/>
      </font>
    </dxf>
    <dxf>
      <font>
        <color rgb="FFFF0000"/>
      </font>
    </dxf>
    <dxf>
      <font>
        <color rgb="FF00B0F0"/>
      </font>
    </dxf>
    <dxf>
      <font>
        <color rgb="FFFF0000"/>
      </font>
    </dxf>
    <dxf>
      <font>
        <color rgb="FF00B0F0"/>
      </font>
    </dxf>
    <dxf>
      <font>
        <color rgb="FFFF0000"/>
      </font>
    </dxf>
    <dxf>
      <font>
        <color rgb="FF00B0F0"/>
      </font>
    </dxf>
    <dxf>
      <font>
        <color rgb="FFFF0000"/>
      </font>
    </dxf>
    <dxf>
      <font>
        <color rgb="FFFF0000"/>
      </font>
    </dxf>
    <dxf>
      <font>
        <color rgb="FF00B0F0"/>
      </font>
    </dxf>
    <dxf>
      <font>
        <color rgb="FFFF0000"/>
      </font>
    </dxf>
    <dxf>
      <font>
        <color rgb="FF00B0F0"/>
      </font>
    </dxf>
    <dxf>
      <font>
        <color rgb="FFFF0000"/>
      </font>
    </dxf>
    <dxf>
      <font>
        <color rgb="FF00B0F0"/>
      </font>
    </dxf>
    <dxf>
      <font>
        <color theme="8"/>
      </font>
    </dxf>
    <dxf>
      <font>
        <color rgb="FFFF0000"/>
      </font>
    </dxf>
    <dxf>
      <font>
        <color rgb="FFFF0000"/>
      </font>
    </dxf>
    <dxf>
      <font>
        <color rgb="FF00B0F0"/>
      </font>
    </dxf>
    <dxf>
      <font>
        <color rgb="FFFF0000"/>
      </font>
    </dxf>
    <dxf>
      <font>
        <color rgb="FF00B0F0"/>
      </font>
    </dxf>
    <dxf>
      <font>
        <color rgb="FFFF0000"/>
      </font>
    </dxf>
    <dxf>
      <font>
        <color rgb="FF00B0F0"/>
      </font>
    </dxf>
    <dxf>
      <font>
        <color rgb="FFFF0000"/>
      </font>
    </dxf>
    <dxf>
      <font>
        <color rgb="FF00B0F0"/>
      </font>
    </dxf>
    <dxf>
      <font>
        <color rgb="FFFF0000"/>
      </font>
    </dxf>
    <dxf>
      <font>
        <color rgb="FF00B0F0"/>
      </font>
    </dxf>
    <dxf>
      <font>
        <color rgb="FFFF0000"/>
      </font>
    </dxf>
    <dxf>
      <font>
        <color rgb="FF00B0F0"/>
      </font>
    </dxf>
    <dxf>
      <font>
        <color rgb="FFFF0000"/>
      </font>
    </dxf>
    <dxf>
      <font>
        <color rgb="FF00B0F0"/>
      </font>
    </dxf>
    <dxf>
      <font>
        <color theme="8"/>
      </font>
    </dxf>
    <dxf>
      <font>
        <color rgb="FFFF0000"/>
      </font>
    </dxf>
    <dxf>
      <font>
        <color rgb="FF00B0F0"/>
      </font>
    </dxf>
    <dxf>
      <font>
        <color rgb="FFFF0000"/>
      </font>
    </dxf>
    <dxf>
      <font>
        <color rgb="FF00B0F0"/>
      </font>
    </dxf>
    <dxf>
      <font>
        <color rgb="FF00B0F0"/>
      </font>
    </dxf>
    <dxf>
      <font>
        <color rgb="FFFF0000"/>
      </font>
    </dxf>
    <dxf>
      <font>
        <color rgb="FF00B0F0"/>
      </font>
    </dxf>
    <dxf>
      <font>
        <color rgb="FF00B0F0"/>
      </font>
    </dxf>
    <dxf>
      <font>
        <color rgb="FFFF0000"/>
      </font>
    </dxf>
    <dxf>
      <font>
        <color rgb="FF00B0F0"/>
      </font>
    </dxf>
    <dxf>
      <font>
        <color rgb="FF00B0F0"/>
      </font>
    </dxf>
    <dxf>
      <font>
        <color rgb="FFFF0000"/>
      </font>
    </dxf>
    <dxf>
      <font>
        <color rgb="FF00B0F0"/>
      </font>
    </dxf>
    <dxf>
      <font>
        <color rgb="FF00B0F0"/>
      </font>
    </dxf>
    <dxf>
      <font>
        <color rgb="FFFF0000"/>
      </font>
    </dxf>
    <dxf>
      <font>
        <color rgb="FF00B0F0"/>
      </font>
    </dxf>
    <dxf>
      <font>
        <color rgb="FF00B0F0"/>
      </font>
    </dxf>
    <dxf>
      <font>
        <color rgb="FFFF0000"/>
      </font>
    </dxf>
    <dxf>
      <font>
        <color theme="8"/>
      </font>
    </dxf>
    <dxf>
      <font>
        <color rgb="FFFF0000"/>
      </font>
    </dxf>
    <dxf>
      <font>
        <color rgb="FF00B0F0"/>
      </font>
    </dxf>
    <dxf>
      <font>
        <color theme="8"/>
      </font>
    </dxf>
    <dxf>
      <font>
        <color rgb="FFFF0000"/>
      </font>
    </dxf>
    <dxf>
      <font>
        <color rgb="FF00B0F0"/>
      </font>
    </dxf>
    <dxf>
      <font>
        <color theme="8"/>
      </font>
    </dxf>
    <dxf>
      <font>
        <color rgb="FFFF0000"/>
      </font>
    </dxf>
    <dxf>
      <font>
        <color theme="8"/>
      </font>
    </dxf>
    <dxf>
      <font>
        <color rgb="FFFF0000"/>
      </font>
    </dxf>
    <dxf>
      <font>
        <color rgb="FF00B0F0"/>
      </font>
    </dxf>
    <dxf>
      <font>
        <color rgb="FFFF0000"/>
      </font>
    </dxf>
    <dxf>
      <font>
        <color rgb="FF00B0F0"/>
      </font>
    </dxf>
    <dxf>
      <font>
        <color theme="8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00B0F0"/>
      </font>
    </dxf>
    <dxf>
      <font>
        <color rgb="FFFF0000"/>
      </font>
    </dxf>
    <dxf>
      <font>
        <color rgb="FFFF0000"/>
      </font>
    </dxf>
    <dxf>
      <font>
        <color rgb="FF00B0F0"/>
      </font>
    </dxf>
    <dxf>
      <font>
        <color rgb="FFFF0000"/>
      </font>
    </dxf>
    <dxf>
      <font>
        <color rgb="FF00B0F0"/>
      </font>
    </dxf>
    <dxf>
      <font>
        <color rgb="FFFF0000"/>
      </font>
    </dxf>
    <dxf>
      <font>
        <color rgb="FFFF0000"/>
      </font>
    </dxf>
    <dxf>
      <font>
        <color rgb="FF00B0F0"/>
      </font>
    </dxf>
    <dxf>
      <font>
        <color theme="8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00B0F0"/>
      </font>
    </dxf>
    <dxf>
      <font>
        <color rgb="FFFF0000"/>
      </font>
    </dxf>
    <dxf>
      <font>
        <color rgb="FFFF0000"/>
      </font>
    </dxf>
    <dxf>
      <font>
        <color rgb="FF00B0F0"/>
      </font>
    </dxf>
    <dxf>
      <font>
        <color rgb="FFFF0000"/>
      </font>
    </dxf>
    <dxf>
      <font>
        <color rgb="FFFF0000"/>
      </font>
    </dxf>
    <dxf>
      <font>
        <color rgb="FF00B0F0"/>
      </font>
    </dxf>
    <dxf>
      <font>
        <color rgb="FFFF0000"/>
      </font>
    </dxf>
    <dxf>
      <font>
        <color rgb="FFFF0000"/>
      </font>
    </dxf>
    <dxf>
      <font>
        <color rgb="FF00B0F0"/>
      </font>
    </dxf>
    <dxf>
      <font>
        <color rgb="FFFF0000"/>
      </font>
    </dxf>
    <dxf>
      <font>
        <color rgb="FFFF0000"/>
      </font>
    </dxf>
    <dxf>
      <font>
        <color rgb="FF00B0F0"/>
      </font>
    </dxf>
    <dxf>
      <font>
        <color rgb="FFFF0000"/>
      </font>
    </dxf>
    <dxf>
      <font>
        <color rgb="FF00B0F0"/>
      </font>
    </dxf>
    <dxf>
      <font>
        <color theme="8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00B0F0"/>
      </font>
    </dxf>
    <dxf>
      <font>
        <color rgb="FFFF0000"/>
      </font>
    </dxf>
    <dxf>
      <font>
        <color rgb="FFFF0000"/>
      </font>
    </dxf>
    <dxf>
      <font>
        <color rgb="FF00B0F0"/>
      </font>
    </dxf>
    <dxf>
      <font>
        <color rgb="FFFF0000"/>
      </font>
    </dxf>
    <dxf>
      <font>
        <color rgb="FF00B0F0"/>
      </font>
    </dxf>
    <dxf>
      <font>
        <color rgb="FFFF0000"/>
      </font>
    </dxf>
    <dxf>
      <font>
        <color rgb="FFFF0000"/>
      </font>
    </dxf>
    <dxf>
      <font>
        <color rgb="FF00B0F0"/>
      </font>
    </dxf>
    <dxf>
      <font>
        <color rgb="FF00B0F0"/>
      </font>
    </dxf>
    <dxf>
      <font>
        <color rgb="FFFF0000"/>
      </font>
    </dxf>
    <dxf>
      <font>
        <color rgb="FF00B0F0"/>
      </font>
    </dxf>
    <dxf>
      <font>
        <color rgb="FFFF0000"/>
      </font>
    </dxf>
    <dxf>
      <font>
        <color rgb="FF00B0F0"/>
      </font>
    </dxf>
    <dxf>
      <font>
        <color rgb="FFFF0000"/>
      </font>
    </dxf>
    <dxf>
      <font>
        <color rgb="FF00B0F0"/>
      </font>
    </dxf>
    <dxf>
      <font>
        <color rgb="FFFF0000"/>
      </font>
    </dxf>
    <dxf>
      <font>
        <color rgb="FF00B0F0"/>
      </font>
    </dxf>
    <dxf>
      <font>
        <color theme="8"/>
      </font>
    </dxf>
    <dxf>
      <font>
        <color rgb="FFFF0000"/>
      </font>
    </dxf>
    <dxf>
      <font>
        <color rgb="FFFF0000"/>
      </font>
    </dxf>
    <dxf>
      <font>
        <color rgb="FF00B0F0"/>
      </font>
    </dxf>
    <dxf>
      <font>
        <color rgb="FFFF0000"/>
      </font>
    </dxf>
    <dxf>
      <font>
        <color theme="8"/>
      </font>
    </dxf>
    <dxf>
      <font>
        <color rgb="FF00B0F0"/>
      </font>
    </dxf>
    <dxf>
      <font>
        <color theme="8"/>
      </font>
    </dxf>
    <dxf>
      <font>
        <color rgb="FFFF0000"/>
      </font>
    </dxf>
    <dxf>
      <font>
        <color rgb="FF00B0F0"/>
      </font>
    </dxf>
    <dxf>
      <font>
        <color theme="8"/>
      </font>
    </dxf>
    <dxf>
      <font>
        <color rgb="FFFF0000"/>
      </font>
    </dxf>
    <dxf>
      <font>
        <color theme="8"/>
      </font>
    </dxf>
    <dxf>
      <font>
        <color rgb="FF00B0F0"/>
      </font>
    </dxf>
    <dxf>
      <font>
        <color theme="8"/>
      </font>
    </dxf>
    <dxf>
      <font>
        <color rgb="FFFF0000"/>
      </font>
    </dxf>
    <dxf>
      <font>
        <color rgb="FF00B0F0"/>
      </font>
    </dxf>
    <dxf>
      <font>
        <color theme="8"/>
      </font>
    </dxf>
    <dxf>
      <font>
        <color rgb="FFFF0000"/>
      </font>
    </dxf>
  </dxfs>
  <tableStyles count="0" defaultTableStyle="TableStyleMedium2" defaultPivotStyle="PivotStyleLight16"/>
  <colors>
    <mruColors>
      <color rgb="FFFFFFCC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49565</xdr:colOff>
      <xdr:row>5</xdr:row>
      <xdr:rowOff>29451</xdr:rowOff>
    </xdr:from>
    <xdr:to>
      <xdr:col>6</xdr:col>
      <xdr:colOff>2476501</xdr:colOff>
      <xdr:row>6</xdr:row>
      <xdr:rowOff>32743</xdr:rowOff>
    </xdr:to>
    <xdr:pic>
      <xdr:nvPicPr>
        <xdr:cNvPr id="5" name="Imagem 4" descr="VIN DETECTOR: LO NUEVO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37153" y="993157"/>
          <a:ext cx="2426936" cy="3506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324971</xdr:colOff>
      <xdr:row>5</xdr:row>
      <xdr:rowOff>268942</xdr:rowOff>
    </xdr:from>
    <xdr:to>
      <xdr:col>6</xdr:col>
      <xdr:colOff>2162736</xdr:colOff>
      <xdr:row>9</xdr:row>
      <xdr:rowOff>92449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4D6145E1-AD5F-7C5D-78F2-9D74BEF665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12559" y="1221442"/>
          <a:ext cx="1837765" cy="10337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lanilha4"/>
  <dimension ref="A1:E176"/>
  <sheetViews>
    <sheetView zoomScale="80" zoomScaleNormal="80" workbookViewId="0"/>
  </sheetViews>
  <sheetFormatPr defaultRowHeight="15" x14ac:dyDescent="0.25"/>
  <cols>
    <col min="1" max="1" width="78.7109375" bestFit="1" customWidth="1"/>
    <col min="2" max="2" width="73.7109375" bestFit="1" customWidth="1"/>
    <col min="5" max="5" width="17.140625" style="119" bestFit="1" customWidth="1"/>
  </cols>
  <sheetData>
    <row r="1" spans="1:5" x14ac:dyDescent="0.25">
      <c r="A1" t="s">
        <v>85</v>
      </c>
      <c r="B1" t="s">
        <v>86</v>
      </c>
      <c r="C1" t="s">
        <v>87</v>
      </c>
      <c r="D1" t="s">
        <v>88</v>
      </c>
      <c r="E1" s="119" t="s">
        <v>89</v>
      </c>
    </row>
    <row r="2" spans="1:5" x14ac:dyDescent="0.25">
      <c r="A2" s="204" t="str">
        <f t="shared" ref="A2:A65" si="0">(TEXT(E2,"DD/MM/AAAA")&amp;B2)</f>
        <v>01/07/2024DG - OCUPAÇÃO - Alto</v>
      </c>
      <c r="B2" s="206" t="s">
        <v>235</v>
      </c>
      <c r="C2" s="207" t="s">
        <v>90</v>
      </c>
      <c r="D2" s="208">
        <v>0</v>
      </c>
      <c r="E2" s="209">
        <v>45474</v>
      </c>
    </row>
    <row r="3" spans="1:5" x14ac:dyDescent="0.25">
      <c r="A3" s="204" t="str">
        <f t="shared" si="0"/>
        <v>02/07/2024DG - OCUPAÇÃO - Alto</v>
      </c>
      <c r="B3" s="210" t="s">
        <v>235</v>
      </c>
      <c r="C3" s="211" t="s">
        <v>90</v>
      </c>
      <c r="D3" s="212">
        <v>0</v>
      </c>
      <c r="E3" s="213">
        <v>45475</v>
      </c>
    </row>
    <row r="4" spans="1:5" x14ac:dyDescent="0.25">
      <c r="A4" s="204" t="str">
        <f t="shared" si="0"/>
        <v>03/07/2024DG - OCUPAÇÃO - Alto</v>
      </c>
      <c r="B4" s="206" t="s">
        <v>235</v>
      </c>
      <c r="C4" s="207" t="s">
        <v>90</v>
      </c>
      <c r="D4" s="208">
        <v>0</v>
      </c>
      <c r="E4" s="209">
        <v>45476</v>
      </c>
    </row>
    <row r="5" spans="1:5" x14ac:dyDescent="0.25">
      <c r="A5" s="204" t="str">
        <f t="shared" si="0"/>
        <v>04/07/2024DG - OCUPAÇÃO - Alto</v>
      </c>
      <c r="B5" s="210" t="s">
        <v>235</v>
      </c>
      <c r="C5" s="211" t="s">
        <v>90</v>
      </c>
      <c r="D5" s="212">
        <v>0</v>
      </c>
      <c r="E5" s="213">
        <v>45477</v>
      </c>
    </row>
    <row r="6" spans="1:5" x14ac:dyDescent="0.25">
      <c r="A6" s="204" t="str">
        <f t="shared" si="0"/>
        <v>05/07/2024DG - OCUPAÇÃO - Alto</v>
      </c>
      <c r="B6" s="206" t="s">
        <v>235</v>
      </c>
      <c r="C6" s="207" t="s">
        <v>90</v>
      </c>
      <c r="D6" s="208">
        <v>0</v>
      </c>
      <c r="E6" s="209">
        <v>45478</v>
      </c>
    </row>
    <row r="7" spans="1:5" x14ac:dyDescent="0.25">
      <c r="A7" s="204" t="str">
        <f t="shared" si="0"/>
        <v>06/07/2024DG - OCUPAÇÃO - Alto</v>
      </c>
      <c r="B7" s="210" t="s">
        <v>235</v>
      </c>
      <c r="C7" s="211" t="s">
        <v>90</v>
      </c>
      <c r="D7" s="212">
        <v>0</v>
      </c>
      <c r="E7" s="213">
        <v>45479</v>
      </c>
    </row>
    <row r="8" spans="1:5" x14ac:dyDescent="0.25">
      <c r="A8" s="204" t="str">
        <f t="shared" si="0"/>
        <v>07/07/2024DG - OCUPAÇÃO - Alto</v>
      </c>
      <c r="B8" s="206" t="s">
        <v>235</v>
      </c>
      <c r="C8" s="207" t="s">
        <v>90</v>
      </c>
      <c r="D8" s="208">
        <v>0</v>
      </c>
      <c r="E8" s="209">
        <v>45480</v>
      </c>
    </row>
    <row r="9" spans="1:5" x14ac:dyDescent="0.25">
      <c r="A9" s="204" t="str">
        <f t="shared" si="0"/>
        <v>08/07/2024DG - OCUPAÇÃO - Alto</v>
      </c>
      <c r="B9" s="210" t="s">
        <v>235</v>
      </c>
      <c r="C9" s="211" t="s">
        <v>90</v>
      </c>
      <c r="D9" s="212">
        <v>0</v>
      </c>
      <c r="E9" s="213">
        <v>45481</v>
      </c>
    </row>
    <row r="10" spans="1:5" x14ac:dyDescent="0.25">
      <c r="A10" s="204" t="str">
        <f t="shared" si="0"/>
        <v>09/07/2024DG - OCUPAÇÃO - Alto</v>
      </c>
      <c r="B10" s="206" t="s">
        <v>235</v>
      </c>
      <c r="C10" s="207" t="s">
        <v>90</v>
      </c>
      <c r="D10" s="208">
        <v>0</v>
      </c>
      <c r="E10" s="209">
        <v>45482</v>
      </c>
    </row>
    <row r="11" spans="1:5" x14ac:dyDescent="0.25">
      <c r="A11" s="204" t="str">
        <f t="shared" si="0"/>
        <v>10/07/2024DG - OCUPAÇÃO - Alto</v>
      </c>
      <c r="B11" s="210" t="s">
        <v>235</v>
      </c>
      <c r="C11" s="211" t="s">
        <v>90</v>
      </c>
      <c r="D11" s="212">
        <v>0</v>
      </c>
      <c r="E11" s="213">
        <v>45483</v>
      </c>
    </row>
    <row r="12" spans="1:5" x14ac:dyDescent="0.25">
      <c r="A12" s="204" t="str">
        <f t="shared" si="0"/>
        <v>11/07/2024DG - OCUPAÇÃO - Alto</v>
      </c>
      <c r="B12" s="206" t="s">
        <v>235</v>
      </c>
      <c r="C12" s="207" t="s">
        <v>90</v>
      </c>
      <c r="D12" s="208">
        <v>0</v>
      </c>
      <c r="E12" s="209">
        <v>45484</v>
      </c>
    </row>
    <row r="13" spans="1:5" x14ac:dyDescent="0.25">
      <c r="A13" s="204" t="str">
        <f t="shared" si="0"/>
        <v>12/07/2024DG - OCUPAÇÃO - Alto</v>
      </c>
      <c r="B13" s="210" t="s">
        <v>235</v>
      </c>
      <c r="C13" s="211" t="s">
        <v>90</v>
      </c>
      <c r="D13" s="212">
        <v>0</v>
      </c>
      <c r="E13" s="213">
        <v>45485</v>
      </c>
    </row>
    <row r="14" spans="1:5" x14ac:dyDescent="0.25">
      <c r="A14" s="204" t="str">
        <f t="shared" si="0"/>
        <v>13/07/2024DG - OCUPAÇÃO - Alto</v>
      </c>
      <c r="B14" s="206" t="s">
        <v>235</v>
      </c>
      <c r="C14" s="207" t="s">
        <v>90</v>
      </c>
      <c r="D14" s="208">
        <v>0</v>
      </c>
      <c r="E14" s="209">
        <v>45486</v>
      </c>
    </row>
    <row r="15" spans="1:5" x14ac:dyDescent="0.25">
      <c r="A15" s="204" t="str">
        <f t="shared" si="0"/>
        <v>14/07/2024DG - OCUPAÇÃO - Alto</v>
      </c>
      <c r="B15" s="210" t="s">
        <v>235</v>
      </c>
      <c r="C15" s="211" t="s">
        <v>90</v>
      </c>
      <c r="D15" s="212">
        <v>0</v>
      </c>
      <c r="E15" s="213">
        <v>45487</v>
      </c>
    </row>
    <row r="16" spans="1:5" x14ac:dyDescent="0.25">
      <c r="A16" s="204" t="str">
        <f t="shared" si="0"/>
        <v>15/07/2024DG - OCUPAÇÃO - Alto</v>
      </c>
      <c r="B16" s="206" t="s">
        <v>235</v>
      </c>
      <c r="C16" s="207" t="s">
        <v>90</v>
      </c>
      <c r="D16" s="208">
        <v>0</v>
      </c>
      <c r="E16" s="209">
        <v>45488</v>
      </c>
    </row>
    <row r="17" spans="1:5" x14ac:dyDescent="0.25">
      <c r="A17" s="204" t="str">
        <f t="shared" si="0"/>
        <v>16/07/2024DG - OCUPAÇÃO - Alto</v>
      </c>
      <c r="B17" s="210" t="s">
        <v>235</v>
      </c>
      <c r="C17" s="211" t="s">
        <v>90</v>
      </c>
      <c r="D17" s="212">
        <v>0</v>
      </c>
      <c r="E17" s="213">
        <v>45489</v>
      </c>
    </row>
    <row r="18" spans="1:5" x14ac:dyDescent="0.25">
      <c r="A18" s="204" t="str">
        <f t="shared" si="0"/>
        <v>17/07/2024DG - OCUPAÇÃO - Alto</v>
      </c>
      <c r="B18" s="206" t="s">
        <v>235</v>
      </c>
      <c r="C18" s="207" t="s">
        <v>90</v>
      </c>
      <c r="D18" s="208">
        <v>0</v>
      </c>
      <c r="E18" s="209">
        <v>45490</v>
      </c>
    </row>
    <row r="19" spans="1:5" x14ac:dyDescent="0.25">
      <c r="A19" s="204" t="str">
        <f t="shared" si="0"/>
        <v>18/07/2024DG - OCUPAÇÃO - Alto</v>
      </c>
      <c r="B19" s="210" t="s">
        <v>235</v>
      </c>
      <c r="C19" s="211" t="s">
        <v>90</v>
      </c>
      <c r="D19" s="212">
        <v>0</v>
      </c>
      <c r="E19" s="213">
        <v>45491</v>
      </c>
    </row>
    <row r="20" spans="1:5" x14ac:dyDescent="0.25">
      <c r="A20" s="204" t="str">
        <f t="shared" si="0"/>
        <v>19/07/2024DG - OCUPAÇÃO - Alto</v>
      </c>
      <c r="B20" s="206" t="s">
        <v>235</v>
      </c>
      <c r="C20" s="207" t="s">
        <v>90</v>
      </c>
      <c r="D20" s="208">
        <v>0</v>
      </c>
      <c r="E20" s="209">
        <v>45492</v>
      </c>
    </row>
    <row r="21" spans="1:5" x14ac:dyDescent="0.25">
      <c r="A21" s="204" t="str">
        <f t="shared" si="0"/>
        <v>01/07/2024DG - OCUPAÇÃO - Baixo</v>
      </c>
      <c r="B21" s="210" t="s">
        <v>236</v>
      </c>
      <c r="C21" s="211" t="s">
        <v>90</v>
      </c>
      <c r="D21" s="212">
        <v>0</v>
      </c>
      <c r="E21" s="213">
        <v>45474</v>
      </c>
    </row>
    <row r="22" spans="1:5" x14ac:dyDescent="0.25">
      <c r="A22" s="204" t="str">
        <f t="shared" si="0"/>
        <v>02/07/2024DG - OCUPAÇÃO - Baixo</v>
      </c>
      <c r="B22" s="206" t="s">
        <v>236</v>
      </c>
      <c r="C22" s="207" t="s">
        <v>90</v>
      </c>
      <c r="D22" s="208">
        <v>0</v>
      </c>
      <c r="E22" s="209">
        <v>45475</v>
      </c>
    </row>
    <row r="23" spans="1:5" x14ac:dyDescent="0.25">
      <c r="A23" s="204" t="str">
        <f t="shared" si="0"/>
        <v>03/07/2024DG - OCUPAÇÃO - Baixo</v>
      </c>
      <c r="B23" s="210" t="s">
        <v>236</v>
      </c>
      <c r="C23" s="211" t="s">
        <v>90</v>
      </c>
      <c r="D23" s="212">
        <v>0</v>
      </c>
      <c r="E23" s="213">
        <v>45476</v>
      </c>
    </row>
    <row r="24" spans="1:5" x14ac:dyDescent="0.25">
      <c r="A24" s="204" t="str">
        <f t="shared" si="0"/>
        <v>04/07/2024DG - OCUPAÇÃO - Baixo</v>
      </c>
      <c r="B24" s="206" t="s">
        <v>236</v>
      </c>
      <c r="C24" s="207" t="s">
        <v>90</v>
      </c>
      <c r="D24" s="208">
        <v>0</v>
      </c>
      <c r="E24" s="209">
        <v>45477</v>
      </c>
    </row>
    <row r="25" spans="1:5" x14ac:dyDescent="0.25">
      <c r="A25" s="204" t="str">
        <f t="shared" si="0"/>
        <v>05/07/2024DG - OCUPAÇÃO - Baixo</v>
      </c>
      <c r="B25" s="210" t="s">
        <v>236</v>
      </c>
      <c r="C25" s="211" t="s">
        <v>90</v>
      </c>
      <c r="D25" s="212">
        <v>0</v>
      </c>
      <c r="E25" s="213">
        <v>45478</v>
      </c>
    </row>
    <row r="26" spans="1:5" x14ac:dyDescent="0.25">
      <c r="A26" s="204" t="str">
        <f t="shared" si="0"/>
        <v>06/07/2024DG - OCUPAÇÃO - Baixo</v>
      </c>
      <c r="B26" s="206" t="s">
        <v>236</v>
      </c>
      <c r="C26" s="207" t="s">
        <v>90</v>
      </c>
      <c r="D26" s="208">
        <v>0</v>
      </c>
      <c r="E26" s="209">
        <v>45479</v>
      </c>
    </row>
    <row r="27" spans="1:5" x14ac:dyDescent="0.25">
      <c r="A27" s="204" t="str">
        <f t="shared" si="0"/>
        <v>07/07/2024DG - OCUPAÇÃO - Baixo</v>
      </c>
      <c r="B27" s="210" t="s">
        <v>236</v>
      </c>
      <c r="C27" s="211" t="s">
        <v>90</v>
      </c>
      <c r="D27" s="212">
        <v>0</v>
      </c>
      <c r="E27" s="213">
        <v>45480</v>
      </c>
    </row>
    <row r="28" spans="1:5" x14ac:dyDescent="0.25">
      <c r="A28" s="204" t="str">
        <f t="shared" si="0"/>
        <v>08/07/2024DG - OCUPAÇÃO - Baixo</v>
      </c>
      <c r="B28" s="206" t="s">
        <v>236</v>
      </c>
      <c r="C28" s="207" t="s">
        <v>90</v>
      </c>
      <c r="D28" s="208">
        <v>0</v>
      </c>
      <c r="E28" s="209">
        <v>45481</v>
      </c>
    </row>
    <row r="29" spans="1:5" x14ac:dyDescent="0.25">
      <c r="A29" s="204" t="str">
        <f t="shared" si="0"/>
        <v>09/07/2024DG - OCUPAÇÃO - Baixo</v>
      </c>
      <c r="B29" s="210" t="s">
        <v>236</v>
      </c>
      <c r="C29" s="211" t="s">
        <v>90</v>
      </c>
      <c r="D29" s="212">
        <v>0</v>
      </c>
      <c r="E29" s="213">
        <v>45482</v>
      </c>
    </row>
    <row r="30" spans="1:5" x14ac:dyDescent="0.25">
      <c r="A30" s="204" t="str">
        <f t="shared" si="0"/>
        <v>10/07/2024DG - OCUPAÇÃO - Baixo</v>
      </c>
      <c r="B30" s="206" t="s">
        <v>236</v>
      </c>
      <c r="C30" s="207" t="s">
        <v>90</v>
      </c>
      <c r="D30" s="208">
        <v>0</v>
      </c>
      <c r="E30" s="209">
        <v>45483</v>
      </c>
    </row>
    <row r="31" spans="1:5" x14ac:dyDescent="0.25">
      <c r="A31" s="204" t="str">
        <f t="shared" si="0"/>
        <v>11/07/2024DG - OCUPAÇÃO - Baixo</v>
      </c>
      <c r="B31" s="210" t="s">
        <v>236</v>
      </c>
      <c r="C31" s="211" t="s">
        <v>90</v>
      </c>
      <c r="D31" s="212">
        <v>0</v>
      </c>
      <c r="E31" s="213">
        <v>45484</v>
      </c>
    </row>
    <row r="32" spans="1:5" x14ac:dyDescent="0.25">
      <c r="A32" s="204" t="str">
        <f t="shared" si="0"/>
        <v>12/07/2024DG - OCUPAÇÃO - Baixo</v>
      </c>
      <c r="B32" s="206" t="s">
        <v>236</v>
      </c>
      <c r="C32" s="207" t="s">
        <v>90</v>
      </c>
      <c r="D32" s="208">
        <v>0</v>
      </c>
      <c r="E32" s="209">
        <v>45485</v>
      </c>
    </row>
    <row r="33" spans="1:5" x14ac:dyDescent="0.25">
      <c r="A33" s="204" t="str">
        <f t="shared" si="0"/>
        <v>13/07/2024DG - OCUPAÇÃO - Baixo</v>
      </c>
      <c r="B33" s="210" t="s">
        <v>236</v>
      </c>
      <c r="C33" s="211" t="s">
        <v>90</v>
      </c>
      <c r="D33" s="212">
        <v>0</v>
      </c>
      <c r="E33" s="213">
        <v>45486</v>
      </c>
    </row>
    <row r="34" spans="1:5" x14ac:dyDescent="0.25">
      <c r="A34" s="204" t="str">
        <f t="shared" si="0"/>
        <v>14/07/2024DG - OCUPAÇÃO - Baixo</v>
      </c>
      <c r="B34" s="206" t="s">
        <v>236</v>
      </c>
      <c r="C34" s="207" t="s">
        <v>90</v>
      </c>
      <c r="D34" s="208">
        <v>0</v>
      </c>
      <c r="E34" s="209">
        <v>45487</v>
      </c>
    </row>
    <row r="35" spans="1:5" x14ac:dyDescent="0.25">
      <c r="A35" s="204" t="str">
        <f t="shared" si="0"/>
        <v>15/07/2024DG - OCUPAÇÃO - Baixo</v>
      </c>
      <c r="B35" s="210" t="s">
        <v>236</v>
      </c>
      <c r="C35" s="211" t="s">
        <v>90</v>
      </c>
      <c r="D35" s="212">
        <v>0</v>
      </c>
      <c r="E35" s="213">
        <v>45488</v>
      </c>
    </row>
    <row r="36" spans="1:5" x14ac:dyDescent="0.25">
      <c r="A36" s="204" t="str">
        <f t="shared" si="0"/>
        <v>16/07/2024DG - OCUPAÇÃO - Baixo</v>
      </c>
      <c r="B36" s="206" t="s">
        <v>236</v>
      </c>
      <c r="C36" s="207" t="s">
        <v>90</v>
      </c>
      <c r="D36" s="208">
        <v>0</v>
      </c>
      <c r="E36" s="209">
        <v>45489</v>
      </c>
    </row>
    <row r="37" spans="1:5" x14ac:dyDescent="0.25">
      <c r="A37" s="204" t="str">
        <f t="shared" si="0"/>
        <v>17/07/2024DG - OCUPAÇÃO - Baixo</v>
      </c>
      <c r="B37" s="210" t="s">
        <v>236</v>
      </c>
      <c r="C37" s="211" t="s">
        <v>90</v>
      </c>
      <c r="D37" s="212">
        <v>0</v>
      </c>
      <c r="E37" s="213">
        <v>45490</v>
      </c>
    </row>
    <row r="38" spans="1:5" x14ac:dyDescent="0.25">
      <c r="A38" s="204" t="str">
        <f t="shared" si="0"/>
        <v>18/07/2024DG - OCUPAÇÃO - Baixo</v>
      </c>
      <c r="B38" s="206" t="s">
        <v>236</v>
      </c>
      <c r="C38" s="207" t="s">
        <v>90</v>
      </c>
      <c r="D38" s="208">
        <v>0</v>
      </c>
      <c r="E38" s="209">
        <v>45491</v>
      </c>
    </row>
    <row r="39" spans="1:5" x14ac:dyDescent="0.25">
      <c r="A39" s="204" t="str">
        <f t="shared" si="0"/>
        <v>19/07/2024DG - OCUPAÇÃO - Baixo</v>
      </c>
      <c r="B39" s="210" t="s">
        <v>236</v>
      </c>
      <c r="C39" s="211" t="s">
        <v>90</v>
      </c>
      <c r="D39" s="212">
        <v>0</v>
      </c>
      <c r="E39" s="213">
        <v>45492</v>
      </c>
    </row>
    <row r="40" spans="1:5" x14ac:dyDescent="0.25">
      <c r="A40" s="204" t="str">
        <f t="shared" si="0"/>
        <v>01/07/2024NE - EXPEDICAO - Abastecimento Boutiques</v>
      </c>
      <c r="B40" s="206" t="s">
        <v>232</v>
      </c>
      <c r="C40" s="207" t="s">
        <v>233</v>
      </c>
      <c r="D40" s="208">
        <v>11</v>
      </c>
      <c r="E40" s="209">
        <v>45474</v>
      </c>
    </row>
    <row r="41" spans="1:5" x14ac:dyDescent="0.25">
      <c r="A41" s="204" t="str">
        <f t="shared" si="0"/>
        <v>02/07/2024NE - EXPEDICAO - Abastecimento Boutiques</v>
      </c>
      <c r="B41" s="210" t="s">
        <v>232</v>
      </c>
      <c r="C41" s="211" t="s">
        <v>233</v>
      </c>
      <c r="D41" s="212">
        <v>10</v>
      </c>
      <c r="E41" s="213">
        <v>45475</v>
      </c>
    </row>
    <row r="42" spans="1:5" x14ac:dyDescent="0.25">
      <c r="A42" s="204" t="str">
        <f t="shared" si="0"/>
        <v>03/07/2024NE - EXPEDICAO - Abastecimento Boutiques</v>
      </c>
      <c r="B42" s="206" t="s">
        <v>232</v>
      </c>
      <c r="C42" s="207" t="s">
        <v>233</v>
      </c>
      <c r="D42" s="208">
        <v>18</v>
      </c>
      <c r="E42" s="209">
        <v>45476</v>
      </c>
    </row>
    <row r="43" spans="1:5" x14ac:dyDescent="0.25">
      <c r="A43" s="204" t="str">
        <f t="shared" si="0"/>
        <v>04/07/2024NE - EXPEDICAO - Abastecimento Boutiques</v>
      </c>
      <c r="B43" s="210" t="s">
        <v>232</v>
      </c>
      <c r="C43" s="211" t="s">
        <v>233</v>
      </c>
      <c r="D43" s="212">
        <v>8</v>
      </c>
      <c r="E43" s="213">
        <v>45477</v>
      </c>
    </row>
    <row r="44" spans="1:5" x14ac:dyDescent="0.25">
      <c r="A44" s="204" t="str">
        <f t="shared" si="0"/>
        <v>07/07/2024NE - EXPEDICAO - Abastecimento Boutiques</v>
      </c>
      <c r="B44" s="206" t="s">
        <v>232</v>
      </c>
      <c r="C44" s="207" t="s">
        <v>233</v>
      </c>
      <c r="D44" s="208">
        <v>7</v>
      </c>
      <c r="E44" s="209">
        <v>45480</v>
      </c>
    </row>
    <row r="45" spans="1:5" x14ac:dyDescent="0.25">
      <c r="A45" s="204" t="str">
        <f t="shared" si="0"/>
        <v>08/07/2024NE - EXPEDICAO - Abastecimento Boutiques</v>
      </c>
      <c r="B45" s="210" t="s">
        <v>232</v>
      </c>
      <c r="C45" s="211" t="s">
        <v>233</v>
      </c>
      <c r="D45" s="212">
        <v>14</v>
      </c>
      <c r="E45" s="213">
        <v>45481</v>
      </c>
    </row>
    <row r="46" spans="1:5" x14ac:dyDescent="0.25">
      <c r="A46" s="204" t="str">
        <f t="shared" si="0"/>
        <v>09/07/2024NE - EXPEDICAO - Abastecimento Boutiques</v>
      </c>
      <c r="B46" s="206" t="s">
        <v>232</v>
      </c>
      <c r="C46" s="207" t="s">
        <v>233</v>
      </c>
      <c r="D46" s="208">
        <v>8</v>
      </c>
      <c r="E46" s="209">
        <v>45482</v>
      </c>
    </row>
    <row r="47" spans="1:5" x14ac:dyDescent="0.25">
      <c r="A47" s="204" t="str">
        <f t="shared" si="0"/>
        <v>10/07/2024NE - EXPEDICAO - Abastecimento Boutiques</v>
      </c>
      <c r="B47" s="210" t="s">
        <v>232</v>
      </c>
      <c r="C47" s="211" t="s">
        <v>233</v>
      </c>
      <c r="D47" s="212">
        <v>11</v>
      </c>
      <c r="E47" s="213">
        <v>45483</v>
      </c>
    </row>
    <row r="48" spans="1:5" x14ac:dyDescent="0.25">
      <c r="A48" s="204" t="str">
        <f t="shared" si="0"/>
        <v>11/07/2024NE - EXPEDICAO - Abastecimento Boutiques</v>
      </c>
      <c r="B48" s="206" t="s">
        <v>232</v>
      </c>
      <c r="C48" s="207" t="s">
        <v>233</v>
      </c>
      <c r="D48" s="208">
        <v>12</v>
      </c>
      <c r="E48" s="209">
        <v>45484</v>
      </c>
    </row>
    <row r="49" spans="1:5" x14ac:dyDescent="0.25">
      <c r="A49" s="204" t="str">
        <f t="shared" si="0"/>
        <v>12/07/2024NE - EXPEDICAO - Abastecimento Boutiques</v>
      </c>
      <c r="B49" s="210" t="s">
        <v>232</v>
      </c>
      <c r="C49" s="211" t="s">
        <v>233</v>
      </c>
      <c r="D49" s="212">
        <v>6</v>
      </c>
      <c r="E49" s="213">
        <v>45485</v>
      </c>
    </row>
    <row r="50" spans="1:5" x14ac:dyDescent="0.25">
      <c r="A50" s="204" t="str">
        <f t="shared" si="0"/>
        <v>14/07/2024NE - EXPEDICAO - Abastecimento Boutiques</v>
      </c>
      <c r="B50" s="206" t="s">
        <v>232</v>
      </c>
      <c r="C50" s="207" t="s">
        <v>233</v>
      </c>
      <c r="D50" s="208">
        <v>6</v>
      </c>
      <c r="E50" s="209">
        <v>45487</v>
      </c>
    </row>
    <row r="51" spans="1:5" x14ac:dyDescent="0.25">
      <c r="A51" s="204" t="str">
        <f t="shared" si="0"/>
        <v>15/07/2024NE - EXPEDICAO - Abastecimento Boutiques</v>
      </c>
      <c r="B51" s="210" t="s">
        <v>232</v>
      </c>
      <c r="C51" s="211" t="s">
        <v>233</v>
      </c>
      <c r="D51" s="212">
        <v>12</v>
      </c>
      <c r="E51" s="213">
        <v>45488</v>
      </c>
    </row>
    <row r="52" spans="1:5" x14ac:dyDescent="0.25">
      <c r="A52" s="204" t="str">
        <f t="shared" si="0"/>
        <v>16/07/2024NE - EXPEDICAO - Abastecimento Boutiques</v>
      </c>
      <c r="B52" s="206" t="s">
        <v>232</v>
      </c>
      <c r="C52" s="207" t="s">
        <v>233</v>
      </c>
      <c r="D52" s="208">
        <v>8</v>
      </c>
      <c r="E52" s="209">
        <v>45489</v>
      </c>
    </row>
    <row r="53" spans="1:5" x14ac:dyDescent="0.25">
      <c r="A53" s="204" t="str">
        <f t="shared" si="0"/>
        <v>17/07/2024NE - EXPEDICAO - Abastecimento Boutiques</v>
      </c>
      <c r="B53" s="210" t="s">
        <v>232</v>
      </c>
      <c r="C53" s="211" t="s">
        <v>233</v>
      </c>
      <c r="D53" s="212">
        <v>8</v>
      </c>
      <c r="E53" s="213">
        <v>45490</v>
      </c>
    </row>
    <row r="54" spans="1:5" x14ac:dyDescent="0.25">
      <c r="A54" s="204" t="str">
        <f t="shared" si="0"/>
        <v>18/07/2024NE - EXPEDICAO - Abastecimento Boutiques</v>
      </c>
      <c r="B54" s="206" t="s">
        <v>232</v>
      </c>
      <c r="C54" s="207" t="s">
        <v>233</v>
      </c>
      <c r="D54" s="208">
        <v>12</v>
      </c>
      <c r="E54" s="209">
        <v>45491</v>
      </c>
    </row>
    <row r="55" spans="1:5" x14ac:dyDescent="0.25">
      <c r="A55" s="204" t="str">
        <f t="shared" si="0"/>
        <v>19/07/2024NE - EXPEDICAO - Abastecimento Boutiques</v>
      </c>
      <c r="B55" s="210" t="s">
        <v>232</v>
      </c>
      <c r="C55" s="211" t="s">
        <v>233</v>
      </c>
      <c r="D55" s="212">
        <v>5</v>
      </c>
      <c r="E55" s="213">
        <v>45492</v>
      </c>
    </row>
    <row r="56" spans="1:5" x14ac:dyDescent="0.25">
      <c r="A56" s="204" t="str">
        <f t="shared" si="0"/>
        <v>03/07/2024NE - EXPEDICAO - Custo Unitário por pallet separado Outros CDs</v>
      </c>
      <c r="B56" s="206" t="s">
        <v>230</v>
      </c>
      <c r="C56" s="207" t="s">
        <v>229</v>
      </c>
      <c r="D56" s="208">
        <v>61</v>
      </c>
      <c r="E56" s="209">
        <v>45476</v>
      </c>
    </row>
    <row r="57" spans="1:5" x14ac:dyDescent="0.25">
      <c r="A57" s="204" t="str">
        <f t="shared" si="0"/>
        <v>04/07/2024NE - EXPEDICAO - Custo Unitário por pallet separado Outros CDs</v>
      </c>
      <c r="B57" s="210" t="s">
        <v>230</v>
      </c>
      <c r="C57" s="211" t="s">
        <v>229</v>
      </c>
      <c r="D57" s="212">
        <v>21</v>
      </c>
      <c r="E57" s="213">
        <v>45477</v>
      </c>
    </row>
    <row r="58" spans="1:5" x14ac:dyDescent="0.25">
      <c r="A58" s="204" t="str">
        <f t="shared" si="0"/>
        <v>07/07/2024NE - EXPEDICAO - Custo Unitário por pallet separado Outros CDs</v>
      </c>
      <c r="B58" s="206" t="s">
        <v>230</v>
      </c>
      <c r="C58" s="207" t="s">
        <v>229</v>
      </c>
      <c r="D58" s="208">
        <v>50</v>
      </c>
      <c r="E58" s="209">
        <v>45480</v>
      </c>
    </row>
    <row r="59" spans="1:5" x14ac:dyDescent="0.25">
      <c r="A59" s="204" t="str">
        <f t="shared" si="0"/>
        <v>10/07/2024NE - EXPEDICAO - Custo Unitário por pallet separado Outros CDs</v>
      </c>
      <c r="B59" s="210" t="s">
        <v>230</v>
      </c>
      <c r="C59" s="211" t="s">
        <v>229</v>
      </c>
      <c r="D59" s="212">
        <v>76</v>
      </c>
      <c r="E59" s="213">
        <v>45483</v>
      </c>
    </row>
    <row r="60" spans="1:5" x14ac:dyDescent="0.25">
      <c r="A60" s="204" t="str">
        <f t="shared" si="0"/>
        <v>12/07/2024NE - EXPEDICAO - Custo Unitário por pallet separado Outros CDs</v>
      </c>
      <c r="B60" s="206" t="s">
        <v>230</v>
      </c>
      <c r="C60" s="207" t="s">
        <v>229</v>
      </c>
      <c r="D60" s="208">
        <v>43</v>
      </c>
      <c r="E60" s="209">
        <v>45485</v>
      </c>
    </row>
    <row r="61" spans="1:5" x14ac:dyDescent="0.25">
      <c r="A61" s="204" t="str">
        <f t="shared" si="0"/>
        <v>14/07/2024NE - EXPEDICAO - Custo Unitário por pallet separado Outros CDs</v>
      </c>
      <c r="B61" s="210" t="s">
        <v>230</v>
      </c>
      <c r="C61" s="211" t="s">
        <v>229</v>
      </c>
      <c r="D61" s="212">
        <v>55</v>
      </c>
      <c r="E61" s="213">
        <v>45487</v>
      </c>
    </row>
    <row r="62" spans="1:5" x14ac:dyDescent="0.25">
      <c r="A62" s="204" t="str">
        <f t="shared" si="0"/>
        <v>15/07/2024NE - EXPEDICAO - Custo Unitário por pallet separado Outros CDs</v>
      </c>
      <c r="B62" s="206" t="s">
        <v>230</v>
      </c>
      <c r="C62" s="207" t="s">
        <v>229</v>
      </c>
      <c r="D62" s="208">
        <v>8</v>
      </c>
      <c r="E62" s="209">
        <v>45488</v>
      </c>
    </row>
    <row r="63" spans="1:5" x14ac:dyDescent="0.25">
      <c r="A63" s="204" t="str">
        <f t="shared" si="0"/>
        <v>17/07/2024NE - EXPEDICAO - Custo Unitário por pallet separado Outros CDs</v>
      </c>
      <c r="B63" s="210" t="s">
        <v>230</v>
      </c>
      <c r="C63" s="211" t="s">
        <v>229</v>
      </c>
      <c r="D63" s="212">
        <v>95</v>
      </c>
      <c r="E63" s="213">
        <v>45490</v>
      </c>
    </row>
    <row r="64" spans="1:5" x14ac:dyDescent="0.25">
      <c r="A64" s="204" t="str">
        <f t="shared" si="0"/>
        <v>19/07/2024NE - EXPEDICAO - Custo Unitário por pallet separado Outros CDs</v>
      </c>
      <c r="B64" s="206" t="s">
        <v>230</v>
      </c>
      <c r="C64" s="207" t="s">
        <v>229</v>
      </c>
      <c r="D64" s="208">
        <v>64</v>
      </c>
      <c r="E64" s="209">
        <v>45492</v>
      </c>
    </row>
    <row r="65" spans="1:5" x14ac:dyDescent="0.25">
      <c r="A65" s="204" t="str">
        <f t="shared" si="0"/>
        <v>01/07/2024NE - EXPEDICAO - Pallets Montados</v>
      </c>
      <c r="B65" s="210" t="s">
        <v>228</v>
      </c>
      <c r="C65" s="211" t="s">
        <v>229</v>
      </c>
      <c r="D65" s="212">
        <v>147</v>
      </c>
      <c r="E65" s="213">
        <v>45474</v>
      </c>
    </row>
    <row r="66" spans="1:5" x14ac:dyDescent="0.25">
      <c r="A66" s="204" t="str">
        <f t="shared" ref="A66:A129" si="1">(TEXT(E66,"DD/MM/AAAA")&amp;B66)</f>
        <v>02/07/2024NE - EXPEDICAO - Pallets Montados</v>
      </c>
      <c r="B66" s="206" t="s">
        <v>228</v>
      </c>
      <c r="C66" s="207" t="s">
        <v>229</v>
      </c>
      <c r="D66" s="208">
        <v>158</v>
      </c>
      <c r="E66" s="209">
        <v>45475</v>
      </c>
    </row>
    <row r="67" spans="1:5" x14ac:dyDescent="0.25">
      <c r="A67" s="204" t="str">
        <f t="shared" si="1"/>
        <v>03/07/2024NE - EXPEDICAO - Pallets Montados</v>
      </c>
      <c r="B67" s="210" t="s">
        <v>228</v>
      </c>
      <c r="C67" s="211" t="s">
        <v>229</v>
      </c>
      <c r="D67" s="212">
        <v>261</v>
      </c>
      <c r="E67" s="213">
        <v>45476</v>
      </c>
    </row>
    <row r="68" spans="1:5" x14ac:dyDescent="0.25">
      <c r="A68" s="204" t="str">
        <f t="shared" si="1"/>
        <v>04/07/2024NE - EXPEDICAO - Pallets Montados</v>
      </c>
      <c r="B68" s="206" t="s">
        <v>228</v>
      </c>
      <c r="C68" s="207" t="s">
        <v>229</v>
      </c>
      <c r="D68" s="208">
        <v>189</v>
      </c>
      <c r="E68" s="209">
        <v>45477</v>
      </c>
    </row>
    <row r="69" spans="1:5" x14ac:dyDescent="0.25">
      <c r="A69" s="204" t="str">
        <f t="shared" si="1"/>
        <v>05/07/2024NE - EXPEDICAO - Pallets Montados</v>
      </c>
      <c r="B69" s="210" t="s">
        <v>228</v>
      </c>
      <c r="C69" s="211" t="s">
        <v>229</v>
      </c>
      <c r="D69" s="212">
        <v>6</v>
      </c>
      <c r="E69" s="213">
        <v>45478</v>
      </c>
    </row>
    <row r="70" spans="1:5" x14ac:dyDescent="0.25">
      <c r="A70" s="204" t="str">
        <f t="shared" si="1"/>
        <v>07/07/2024NE - EXPEDICAO - Pallets Montados</v>
      </c>
      <c r="B70" s="206" t="s">
        <v>228</v>
      </c>
      <c r="C70" s="207" t="s">
        <v>229</v>
      </c>
      <c r="D70" s="208">
        <v>206</v>
      </c>
      <c r="E70" s="209">
        <v>45480</v>
      </c>
    </row>
    <row r="71" spans="1:5" x14ac:dyDescent="0.25">
      <c r="A71" s="204" t="str">
        <f t="shared" si="1"/>
        <v>08/07/2024NE - EXPEDICAO - Pallets Montados</v>
      </c>
      <c r="B71" s="210" t="s">
        <v>228</v>
      </c>
      <c r="C71" s="211" t="s">
        <v>229</v>
      </c>
      <c r="D71" s="212">
        <v>185</v>
      </c>
      <c r="E71" s="213">
        <v>45481</v>
      </c>
    </row>
    <row r="72" spans="1:5" x14ac:dyDescent="0.25">
      <c r="A72" s="204" t="str">
        <f t="shared" si="1"/>
        <v>09/07/2024NE - EXPEDICAO - Pallets Montados</v>
      </c>
      <c r="B72" s="206" t="s">
        <v>228</v>
      </c>
      <c r="C72" s="207" t="s">
        <v>229</v>
      </c>
      <c r="D72" s="208">
        <v>163</v>
      </c>
      <c r="E72" s="209">
        <v>45482</v>
      </c>
    </row>
    <row r="73" spans="1:5" x14ac:dyDescent="0.25">
      <c r="A73" s="204" t="str">
        <f t="shared" si="1"/>
        <v>10/07/2024NE - EXPEDICAO - Pallets Montados</v>
      </c>
      <c r="B73" s="210" t="s">
        <v>228</v>
      </c>
      <c r="C73" s="211" t="s">
        <v>229</v>
      </c>
      <c r="D73" s="212">
        <v>231</v>
      </c>
      <c r="E73" s="213">
        <v>45483</v>
      </c>
    </row>
    <row r="74" spans="1:5" x14ac:dyDescent="0.25">
      <c r="A74" s="204" t="str">
        <f t="shared" si="1"/>
        <v>11/07/2024NE - EXPEDICAO - Pallets Montados</v>
      </c>
      <c r="B74" s="206" t="s">
        <v>228</v>
      </c>
      <c r="C74" s="207" t="s">
        <v>229</v>
      </c>
      <c r="D74" s="208">
        <v>214</v>
      </c>
      <c r="E74" s="209">
        <v>45484</v>
      </c>
    </row>
    <row r="75" spans="1:5" x14ac:dyDescent="0.25">
      <c r="A75" s="204" t="str">
        <f t="shared" si="1"/>
        <v>12/07/2024NE - EXPEDICAO - Pallets Montados</v>
      </c>
      <c r="B75" s="210" t="s">
        <v>228</v>
      </c>
      <c r="C75" s="211" t="s">
        <v>229</v>
      </c>
      <c r="D75" s="212">
        <v>200</v>
      </c>
      <c r="E75" s="213">
        <v>45485</v>
      </c>
    </row>
    <row r="76" spans="1:5" x14ac:dyDescent="0.25">
      <c r="A76" s="204" t="str">
        <f t="shared" si="1"/>
        <v>14/07/2024NE - EXPEDICAO - Pallets Montados</v>
      </c>
      <c r="B76" s="206" t="s">
        <v>228</v>
      </c>
      <c r="C76" s="207" t="s">
        <v>229</v>
      </c>
      <c r="D76" s="208">
        <v>213</v>
      </c>
      <c r="E76" s="209">
        <v>45487</v>
      </c>
    </row>
    <row r="77" spans="1:5" x14ac:dyDescent="0.25">
      <c r="A77" s="204" t="str">
        <f t="shared" si="1"/>
        <v>15/07/2024NE - EXPEDICAO - Pallets Montados</v>
      </c>
      <c r="B77" s="210" t="s">
        <v>228</v>
      </c>
      <c r="C77" s="211" t="s">
        <v>229</v>
      </c>
      <c r="D77" s="212">
        <v>175</v>
      </c>
      <c r="E77" s="213">
        <v>45488</v>
      </c>
    </row>
    <row r="78" spans="1:5" x14ac:dyDescent="0.25">
      <c r="A78" s="204" t="str">
        <f t="shared" si="1"/>
        <v>16/07/2024NE - EXPEDICAO - Pallets Montados</v>
      </c>
      <c r="B78" s="206" t="s">
        <v>228</v>
      </c>
      <c r="C78" s="207" t="s">
        <v>229</v>
      </c>
      <c r="D78" s="208">
        <v>168</v>
      </c>
      <c r="E78" s="209">
        <v>45489</v>
      </c>
    </row>
    <row r="79" spans="1:5" x14ac:dyDescent="0.25">
      <c r="A79" s="204" t="str">
        <f t="shared" si="1"/>
        <v>17/07/2024NE - EXPEDICAO - Pallets Montados</v>
      </c>
      <c r="B79" s="210" t="s">
        <v>228</v>
      </c>
      <c r="C79" s="211" t="s">
        <v>229</v>
      </c>
      <c r="D79" s="212">
        <v>257</v>
      </c>
      <c r="E79" s="213">
        <v>45490</v>
      </c>
    </row>
    <row r="80" spans="1:5" x14ac:dyDescent="0.25">
      <c r="A80" s="204" t="str">
        <f t="shared" si="1"/>
        <v>18/07/2024NE - EXPEDICAO - Pallets Montados</v>
      </c>
      <c r="B80" s="206" t="s">
        <v>228</v>
      </c>
      <c r="C80" s="207" t="s">
        <v>229</v>
      </c>
      <c r="D80" s="208">
        <v>196</v>
      </c>
      <c r="E80" s="209">
        <v>45491</v>
      </c>
    </row>
    <row r="81" spans="1:5" x14ac:dyDescent="0.25">
      <c r="A81" s="204" t="str">
        <f t="shared" si="1"/>
        <v>19/07/2024NE - EXPEDICAO - Pallets Montados</v>
      </c>
      <c r="B81" s="210" t="s">
        <v>228</v>
      </c>
      <c r="C81" s="211" t="s">
        <v>229</v>
      </c>
      <c r="D81" s="212">
        <v>228</v>
      </c>
      <c r="E81" s="213">
        <v>45492</v>
      </c>
    </row>
    <row r="82" spans="1:5" x14ac:dyDescent="0.25">
      <c r="A82" s="204" t="str">
        <f t="shared" si="1"/>
        <v>01/07/2024NE - OCUPAÇÃO - Alto</v>
      </c>
      <c r="B82" s="206" t="s">
        <v>91</v>
      </c>
      <c r="C82" s="207" t="s">
        <v>90</v>
      </c>
      <c r="D82" s="208">
        <v>4720</v>
      </c>
      <c r="E82" s="209">
        <v>45474</v>
      </c>
    </row>
    <row r="83" spans="1:5" x14ac:dyDescent="0.25">
      <c r="A83" s="204" t="str">
        <f t="shared" si="1"/>
        <v>02/07/2024NE - OCUPAÇÃO - Alto</v>
      </c>
      <c r="B83" s="210" t="s">
        <v>91</v>
      </c>
      <c r="C83" s="211" t="s">
        <v>90</v>
      </c>
      <c r="D83" s="212">
        <v>4720</v>
      </c>
      <c r="E83" s="213">
        <v>45475</v>
      </c>
    </row>
    <row r="84" spans="1:5" x14ac:dyDescent="0.25">
      <c r="A84" s="204" t="str">
        <f t="shared" si="1"/>
        <v>03/07/2024NE - OCUPAÇÃO - Alto</v>
      </c>
      <c r="B84" s="206" t="s">
        <v>91</v>
      </c>
      <c r="C84" s="207" t="s">
        <v>90</v>
      </c>
      <c r="D84" s="208">
        <v>4720</v>
      </c>
      <c r="E84" s="209">
        <v>45476</v>
      </c>
    </row>
    <row r="85" spans="1:5" x14ac:dyDescent="0.25">
      <c r="A85" s="204" t="str">
        <f t="shared" si="1"/>
        <v>04/07/2024NE - OCUPAÇÃO - Alto</v>
      </c>
      <c r="B85" s="210" t="s">
        <v>91</v>
      </c>
      <c r="C85" s="211" t="s">
        <v>90</v>
      </c>
      <c r="D85" s="212">
        <v>4720</v>
      </c>
      <c r="E85" s="213">
        <v>45477</v>
      </c>
    </row>
    <row r="86" spans="1:5" x14ac:dyDescent="0.25">
      <c r="A86" s="204" t="str">
        <f t="shared" si="1"/>
        <v>05/07/2024NE - OCUPAÇÃO - Alto</v>
      </c>
      <c r="B86" s="206" t="s">
        <v>91</v>
      </c>
      <c r="C86" s="207" t="s">
        <v>90</v>
      </c>
      <c r="D86" s="208">
        <v>4720</v>
      </c>
      <c r="E86" s="209">
        <v>45478</v>
      </c>
    </row>
    <row r="87" spans="1:5" x14ac:dyDescent="0.25">
      <c r="A87" s="204" t="str">
        <f t="shared" si="1"/>
        <v>06/07/2024NE - OCUPAÇÃO - Alto</v>
      </c>
      <c r="B87" s="210" t="s">
        <v>91</v>
      </c>
      <c r="C87" s="211" t="s">
        <v>90</v>
      </c>
      <c r="D87" s="212">
        <v>4720</v>
      </c>
      <c r="E87" s="213">
        <v>45479</v>
      </c>
    </row>
    <row r="88" spans="1:5" x14ac:dyDescent="0.25">
      <c r="A88" s="204" t="str">
        <f t="shared" si="1"/>
        <v>07/07/2024NE - OCUPAÇÃO - Alto</v>
      </c>
      <c r="B88" s="206" t="s">
        <v>91</v>
      </c>
      <c r="C88" s="207" t="s">
        <v>90</v>
      </c>
      <c r="D88" s="208">
        <v>4720</v>
      </c>
      <c r="E88" s="209">
        <v>45480</v>
      </c>
    </row>
    <row r="89" spans="1:5" x14ac:dyDescent="0.25">
      <c r="A89" s="204" t="str">
        <f t="shared" si="1"/>
        <v>08/07/2024NE - OCUPAÇÃO - Alto</v>
      </c>
      <c r="B89" s="210" t="s">
        <v>91</v>
      </c>
      <c r="C89" s="211" t="s">
        <v>90</v>
      </c>
      <c r="D89" s="212">
        <v>4720</v>
      </c>
      <c r="E89" s="213">
        <v>45481</v>
      </c>
    </row>
    <row r="90" spans="1:5" x14ac:dyDescent="0.25">
      <c r="A90" s="204" t="str">
        <f t="shared" si="1"/>
        <v>09/07/2024NE - OCUPAÇÃO - Alto</v>
      </c>
      <c r="B90" s="206" t="s">
        <v>91</v>
      </c>
      <c r="C90" s="207" t="s">
        <v>90</v>
      </c>
      <c r="D90" s="208">
        <v>4720</v>
      </c>
      <c r="E90" s="209">
        <v>45482</v>
      </c>
    </row>
    <row r="91" spans="1:5" x14ac:dyDescent="0.25">
      <c r="A91" s="204" t="str">
        <f t="shared" si="1"/>
        <v>10/07/2024NE - OCUPAÇÃO - Alto</v>
      </c>
      <c r="B91" s="210" t="s">
        <v>91</v>
      </c>
      <c r="C91" s="211" t="s">
        <v>90</v>
      </c>
      <c r="D91" s="212">
        <v>4720</v>
      </c>
      <c r="E91" s="213">
        <v>45483</v>
      </c>
    </row>
    <row r="92" spans="1:5" x14ac:dyDescent="0.25">
      <c r="A92" s="204" t="str">
        <f t="shared" si="1"/>
        <v>11/07/2024NE - OCUPAÇÃO - Alto</v>
      </c>
      <c r="B92" s="206" t="s">
        <v>91</v>
      </c>
      <c r="C92" s="207" t="s">
        <v>90</v>
      </c>
      <c r="D92" s="208">
        <v>4720</v>
      </c>
      <c r="E92" s="209">
        <v>45484</v>
      </c>
    </row>
    <row r="93" spans="1:5" x14ac:dyDescent="0.25">
      <c r="A93" s="204" t="str">
        <f t="shared" si="1"/>
        <v>12/07/2024NE - OCUPAÇÃO - Alto</v>
      </c>
      <c r="B93" s="210" t="s">
        <v>91</v>
      </c>
      <c r="C93" s="211" t="s">
        <v>90</v>
      </c>
      <c r="D93" s="212">
        <v>4720</v>
      </c>
      <c r="E93" s="213">
        <v>45485</v>
      </c>
    </row>
    <row r="94" spans="1:5" x14ac:dyDescent="0.25">
      <c r="A94" s="204" t="str">
        <f t="shared" si="1"/>
        <v>13/07/2024NE - OCUPAÇÃO - Alto</v>
      </c>
      <c r="B94" s="206" t="s">
        <v>91</v>
      </c>
      <c r="C94" s="207" t="s">
        <v>90</v>
      </c>
      <c r="D94" s="208">
        <v>4720</v>
      </c>
      <c r="E94" s="209">
        <v>45486</v>
      </c>
    </row>
    <row r="95" spans="1:5" x14ac:dyDescent="0.25">
      <c r="A95" s="204" t="str">
        <f t="shared" si="1"/>
        <v>14/07/2024NE - OCUPAÇÃO - Alto</v>
      </c>
      <c r="B95" s="210" t="s">
        <v>91</v>
      </c>
      <c r="C95" s="211" t="s">
        <v>90</v>
      </c>
      <c r="D95" s="212">
        <v>4720</v>
      </c>
      <c r="E95" s="213">
        <v>45487</v>
      </c>
    </row>
    <row r="96" spans="1:5" x14ac:dyDescent="0.25">
      <c r="A96" s="204" t="str">
        <f t="shared" si="1"/>
        <v>15/07/2024NE - OCUPAÇÃO - Alto</v>
      </c>
      <c r="B96" s="206" t="s">
        <v>91</v>
      </c>
      <c r="C96" s="207" t="s">
        <v>90</v>
      </c>
      <c r="D96" s="208">
        <v>4720</v>
      </c>
      <c r="E96" s="209">
        <v>45488</v>
      </c>
    </row>
    <row r="97" spans="1:5" x14ac:dyDescent="0.25">
      <c r="A97" s="204" t="str">
        <f t="shared" si="1"/>
        <v>16/07/2024NE - OCUPAÇÃO - Alto</v>
      </c>
      <c r="B97" s="210" t="s">
        <v>91</v>
      </c>
      <c r="C97" s="211" t="s">
        <v>90</v>
      </c>
      <c r="D97" s="212">
        <v>4591</v>
      </c>
      <c r="E97" s="213">
        <v>45489</v>
      </c>
    </row>
    <row r="98" spans="1:5" x14ac:dyDescent="0.25">
      <c r="A98" s="204" t="str">
        <f t="shared" si="1"/>
        <v>17/07/2024NE - OCUPAÇÃO - Alto</v>
      </c>
      <c r="B98" s="206" t="s">
        <v>91</v>
      </c>
      <c r="C98" s="207" t="s">
        <v>90</v>
      </c>
      <c r="D98" s="208">
        <v>4591</v>
      </c>
      <c r="E98" s="209">
        <v>45490</v>
      </c>
    </row>
    <row r="99" spans="1:5" x14ac:dyDescent="0.25">
      <c r="A99" s="204" t="str">
        <f t="shared" si="1"/>
        <v>18/07/2024NE - OCUPAÇÃO - Alto</v>
      </c>
      <c r="B99" s="210" t="s">
        <v>91</v>
      </c>
      <c r="C99" s="211" t="s">
        <v>90</v>
      </c>
      <c r="D99" s="212">
        <v>4591</v>
      </c>
      <c r="E99" s="213">
        <v>45491</v>
      </c>
    </row>
    <row r="100" spans="1:5" x14ac:dyDescent="0.25">
      <c r="A100" s="204" t="str">
        <f t="shared" si="1"/>
        <v>19/07/2024NE - OCUPAÇÃO - Alto</v>
      </c>
      <c r="B100" s="206" t="s">
        <v>91</v>
      </c>
      <c r="C100" s="207" t="s">
        <v>90</v>
      </c>
      <c r="D100" s="208">
        <v>4591</v>
      </c>
      <c r="E100" s="209">
        <v>45492</v>
      </c>
    </row>
    <row r="101" spans="1:5" x14ac:dyDescent="0.25">
      <c r="A101" s="204" t="str">
        <f t="shared" si="1"/>
        <v>01/07/2024NE - OCUPAÇÃO - Baixo</v>
      </c>
      <c r="B101" s="210" t="s">
        <v>224</v>
      </c>
      <c r="C101" s="211" t="s">
        <v>90</v>
      </c>
      <c r="D101" s="212">
        <v>1110</v>
      </c>
      <c r="E101" s="213">
        <v>45474</v>
      </c>
    </row>
    <row r="102" spans="1:5" x14ac:dyDescent="0.25">
      <c r="A102" s="204" t="str">
        <f t="shared" si="1"/>
        <v>02/07/2024NE - OCUPAÇÃO - Baixo</v>
      </c>
      <c r="B102" s="206" t="s">
        <v>224</v>
      </c>
      <c r="C102" s="207" t="s">
        <v>90</v>
      </c>
      <c r="D102" s="208">
        <v>1110</v>
      </c>
      <c r="E102" s="209">
        <v>45475</v>
      </c>
    </row>
    <row r="103" spans="1:5" x14ac:dyDescent="0.25">
      <c r="A103" s="204" t="str">
        <f t="shared" si="1"/>
        <v>03/07/2024NE - OCUPAÇÃO - Baixo</v>
      </c>
      <c r="B103" s="210" t="s">
        <v>224</v>
      </c>
      <c r="C103" s="211" t="s">
        <v>90</v>
      </c>
      <c r="D103" s="212">
        <v>1110</v>
      </c>
      <c r="E103" s="213">
        <v>45476</v>
      </c>
    </row>
    <row r="104" spans="1:5" x14ac:dyDescent="0.25">
      <c r="A104" s="204" t="str">
        <f t="shared" si="1"/>
        <v>04/07/2024NE - OCUPAÇÃO - Baixo</v>
      </c>
      <c r="B104" s="206" t="s">
        <v>224</v>
      </c>
      <c r="C104" s="207" t="s">
        <v>90</v>
      </c>
      <c r="D104" s="208">
        <v>1110</v>
      </c>
      <c r="E104" s="209">
        <v>45477</v>
      </c>
    </row>
    <row r="105" spans="1:5" x14ac:dyDescent="0.25">
      <c r="A105" s="204" t="str">
        <f t="shared" si="1"/>
        <v>05/07/2024NE - OCUPAÇÃO - Baixo</v>
      </c>
      <c r="B105" s="210" t="s">
        <v>224</v>
      </c>
      <c r="C105" s="211" t="s">
        <v>90</v>
      </c>
      <c r="D105" s="212">
        <v>1110</v>
      </c>
      <c r="E105" s="213">
        <v>45478</v>
      </c>
    </row>
    <row r="106" spans="1:5" x14ac:dyDescent="0.25">
      <c r="A106" s="204" t="str">
        <f t="shared" si="1"/>
        <v>06/07/2024NE - OCUPAÇÃO - Baixo</v>
      </c>
      <c r="B106" s="206" t="s">
        <v>224</v>
      </c>
      <c r="C106" s="207" t="s">
        <v>90</v>
      </c>
      <c r="D106" s="208">
        <v>1110</v>
      </c>
      <c r="E106" s="209">
        <v>45479</v>
      </c>
    </row>
    <row r="107" spans="1:5" x14ac:dyDescent="0.25">
      <c r="A107" s="204" t="str">
        <f t="shared" si="1"/>
        <v>07/07/2024NE - OCUPAÇÃO - Baixo</v>
      </c>
      <c r="B107" s="210" t="s">
        <v>224</v>
      </c>
      <c r="C107" s="211" t="s">
        <v>90</v>
      </c>
      <c r="D107" s="212">
        <v>1110</v>
      </c>
      <c r="E107" s="213">
        <v>45480</v>
      </c>
    </row>
    <row r="108" spans="1:5" x14ac:dyDescent="0.25">
      <c r="A108" s="204" t="str">
        <f t="shared" si="1"/>
        <v>08/07/2024NE - OCUPAÇÃO - Baixo</v>
      </c>
      <c r="B108" s="206" t="s">
        <v>224</v>
      </c>
      <c r="C108" s="207" t="s">
        <v>90</v>
      </c>
      <c r="D108" s="208">
        <v>1110</v>
      </c>
      <c r="E108" s="209">
        <v>45481</v>
      </c>
    </row>
    <row r="109" spans="1:5" x14ac:dyDescent="0.25">
      <c r="A109" s="204" t="str">
        <f t="shared" si="1"/>
        <v>09/07/2024NE - OCUPAÇÃO - Baixo</v>
      </c>
      <c r="B109" s="210" t="s">
        <v>224</v>
      </c>
      <c r="C109" s="211" t="s">
        <v>90</v>
      </c>
      <c r="D109" s="212">
        <v>1110</v>
      </c>
      <c r="E109" s="213">
        <v>45482</v>
      </c>
    </row>
    <row r="110" spans="1:5" x14ac:dyDescent="0.25">
      <c r="A110" s="204" t="str">
        <f t="shared" si="1"/>
        <v>10/07/2024NE - OCUPAÇÃO - Baixo</v>
      </c>
      <c r="B110" s="206" t="s">
        <v>224</v>
      </c>
      <c r="C110" s="207" t="s">
        <v>90</v>
      </c>
      <c r="D110" s="208">
        <v>1110</v>
      </c>
      <c r="E110" s="209">
        <v>45483</v>
      </c>
    </row>
    <row r="111" spans="1:5" x14ac:dyDescent="0.25">
      <c r="A111" s="204" t="str">
        <f t="shared" si="1"/>
        <v>11/07/2024NE - OCUPAÇÃO - Baixo</v>
      </c>
      <c r="B111" s="210" t="s">
        <v>224</v>
      </c>
      <c r="C111" s="211" t="s">
        <v>90</v>
      </c>
      <c r="D111" s="212">
        <v>1110</v>
      </c>
      <c r="E111" s="213">
        <v>45484</v>
      </c>
    </row>
    <row r="112" spans="1:5" x14ac:dyDescent="0.25">
      <c r="A112" s="204" t="str">
        <f t="shared" si="1"/>
        <v>12/07/2024NE - OCUPAÇÃO - Baixo</v>
      </c>
      <c r="B112" s="206" t="s">
        <v>224</v>
      </c>
      <c r="C112" s="207" t="s">
        <v>90</v>
      </c>
      <c r="D112" s="208">
        <v>1110</v>
      </c>
      <c r="E112" s="209">
        <v>45485</v>
      </c>
    </row>
    <row r="113" spans="1:5" x14ac:dyDescent="0.25">
      <c r="A113" s="204" t="str">
        <f t="shared" si="1"/>
        <v>13/07/2024NE - OCUPAÇÃO - Baixo</v>
      </c>
      <c r="B113" s="210" t="s">
        <v>224</v>
      </c>
      <c r="C113" s="211" t="s">
        <v>90</v>
      </c>
      <c r="D113" s="212">
        <v>1110</v>
      </c>
      <c r="E113" s="213">
        <v>45486</v>
      </c>
    </row>
    <row r="114" spans="1:5" x14ac:dyDescent="0.25">
      <c r="A114" s="204" t="str">
        <f t="shared" si="1"/>
        <v>14/07/2024NE - OCUPAÇÃO - Baixo</v>
      </c>
      <c r="B114" s="206" t="s">
        <v>224</v>
      </c>
      <c r="C114" s="207" t="s">
        <v>90</v>
      </c>
      <c r="D114" s="208">
        <v>1110</v>
      </c>
      <c r="E114" s="209">
        <v>45487</v>
      </c>
    </row>
    <row r="115" spans="1:5" x14ac:dyDescent="0.25">
      <c r="A115" s="204" t="str">
        <f t="shared" si="1"/>
        <v>15/07/2024NE - OCUPAÇÃO - Baixo</v>
      </c>
      <c r="B115" s="210" t="s">
        <v>224</v>
      </c>
      <c r="C115" s="211" t="s">
        <v>90</v>
      </c>
      <c r="D115" s="212">
        <v>1110</v>
      </c>
      <c r="E115" s="213">
        <v>45488</v>
      </c>
    </row>
    <row r="116" spans="1:5" x14ac:dyDescent="0.25">
      <c r="A116" s="204" t="str">
        <f t="shared" si="1"/>
        <v>16/07/2024NE - OCUPAÇÃO - Baixo</v>
      </c>
      <c r="B116" s="206" t="s">
        <v>224</v>
      </c>
      <c r="C116" s="207" t="s">
        <v>90</v>
      </c>
      <c r="D116" s="208">
        <v>1046</v>
      </c>
      <c r="E116" s="209">
        <v>45489</v>
      </c>
    </row>
    <row r="117" spans="1:5" x14ac:dyDescent="0.25">
      <c r="A117" s="204" t="str">
        <f t="shared" si="1"/>
        <v>17/07/2024NE - OCUPAÇÃO - Baixo</v>
      </c>
      <c r="B117" s="210" t="s">
        <v>224</v>
      </c>
      <c r="C117" s="211" t="s">
        <v>90</v>
      </c>
      <c r="D117" s="212">
        <v>1046</v>
      </c>
      <c r="E117" s="213">
        <v>45490</v>
      </c>
    </row>
    <row r="118" spans="1:5" x14ac:dyDescent="0.25">
      <c r="A118" s="204" t="str">
        <f t="shared" si="1"/>
        <v>18/07/2024NE - OCUPAÇÃO - Baixo</v>
      </c>
      <c r="B118" s="206" t="s">
        <v>224</v>
      </c>
      <c r="C118" s="207" t="s">
        <v>90</v>
      </c>
      <c r="D118" s="208">
        <v>1046</v>
      </c>
      <c r="E118" s="209">
        <v>45491</v>
      </c>
    </row>
    <row r="119" spans="1:5" x14ac:dyDescent="0.25">
      <c r="A119" s="204" t="str">
        <f t="shared" si="1"/>
        <v>19/07/2024NE - OCUPAÇÃO - Baixo</v>
      </c>
      <c r="B119" s="210" t="s">
        <v>224</v>
      </c>
      <c r="C119" s="211" t="s">
        <v>90</v>
      </c>
      <c r="D119" s="212">
        <v>1046</v>
      </c>
      <c r="E119" s="213">
        <v>45492</v>
      </c>
    </row>
    <row r="120" spans="1:5" x14ac:dyDescent="0.25">
      <c r="A120" s="204" t="str">
        <f t="shared" si="1"/>
        <v>03/07/2024NE - SEPARAÇÃO - Custo Unitário por pallet separado (Agents B2B / POSM Trade)</v>
      </c>
      <c r="B120" s="206" t="s">
        <v>231</v>
      </c>
      <c r="C120" s="207" t="s">
        <v>229</v>
      </c>
      <c r="D120" s="208">
        <v>10</v>
      </c>
      <c r="E120" s="209">
        <v>45476</v>
      </c>
    </row>
    <row r="121" spans="1:5" x14ac:dyDescent="0.25">
      <c r="A121" s="204" t="str">
        <f t="shared" si="1"/>
        <v>11/07/2024NE - SEPARAÇÃO - Custo Unitário por pallet separado (Agents B2B / POSM Trade)</v>
      </c>
      <c r="B121" s="210" t="s">
        <v>231</v>
      </c>
      <c r="C121" s="211" t="s">
        <v>229</v>
      </c>
      <c r="D121" s="212">
        <v>15</v>
      </c>
      <c r="E121" s="213">
        <v>45484</v>
      </c>
    </row>
    <row r="122" spans="1:5" x14ac:dyDescent="0.25">
      <c r="A122" s="204" t="str">
        <f t="shared" si="1"/>
        <v>16/07/2024NE - SEPARAÇÃO - Custo Unitário por pallet separado (Agents B2B / POSM Trade)</v>
      </c>
      <c r="B122" s="206" t="s">
        <v>231</v>
      </c>
      <c r="C122" s="207" t="s">
        <v>229</v>
      </c>
      <c r="D122" s="208">
        <v>1</v>
      </c>
      <c r="E122" s="209">
        <v>45489</v>
      </c>
    </row>
    <row r="123" spans="1:5" x14ac:dyDescent="0.25">
      <c r="A123" s="204" t="str">
        <f t="shared" si="1"/>
        <v>17/07/2024NE - SEPARAÇÃO - Custo Unitário por pallet separado (Agents B2B / POSM Trade)</v>
      </c>
      <c r="B123" s="210" t="s">
        <v>231</v>
      </c>
      <c r="C123" s="211" t="s">
        <v>229</v>
      </c>
      <c r="D123" s="212">
        <v>16</v>
      </c>
      <c r="E123" s="213">
        <v>45490</v>
      </c>
    </row>
    <row r="124" spans="1:5" x14ac:dyDescent="0.25">
      <c r="A124" s="204" t="str">
        <f t="shared" si="1"/>
        <v>01/07/2024NE - SEPARAÇÃO - Pedidos B2B</v>
      </c>
      <c r="B124" s="206" t="s">
        <v>227</v>
      </c>
      <c r="C124" s="207" t="s">
        <v>221</v>
      </c>
      <c r="D124" s="208">
        <v>225</v>
      </c>
      <c r="E124" s="209">
        <v>45474</v>
      </c>
    </row>
    <row r="125" spans="1:5" x14ac:dyDescent="0.25">
      <c r="A125" s="204" t="str">
        <f t="shared" si="1"/>
        <v>02/07/2024NE - SEPARAÇÃO - Pedidos B2B</v>
      </c>
      <c r="B125" s="210" t="s">
        <v>227</v>
      </c>
      <c r="C125" s="211" t="s">
        <v>221</v>
      </c>
      <c r="D125" s="212">
        <v>513</v>
      </c>
      <c r="E125" s="213">
        <v>45475</v>
      </c>
    </row>
    <row r="126" spans="1:5" x14ac:dyDescent="0.25">
      <c r="A126" s="204" t="str">
        <f t="shared" si="1"/>
        <v>03/07/2024NE - SEPARAÇÃO - Pedidos B2B</v>
      </c>
      <c r="B126" s="206" t="s">
        <v>227</v>
      </c>
      <c r="C126" s="207" t="s">
        <v>221</v>
      </c>
      <c r="D126" s="208">
        <v>615</v>
      </c>
      <c r="E126" s="209">
        <v>45476</v>
      </c>
    </row>
    <row r="127" spans="1:5" x14ac:dyDescent="0.25">
      <c r="A127" s="204" t="str">
        <f t="shared" si="1"/>
        <v>04/07/2024NE - SEPARAÇÃO - Pedidos B2B</v>
      </c>
      <c r="B127" s="210" t="s">
        <v>227</v>
      </c>
      <c r="C127" s="211" t="s">
        <v>221</v>
      </c>
      <c r="D127" s="212">
        <v>572</v>
      </c>
      <c r="E127" s="213">
        <v>45477</v>
      </c>
    </row>
    <row r="128" spans="1:5" x14ac:dyDescent="0.25">
      <c r="A128" s="204" t="str">
        <f t="shared" si="1"/>
        <v>05/07/2024NE - SEPARAÇÃO - Pedidos B2B</v>
      </c>
      <c r="B128" s="206" t="s">
        <v>227</v>
      </c>
      <c r="C128" s="207" t="s">
        <v>221</v>
      </c>
      <c r="D128" s="208">
        <v>24</v>
      </c>
      <c r="E128" s="209">
        <v>45478</v>
      </c>
    </row>
    <row r="129" spans="1:5" x14ac:dyDescent="0.25">
      <c r="A129" s="204" t="str">
        <f t="shared" si="1"/>
        <v>07/07/2024NE - SEPARAÇÃO - Pedidos B2B</v>
      </c>
      <c r="B129" s="210" t="s">
        <v>227</v>
      </c>
      <c r="C129" s="211" t="s">
        <v>221</v>
      </c>
      <c r="D129" s="212">
        <v>247</v>
      </c>
      <c r="E129" s="213">
        <v>45480</v>
      </c>
    </row>
    <row r="130" spans="1:5" x14ac:dyDescent="0.25">
      <c r="A130" s="204" t="str">
        <f t="shared" ref="A130:A176" si="2">(TEXT(E130,"DD/MM/AAAA")&amp;B130)</f>
        <v>08/07/2024NE - SEPARAÇÃO - Pedidos B2B</v>
      </c>
      <c r="B130" s="206" t="s">
        <v>227</v>
      </c>
      <c r="C130" s="207" t="s">
        <v>221</v>
      </c>
      <c r="D130" s="208">
        <v>491</v>
      </c>
      <c r="E130" s="209">
        <v>45481</v>
      </c>
    </row>
    <row r="131" spans="1:5" x14ac:dyDescent="0.25">
      <c r="A131" s="204" t="str">
        <f t="shared" si="2"/>
        <v>09/07/2024NE - SEPARAÇÃO - Pedidos B2B</v>
      </c>
      <c r="B131" s="210" t="s">
        <v>227</v>
      </c>
      <c r="C131" s="211" t="s">
        <v>221</v>
      </c>
      <c r="D131" s="212">
        <v>443</v>
      </c>
      <c r="E131" s="213">
        <v>45482</v>
      </c>
    </row>
    <row r="132" spans="1:5" x14ac:dyDescent="0.25">
      <c r="A132" s="204" t="str">
        <f t="shared" si="2"/>
        <v>10/07/2024NE - SEPARAÇÃO - Pedidos B2B</v>
      </c>
      <c r="B132" s="206" t="s">
        <v>227</v>
      </c>
      <c r="C132" s="207" t="s">
        <v>221</v>
      </c>
      <c r="D132" s="208">
        <v>591</v>
      </c>
      <c r="E132" s="209">
        <v>45483</v>
      </c>
    </row>
    <row r="133" spans="1:5" x14ac:dyDescent="0.25">
      <c r="A133" s="204" t="str">
        <f t="shared" si="2"/>
        <v>11/07/2024NE - SEPARAÇÃO - Pedidos B2B</v>
      </c>
      <c r="B133" s="210" t="s">
        <v>227</v>
      </c>
      <c r="C133" s="211" t="s">
        <v>221</v>
      </c>
      <c r="D133" s="212">
        <v>579</v>
      </c>
      <c r="E133" s="213">
        <v>45484</v>
      </c>
    </row>
    <row r="134" spans="1:5" x14ac:dyDescent="0.25">
      <c r="A134" s="204" t="str">
        <f t="shared" si="2"/>
        <v>12/07/2024NE - SEPARAÇÃO - Pedidos B2B</v>
      </c>
      <c r="B134" s="206" t="s">
        <v>227</v>
      </c>
      <c r="C134" s="207" t="s">
        <v>221</v>
      </c>
      <c r="D134" s="208">
        <v>444</v>
      </c>
      <c r="E134" s="209">
        <v>45485</v>
      </c>
    </row>
    <row r="135" spans="1:5" x14ac:dyDescent="0.25">
      <c r="A135" s="204" t="str">
        <f t="shared" si="2"/>
        <v>14/07/2024NE - SEPARAÇÃO - Pedidos B2B</v>
      </c>
      <c r="B135" s="210" t="s">
        <v>227</v>
      </c>
      <c r="C135" s="211" t="s">
        <v>221</v>
      </c>
      <c r="D135" s="212">
        <v>320</v>
      </c>
      <c r="E135" s="213">
        <v>45487</v>
      </c>
    </row>
    <row r="136" spans="1:5" x14ac:dyDescent="0.25">
      <c r="A136" s="204" t="str">
        <f t="shared" si="2"/>
        <v>15/07/2024NE - SEPARAÇÃO - Pedidos B2B</v>
      </c>
      <c r="B136" s="206" t="s">
        <v>227</v>
      </c>
      <c r="C136" s="207" t="s">
        <v>221</v>
      </c>
      <c r="D136" s="208">
        <v>309</v>
      </c>
      <c r="E136" s="209">
        <v>45488</v>
      </c>
    </row>
    <row r="137" spans="1:5" x14ac:dyDescent="0.25">
      <c r="A137" s="204" t="str">
        <f t="shared" si="2"/>
        <v>16/07/2024NE - SEPARAÇÃO - Pedidos B2B</v>
      </c>
      <c r="B137" s="210" t="s">
        <v>227</v>
      </c>
      <c r="C137" s="211" t="s">
        <v>221</v>
      </c>
      <c r="D137" s="212">
        <v>429</v>
      </c>
      <c r="E137" s="213">
        <v>45489</v>
      </c>
    </row>
    <row r="138" spans="1:5" x14ac:dyDescent="0.25">
      <c r="A138" s="204" t="str">
        <f t="shared" si="2"/>
        <v>17/07/2024NE - SEPARAÇÃO - Pedidos B2B</v>
      </c>
      <c r="B138" s="206" t="s">
        <v>227</v>
      </c>
      <c r="C138" s="207" t="s">
        <v>221</v>
      </c>
      <c r="D138" s="208">
        <v>517</v>
      </c>
      <c r="E138" s="209">
        <v>45490</v>
      </c>
    </row>
    <row r="139" spans="1:5" x14ac:dyDescent="0.25">
      <c r="A139" s="204" t="str">
        <f t="shared" si="2"/>
        <v>18/07/2024NE - SEPARAÇÃO - Pedidos B2B</v>
      </c>
      <c r="B139" s="210" t="s">
        <v>227</v>
      </c>
      <c r="C139" s="211" t="s">
        <v>221</v>
      </c>
      <c r="D139" s="212">
        <v>413</v>
      </c>
      <c r="E139" s="213">
        <v>45491</v>
      </c>
    </row>
    <row r="140" spans="1:5" x14ac:dyDescent="0.25">
      <c r="A140" s="204" t="str">
        <f t="shared" si="2"/>
        <v>19/07/2024NE - SEPARAÇÃO - Pedidos B2B</v>
      </c>
      <c r="B140" s="206" t="s">
        <v>227</v>
      </c>
      <c r="C140" s="207" t="s">
        <v>221</v>
      </c>
      <c r="D140" s="208">
        <v>467</v>
      </c>
      <c r="E140" s="209">
        <v>45492</v>
      </c>
    </row>
    <row r="141" spans="1:5" x14ac:dyDescent="0.25">
      <c r="A141" s="204" t="str">
        <f t="shared" si="2"/>
        <v>01/07/2024NE - SEPARAÇÃO - Pedidos B2C</v>
      </c>
      <c r="B141" s="210" t="s">
        <v>220</v>
      </c>
      <c r="C141" s="211" t="s">
        <v>221</v>
      </c>
      <c r="D141" s="212">
        <v>2607</v>
      </c>
      <c r="E141" s="213">
        <v>45474</v>
      </c>
    </row>
    <row r="142" spans="1:5" x14ac:dyDescent="0.25">
      <c r="A142" s="204" t="str">
        <f t="shared" si="2"/>
        <v>02/07/2024NE - SEPARAÇÃO - Pedidos B2C</v>
      </c>
      <c r="B142" s="206" t="s">
        <v>220</v>
      </c>
      <c r="C142" s="207" t="s">
        <v>221</v>
      </c>
      <c r="D142" s="208">
        <v>2388</v>
      </c>
      <c r="E142" s="209">
        <v>45475</v>
      </c>
    </row>
    <row r="143" spans="1:5" x14ac:dyDescent="0.25">
      <c r="A143" s="204" t="str">
        <f t="shared" si="2"/>
        <v>03/07/2024NE - SEPARAÇÃO - Pedidos B2C</v>
      </c>
      <c r="B143" s="210" t="s">
        <v>220</v>
      </c>
      <c r="C143" s="211" t="s">
        <v>221</v>
      </c>
      <c r="D143" s="212">
        <v>2881</v>
      </c>
      <c r="E143" s="213">
        <v>45476</v>
      </c>
    </row>
    <row r="144" spans="1:5" x14ac:dyDescent="0.25">
      <c r="A144" s="204" t="str">
        <f t="shared" si="2"/>
        <v>04/07/2024NE - SEPARAÇÃO - Pedidos B2C</v>
      </c>
      <c r="B144" s="206" t="s">
        <v>220</v>
      </c>
      <c r="C144" s="207" t="s">
        <v>221</v>
      </c>
      <c r="D144" s="208">
        <v>2206</v>
      </c>
      <c r="E144" s="209">
        <v>45477</v>
      </c>
    </row>
    <row r="145" spans="1:5" x14ac:dyDescent="0.25">
      <c r="A145" s="204" t="str">
        <f t="shared" si="2"/>
        <v>05/07/2024NE - SEPARAÇÃO - Pedidos B2C</v>
      </c>
      <c r="B145" s="210" t="s">
        <v>220</v>
      </c>
      <c r="C145" s="211" t="s">
        <v>221</v>
      </c>
      <c r="D145" s="212">
        <v>80</v>
      </c>
      <c r="E145" s="213">
        <v>45478</v>
      </c>
    </row>
    <row r="146" spans="1:5" x14ac:dyDescent="0.25">
      <c r="A146" s="204" t="str">
        <f t="shared" si="2"/>
        <v>07/07/2024NE - SEPARAÇÃO - Pedidos B2C</v>
      </c>
      <c r="B146" s="206" t="s">
        <v>220</v>
      </c>
      <c r="C146" s="207" t="s">
        <v>221</v>
      </c>
      <c r="D146" s="208">
        <v>3603</v>
      </c>
      <c r="E146" s="209">
        <v>45480</v>
      </c>
    </row>
    <row r="147" spans="1:5" x14ac:dyDescent="0.25">
      <c r="A147" s="204" t="str">
        <f t="shared" si="2"/>
        <v>08/07/2024NE - SEPARAÇÃO - Pedidos B2C</v>
      </c>
      <c r="B147" s="210" t="s">
        <v>220</v>
      </c>
      <c r="C147" s="211" t="s">
        <v>221</v>
      </c>
      <c r="D147" s="212">
        <v>3601</v>
      </c>
      <c r="E147" s="213">
        <v>45481</v>
      </c>
    </row>
    <row r="148" spans="1:5" x14ac:dyDescent="0.25">
      <c r="A148" s="204" t="str">
        <f t="shared" si="2"/>
        <v>09/07/2024NE - SEPARAÇÃO - Pedidos B2C</v>
      </c>
      <c r="B148" s="206" t="s">
        <v>220</v>
      </c>
      <c r="C148" s="207" t="s">
        <v>221</v>
      </c>
      <c r="D148" s="208">
        <v>2956</v>
      </c>
      <c r="E148" s="209">
        <v>45482</v>
      </c>
    </row>
    <row r="149" spans="1:5" x14ac:dyDescent="0.25">
      <c r="A149" s="204" t="str">
        <f t="shared" si="2"/>
        <v>10/07/2024NE - SEPARAÇÃO - Pedidos B2C</v>
      </c>
      <c r="B149" s="210" t="s">
        <v>220</v>
      </c>
      <c r="C149" s="211" t="s">
        <v>221</v>
      </c>
      <c r="D149" s="212">
        <v>3267</v>
      </c>
      <c r="E149" s="213">
        <v>45483</v>
      </c>
    </row>
    <row r="150" spans="1:5" x14ac:dyDescent="0.25">
      <c r="A150" s="204" t="str">
        <f t="shared" si="2"/>
        <v>11/07/2024NE - SEPARAÇÃO - Pedidos B2C</v>
      </c>
      <c r="B150" s="206" t="s">
        <v>220</v>
      </c>
      <c r="C150" s="207" t="s">
        <v>221</v>
      </c>
      <c r="D150" s="208">
        <v>2798</v>
      </c>
      <c r="E150" s="209">
        <v>45484</v>
      </c>
    </row>
    <row r="151" spans="1:5" x14ac:dyDescent="0.25">
      <c r="A151" s="204" t="str">
        <f t="shared" si="2"/>
        <v>12/07/2024NE - SEPARAÇÃO - Pedidos B2C</v>
      </c>
      <c r="B151" s="210" t="s">
        <v>220</v>
      </c>
      <c r="C151" s="211" t="s">
        <v>221</v>
      </c>
      <c r="D151" s="212">
        <v>2175</v>
      </c>
      <c r="E151" s="213">
        <v>45485</v>
      </c>
    </row>
    <row r="152" spans="1:5" x14ac:dyDescent="0.25">
      <c r="A152" s="204" t="str">
        <f t="shared" si="2"/>
        <v>14/07/2024NE - SEPARAÇÃO - Pedidos B2C</v>
      </c>
      <c r="B152" s="206" t="s">
        <v>220</v>
      </c>
      <c r="C152" s="207" t="s">
        <v>221</v>
      </c>
      <c r="D152" s="208">
        <v>3225</v>
      </c>
      <c r="E152" s="209">
        <v>45487</v>
      </c>
    </row>
    <row r="153" spans="1:5" x14ac:dyDescent="0.25">
      <c r="A153" s="204" t="str">
        <f t="shared" si="2"/>
        <v>15/07/2024NE - SEPARAÇÃO - Pedidos B2C</v>
      </c>
      <c r="B153" s="210" t="s">
        <v>220</v>
      </c>
      <c r="C153" s="211" t="s">
        <v>221</v>
      </c>
      <c r="D153" s="212">
        <v>3169</v>
      </c>
      <c r="E153" s="213">
        <v>45488</v>
      </c>
    </row>
    <row r="154" spans="1:5" x14ac:dyDescent="0.25">
      <c r="A154" s="204" t="str">
        <f t="shared" si="2"/>
        <v>16/07/2024NE - SEPARAÇÃO - Pedidos B2C</v>
      </c>
      <c r="B154" s="206" t="s">
        <v>220</v>
      </c>
      <c r="C154" s="207" t="s">
        <v>221</v>
      </c>
      <c r="D154" s="208">
        <v>2943</v>
      </c>
      <c r="E154" s="209">
        <v>45489</v>
      </c>
    </row>
    <row r="155" spans="1:5" x14ac:dyDescent="0.25">
      <c r="A155" s="204" t="str">
        <f t="shared" si="2"/>
        <v>17/07/2024NE - SEPARAÇÃO - Pedidos B2C</v>
      </c>
      <c r="B155" s="210" t="s">
        <v>220</v>
      </c>
      <c r="C155" s="211" t="s">
        <v>221</v>
      </c>
      <c r="D155" s="212">
        <v>2940</v>
      </c>
      <c r="E155" s="213">
        <v>45490</v>
      </c>
    </row>
    <row r="156" spans="1:5" x14ac:dyDescent="0.25">
      <c r="A156" s="204" t="str">
        <f t="shared" si="2"/>
        <v>18/07/2024NE - SEPARAÇÃO - Pedidos B2C</v>
      </c>
      <c r="B156" s="206" t="s">
        <v>220</v>
      </c>
      <c r="C156" s="207" t="s">
        <v>221</v>
      </c>
      <c r="D156" s="208">
        <v>2376</v>
      </c>
      <c r="E156" s="209">
        <v>45491</v>
      </c>
    </row>
    <row r="157" spans="1:5" x14ac:dyDescent="0.25">
      <c r="A157" s="204" t="str">
        <f t="shared" si="2"/>
        <v>19/07/2024NE - SEPARAÇÃO - Pedidos B2C</v>
      </c>
      <c r="B157" s="210" t="s">
        <v>220</v>
      </c>
      <c r="C157" s="211" t="s">
        <v>221</v>
      </c>
      <c r="D157" s="212">
        <v>2804</v>
      </c>
      <c r="E157" s="213">
        <v>45492</v>
      </c>
    </row>
    <row r="158" spans="1:5" x14ac:dyDescent="0.25">
      <c r="A158" s="204" t="str">
        <f t="shared" si="2"/>
        <v>01/07/2024NE - SEPARAÇÃO - Trade Acessórios</v>
      </c>
      <c r="B158" s="206" t="s">
        <v>234</v>
      </c>
      <c r="C158" s="207" t="s">
        <v>226</v>
      </c>
      <c r="D158" s="208">
        <v>9</v>
      </c>
      <c r="E158" s="209">
        <v>45474</v>
      </c>
    </row>
    <row r="159" spans="1:5" x14ac:dyDescent="0.25">
      <c r="A159" s="204" t="str">
        <f t="shared" si="2"/>
        <v>02/07/2024NE - SEPARAÇÃO - Trade Acessórios</v>
      </c>
      <c r="B159" s="210" t="s">
        <v>234</v>
      </c>
      <c r="C159" s="211" t="s">
        <v>226</v>
      </c>
      <c r="D159" s="212">
        <v>1</v>
      </c>
      <c r="E159" s="213">
        <v>45475</v>
      </c>
    </row>
    <row r="160" spans="1:5" x14ac:dyDescent="0.25">
      <c r="A160" s="204" t="str">
        <f t="shared" si="2"/>
        <v>07/07/2024NE - SEPARAÇÃO - Trade Acessórios</v>
      </c>
      <c r="B160" s="206" t="s">
        <v>234</v>
      </c>
      <c r="C160" s="207" t="s">
        <v>226</v>
      </c>
      <c r="D160" s="208">
        <v>2</v>
      </c>
      <c r="E160" s="209">
        <v>45480</v>
      </c>
    </row>
    <row r="161" spans="1:5" x14ac:dyDescent="0.25">
      <c r="A161" s="204" t="str">
        <f t="shared" si="2"/>
        <v>09/07/2024NE - SEPARAÇÃO - Trade Acessórios</v>
      </c>
      <c r="B161" s="210" t="s">
        <v>234</v>
      </c>
      <c r="C161" s="211" t="s">
        <v>226</v>
      </c>
      <c r="D161" s="212">
        <v>2</v>
      </c>
      <c r="E161" s="213">
        <v>45482</v>
      </c>
    </row>
    <row r="162" spans="1:5" x14ac:dyDescent="0.25">
      <c r="A162" s="204" t="str">
        <f t="shared" si="2"/>
        <v>16/07/2024NE - SEPARAÇÃO - Trade Acessórios</v>
      </c>
      <c r="B162" s="206" t="s">
        <v>234</v>
      </c>
      <c r="C162" s="207" t="s">
        <v>226</v>
      </c>
      <c r="D162" s="208">
        <v>12</v>
      </c>
      <c r="E162" s="209">
        <v>45489</v>
      </c>
    </row>
    <row r="163" spans="1:5" x14ac:dyDescent="0.25">
      <c r="A163" s="204" t="str">
        <f t="shared" si="2"/>
        <v>01/07/2024NE - SEPARAÇÃO - Trade Café</v>
      </c>
      <c r="B163" s="210" t="s">
        <v>225</v>
      </c>
      <c r="C163" s="211" t="s">
        <v>226</v>
      </c>
      <c r="D163" s="212">
        <v>8</v>
      </c>
      <c r="E163" s="213">
        <v>45474</v>
      </c>
    </row>
    <row r="164" spans="1:5" x14ac:dyDescent="0.25">
      <c r="A164" s="204" t="str">
        <f t="shared" si="2"/>
        <v>02/07/2024NE - SEPARAÇÃO - Trade Café</v>
      </c>
      <c r="B164" s="206" t="s">
        <v>225</v>
      </c>
      <c r="C164" s="207" t="s">
        <v>226</v>
      </c>
      <c r="D164" s="208">
        <v>42</v>
      </c>
      <c r="E164" s="209">
        <v>45475</v>
      </c>
    </row>
    <row r="165" spans="1:5" x14ac:dyDescent="0.25">
      <c r="A165" s="204" t="str">
        <f t="shared" si="2"/>
        <v>09/07/2024NE - SEPARAÇÃO - Trade Café</v>
      </c>
      <c r="B165" s="210" t="s">
        <v>225</v>
      </c>
      <c r="C165" s="211" t="s">
        <v>226</v>
      </c>
      <c r="D165" s="212">
        <v>58</v>
      </c>
      <c r="E165" s="213">
        <v>45482</v>
      </c>
    </row>
    <row r="166" spans="1:5" x14ac:dyDescent="0.25">
      <c r="A166" s="204" t="str">
        <f t="shared" si="2"/>
        <v>04/07/2024NE - SEPARAÇÃO - Trade maquinas</v>
      </c>
      <c r="B166" s="206" t="s">
        <v>222</v>
      </c>
      <c r="C166" s="207" t="s">
        <v>223</v>
      </c>
      <c r="D166" s="208">
        <v>618</v>
      </c>
      <c r="E166" s="209">
        <v>45477</v>
      </c>
    </row>
    <row r="167" spans="1:5" x14ac:dyDescent="0.25">
      <c r="A167" s="204" t="str">
        <f t="shared" si="2"/>
        <v>07/07/2024NE - SEPARAÇÃO - Trade maquinas</v>
      </c>
      <c r="B167" s="210" t="s">
        <v>222</v>
      </c>
      <c r="C167" s="211" t="s">
        <v>223</v>
      </c>
      <c r="D167" s="212">
        <v>2225</v>
      </c>
      <c r="E167" s="213">
        <v>45480</v>
      </c>
    </row>
    <row r="168" spans="1:5" x14ac:dyDescent="0.25">
      <c r="A168" s="204" t="str">
        <f t="shared" si="2"/>
        <v>08/07/2024NE - SEPARAÇÃO - Trade maquinas</v>
      </c>
      <c r="B168" s="206" t="s">
        <v>222</v>
      </c>
      <c r="C168" s="207" t="s">
        <v>223</v>
      </c>
      <c r="D168" s="208">
        <v>373</v>
      </c>
      <c r="E168" s="209">
        <v>45481</v>
      </c>
    </row>
    <row r="169" spans="1:5" x14ac:dyDescent="0.25">
      <c r="A169" s="204" t="str">
        <f t="shared" si="2"/>
        <v>10/07/2024NE - SEPARAÇÃO - Trade maquinas</v>
      </c>
      <c r="B169" s="210" t="s">
        <v>222</v>
      </c>
      <c r="C169" s="211" t="s">
        <v>223</v>
      </c>
      <c r="D169" s="212">
        <v>412</v>
      </c>
      <c r="E169" s="213">
        <v>45483</v>
      </c>
    </row>
    <row r="170" spans="1:5" x14ac:dyDescent="0.25">
      <c r="A170" s="204" t="str">
        <f t="shared" si="2"/>
        <v>11/07/2024NE - SEPARAÇÃO - Trade maquinas</v>
      </c>
      <c r="B170" s="206" t="s">
        <v>222</v>
      </c>
      <c r="C170" s="207" t="s">
        <v>223</v>
      </c>
      <c r="D170" s="208">
        <v>1219</v>
      </c>
      <c r="E170" s="209">
        <v>45484</v>
      </c>
    </row>
    <row r="171" spans="1:5" x14ac:dyDescent="0.25">
      <c r="A171" s="204" t="str">
        <f t="shared" si="2"/>
        <v>12/07/2024NE - SEPARAÇÃO - Trade maquinas</v>
      </c>
      <c r="B171" s="210" t="s">
        <v>222</v>
      </c>
      <c r="C171" s="211" t="s">
        <v>223</v>
      </c>
      <c r="D171" s="212">
        <v>1175</v>
      </c>
      <c r="E171" s="213">
        <v>45485</v>
      </c>
    </row>
    <row r="172" spans="1:5" x14ac:dyDescent="0.25">
      <c r="A172" s="204" t="str">
        <f t="shared" si="2"/>
        <v>14/07/2024NE - SEPARAÇÃO - Trade maquinas</v>
      </c>
      <c r="B172" s="206" t="s">
        <v>222</v>
      </c>
      <c r="C172" s="207" t="s">
        <v>223</v>
      </c>
      <c r="D172" s="208">
        <v>1188</v>
      </c>
      <c r="E172" s="209">
        <v>45487</v>
      </c>
    </row>
    <row r="173" spans="1:5" x14ac:dyDescent="0.25">
      <c r="A173" s="204" t="str">
        <f t="shared" si="2"/>
        <v>16/07/2024NE - SEPARAÇÃO - Trade maquinas</v>
      </c>
      <c r="B173" s="210" t="s">
        <v>222</v>
      </c>
      <c r="C173" s="211" t="s">
        <v>223</v>
      </c>
      <c r="D173" s="212">
        <v>339</v>
      </c>
      <c r="E173" s="213">
        <v>45489</v>
      </c>
    </row>
    <row r="174" spans="1:5" x14ac:dyDescent="0.25">
      <c r="A174" s="204" t="str">
        <f t="shared" si="2"/>
        <v>17/07/2024NE - SEPARAÇÃO - Trade maquinas</v>
      </c>
      <c r="B174" s="206" t="s">
        <v>222</v>
      </c>
      <c r="C174" s="207" t="s">
        <v>223</v>
      </c>
      <c r="D174" s="208">
        <v>2148</v>
      </c>
      <c r="E174" s="209">
        <v>45490</v>
      </c>
    </row>
    <row r="175" spans="1:5" x14ac:dyDescent="0.25">
      <c r="A175" s="204" t="str">
        <f t="shared" si="2"/>
        <v>18/07/2024NE - SEPARAÇÃO - Trade maquinas</v>
      </c>
      <c r="B175" s="210" t="s">
        <v>222</v>
      </c>
      <c r="C175" s="211" t="s">
        <v>223</v>
      </c>
      <c r="D175" s="212">
        <v>2503</v>
      </c>
      <c r="E175" s="213">
        <v>45491</v>
      </c>
    </row>
    <row r="176" spans="1:5" x14ac:dyDescent="0.25">
      <c r="A176" s="204" t="str">
        <f t="shared" si="2"/>
        <v>19/07/2024NE - SEPARAÇÃO - Trade maquinas</v>
      </c>
      <c r="B176" s="206" t="s">
        <v>222</v>
      </c>
      <c r="C176" s="207" t="s">
        <v>223</v>
      </c>
      <c r="D176" s="208">
        <v>1773</v>
      </c>
      <c r="E176" s="209">
        <v>45492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ilha1"/>
  <dimension ref="B1:V38"/>
  <sheetViews>
    <sheetView showGridLines="0" tabSelected="1" topLeftCell="A11" zoomScale="85" zoomScaleNormal="85" workbookViewId="0">
      <selection activeCell="J26" sqref="J26"/>
    </sheetView>
  </sheetViews>
  <sheetFormatPr defaultRowHeight="15" x14ac:dyDescent="0.25"/>
  <cols>
    <col min="1" max="1" width="2.28515625" customWidth="1"/>
    <col min="2" max="2" width="6.7109375" bestFit="1" customWidth="1"/>
    <col min="3" max="3" width="12.42578125" bestFit="1" customWidth="1"/>
    <col min="4" max="6" width="11.7109375" customWidth="1"/>
    <col min="7" max="7" width="37.7109375" bestFit="1" customWidth="1"/>
    <col min="8" max="8" width="18.28515625" bestFit="1" customWidth="1"/>
    <col min="9" max="13" width="12.5703125" customWidth="1"/>
    <col min="14" max="14" width="14.5703125" bestFit="1" customWidth="1"/>
    <col min="15" max="15" width="12.5703125" customWidth="1"/>
    <col min="16" max="16" width="17.42578125" customWidth="1"/>
    <col min="17" max="17" width="12.5703125" customWidth="1"/>
    <col min="19" max="19" width="14.7109375" customWidth="1"/>
    <col min="20" max="20" width="10.85546875" bestFit="1" customWidth="1"/>
  </cols>
  <sheetData>
    <row r="1" spans="2:22" x14ac:dyDescent="0.25">
      <c r="F1" s="9"/>
    </row>
    <row r="2" spans="2:22" x14ac:dyDescent="0.25">
      <c r="F2" s="9"/>
    </row>
    <row r="6" spans="2:22" ht="27" thickBot="1" x14ac:dyDescent="0.3">
      <c r="D6" s="8" t="s">
        <v>84</v>
      </c>
      <c r="E6" s="8"/>
      <c r="F6" s="101"/>
      <c r="G6" s="231"/>
      <c r="H6" s="125">
        <f ca="1">TODAY()-2</f>
        <v>45492</v>
      </c>
      <c r="I6" s="126">
        <f ca="1">J10/H10</f>
        <v>0.67917956656346745</v>
      </c>
      <c r="J6" s="234" t="s">
        <v>92</v>
      </c>
      <c r="K6" s="234"/>
      <c r="L6" s="234"/>
      <c r="M6" s="234"/>
      <c r="N6" s="234"/>
      <c r="O6" s="234"/>
      <c r="P6" s="234"/>
      <c r="Q6" s="235"/>
    </row>
    <row r="7" spans="2:22" ht="15.75" thickBot="1" x14ac:dyDescent="0.3">
      <c r="D7" t="s">
        <v>141</v>
      </c>
      <c r="G7" s="232"/>
      <c r="I7" s="120"/>
      <c r="K7" s="121"/>
      <c r="L7" s="122"/>
      <c r="Q7" s="127"/>
      <c r="T7" s="236"/>
      <c r="U7" s="236"/>
      <c r="V7" s="236"/>
    </row>
    <row r="8" spans="2:22" ht="23.25" customHeight="1" thickBot="1" x14ac:dyDescent="0.3">
      <c r="G8" s="232"/>
      <c r="H8" s="237" t="s">
        <v>93</v>
      </c>
      <c r="I8" s="238"/>
      <c r="J8" s="238" t="s">
        <v>94</v>
      </c>
      <c r="K8" s="238"/>
      <c r="L8" s="238"/>
      <c r="M8" s="238"/>
      <c r="N8" s="238" t="s">
        <v>95</v>
      </c>
      <c r="O8" s="238"/>
      <c r="P8" s="238"/>
      <c r="Q8" s="239"/>
      <c r="T8" s="236"/>
      <c r="U8" s="236"/>
      <c r="V8" s="236"/>
    </row>
    <row r="9" spans="2:22" ht="29.25" customHeight="1" thickBot="1" x14ac:dyDescent="0.3">
      <c r="B9" s="6" t="s">
        <v>96</v>
      </c>
      <c r="C9" s="7">
        <v>45383</v>
      </c>
      <c r="G9" s="233"/>
      <c r="H9" s="91" t="s">
        <v>97</v>
      </c>
      <c r="I9" s="92" t="s">
        <v>98</v>
      </c>
      <c r="J9" s="92" t="s">
        <v>97</v>
      </c>
      <c r="K9" s="92" t="s">
        <v>99</v>
      </c>
      <c r="L9" s="92" t="s">
        <v>98</v>
      </c>
      <c r="M9" s="92" t="s">
        <v>100</v>
      </c>
      <c r="N9" s="92" t="s">
        <v>97</v>
      </c>
      <c r="O9" s="92" t="s">
        <v>99</v>
      </c>
      <c r="P9" s="92" t="s">
        <v>98</v>
      </c>
      <c r="Q9" s="128" t="s">
        <v>100</v>
      </c>
      <c r="T9" s="236"/>
      <c r="U9" s="236"/>
      <c r="V9" s="236"/>
    </row>
    <row r="10" spans="2:22" ht="24" customHeight="1" x14ac:dyDescent="0.25">
      <c r="B10" s="6" t="s">
        <v>101</v>
      </c>
      <c r="C10" s="7">
        <f ca="1">H6</f>
        <v>45492</v>
      </c>
      <c r="G10" s="129" t="s">
        <v>102</v>
      </c>
      <c r="H10" s="102">
        <f>SUM(H11:H13)</f>
        <v>2584</v>
      </c>
      <c r="I10" s="90">
        <f ca="1">IFERROR((K10/H10),"")</f>
        <v>0.44195046439628483</v>
      </c>
      <c r="J10" s="102">
        <f ca="1">SUMIFS(Master!F3:F1048576,Master!A3:A1048576,"&gt;="&amp;C9,Master!A3:A1048576,"&lt;="&amp;Home!C10)</f>
        <v>1755</v>
      </c>
      <c r="K10" s="103">
        <f ca="1">SUM(K11:K13)</f>
        <v>1142</v>
      </c>
      <c r="L10" s="90">
        <f ca="1">IFERROR(K10/J10,"")</f>
        <v>0.65071225071225069</v>
      </c>
      <c r="M10" s="103">
        <f ca="1">K10-J10</f>
        <v>-613</v>
      </c>
      <c r="N10" s="102">
        <f ca="1">SUMIF(Master!A3:A1048576,Home!C10,Master!F3:$F$1048576)</f>
        <v>117</v>
      </c>
      <c r="O10" s="103">
        <f ca="1">SUMIF(Master!A3:A1048576,C10,Master!G3:G1048576)</f>
        <v>125</v>
      </c>
      <c r="P10" s="90">
        <f ca="1">IFERROR((O10/N10),0)</f>
        <v>1.0683760683760684</v>
      </c>
      <c r="Q10" s="130">
        <f ca="1">O10-N10</f>
        <v>8</v>
      </c>
      <c r="T10" s="236"/>
      <c r="U10" s="236"/>
      <c r="V10" s="236"/>
    </row>
    <row r="11" spans="2:22" ht="24" customHeight="1" x14ac:dyDescent="0.25">
      <c r="B11" s="8"/>
      <c r="C11" s="9"/>
      <c r="G11" s="131" t="s">
        <v>103</v>
      </c>
      <c r="H11" s="89">
        <f>'Forecast Anual'!G3</f>
        <v>1382</v>
      </c>
      <c r="I11" s="90">
        <f ca="1">IFERROR((K11/H11),"")</f>
        <v>0.58248914616497827</v>
      </c>
      <c r="J11" s="89">
        <f ca="1">J10*(100%-29%)*62%</f>
        <v>772.55099999999993</v>
      </c>
      <c r="K11" s="103">
        <f ca="1">SUMIFS(Master!H3:H1048576,Master!A3:A1048576,"&gt;="&amp;Home!C9,Master!A3:A1048576,"&lt;="&amp;Home!C10)</f>
        <v>805</v>
      </c>
      <c r="L11" s="90">
        <f ca="1">IFERROR(K11/J11,"")</f>
        <v>1.0420024050192156</v>
      </c>
      <c r="M11" s="103">
        <f t="shared" ref="M11:M20" ca="1" si="0">K11-J11</f>
        <v>32.449000000000069</v>
      </c>
      <c r="N11" s="97">
        <f ca="1">N10*(100%-29%)*37%</f>
        <v>30.735899999999997</v>
      </c>
      <c r="O11" s="103">
        <f ca="1">SUMIF(Master!A3:A1048576,C10,Master!H3:H1048576)</f>
        <v>125</v>
      </c>
      <c r="P11" s="90">
        <f ca="1">IFERROR((O11/N11),0)</f>
        <v>4.0669054753561795</v>
      </c>
      <c r="Q11" s="130">
        <f ca="1">O11-N11</f>
        <v>94.264099999999999</v>
      </c>
      <c r="T11" s="236"/>
      <c r="U11" s="236"/>
      <c r="V11" s="236"/>
    </row>
    <row r="12" spans="2:22" ht="24" customHeight="1" x14ac:dyDescent="0.25">
      <c r="B12" s="8"/>
      <c r="C12" s="9"/>
      <c r="G12" s="131" t="s">
        <v>104</v>
      </c>
      <c r="H12" s="89">
        <f>'Forecast Anual'!G4</f>
        <v>553</v>
      </c>
      <c r="I12" s="90">
        <f ca="1">IFERROR((K12/H12),"")</f>
        <v>2.5316455696202531E-2</v>
      </c>
      <c r="J12" s="89">
        <f ca="1">J10*34%</f>
        <v>596.70000000000005</v>
      </c>
      <c r="K12" s="103">
        <f ca="1">SUMIFS(Master!I3:I1048576,Master!A3:A1048576,"&gt;="&amp;Home!C9,Master!A3:A1048576,"&lt;="&amp;Home!C10)</f>
        <v>14</v>
      </c>
      <c r="L12" s="90">
        <f ca="1">IFERROR(K12/J12,"")</f>
        <v>2.3462376403552872E-2</v>
      </c>
      <c r="M12" s="103">
        <f t="shared" ca="1" si="0"/>
        <v>-582.70000000000005</v>
      </c>
      <c r="N12" s="89">
        <f ca="1">N10*29%</f>
        <v>33.93</v>
      </c>
      <c r="O12" s="103">
        <f ca="1">SUMIF(Master!A3:A1048576,C10,Master!I3:I1048576)</f>
        <v>0</v>
      </c>
      <c r="P12" s="90">
        <f ca="1">IFERROR((O12/N12),0)</f>
        <v>0</v>
      </c>
      <c r="Q12" s="130">
        <f ca="1">O12-N12</f>
        <v>-33.93</v>
      </c>
      <c r="T12" s="236"/>
      <c r="U12" s="236"/>
      <c r="V12" s="236"/>
    </row>
    <row r="13" spans="2:22" ht="24" customHeight="1" thickBot="1" x14ac:dyDescent="0.3">
      <c r="B13" s="8"/>
      <c r="C13" s="9"/>
      <c r="G13" s="132" t="s">
        <v>105</v>
      </c>
      <c r="H13" s="89">
        <f>'Forecast Anual'!G5</f>
        <v>649</v>
      </c>
      <c r="I13" s="90">
        <f ca="1">IFERROR((K13/H13),"")</f>
        <v>0.49768875192604006</v>
      </c>
      <c r="J13" s="89">
        <f ca="1">J10*(100%-29%)*31%</f>
        <v>386.27549999999997</v>
      </c>
      <c r="K13" s="103">
        <f ca="1">SUMIFS(Master!J3:J1048576,Master!A3:A1048576,"&gt;="&amp;Home!C9,Master!A3:A1048576,"&lt;="&amp;Home!C10)</f>
        <v>323</v>
      </c>
      <c r="L13" s="90">
        <f ca="1">IFERROR(K13/J13,"")</f>
        <v>0.83619074986635189</v>
      </c>
      <c r="M13" s="103">
        <f t="shared" ca="1" si="0"/>
        <v>-63.275499999999965</v>
      </c>
      <c r="N13" s="89">
        <f ca="1">N10*(100%-29%)*63%</f>
        <v>52.334099999999999</v>
      </c>
      <c r="O13" s="103">
        <f ca="1">SUMIF(Master!A3:A1048576,C10,Master!J3:J1048576)</f>
        <v>0</v>
      </c>
      <c r="P13" s="90">
        <f ca="1">IFERROR((O13/N13),0)</f>
        <v>0</v>
      </c>
      <c r="Q13" s="130">
        <f ca="1">O13-N13</f>
        <v>-52.334099999999999</v>
      </c>
      <c r="T13" s="236"/>
      <c r="U13" s="236"/>
      <c r="V13" s="236"/>
    </row>
    <row r="14" spans="2:22" ht="24" customHeight="1" thickBot="1" x14ac:dyDescent="0.3">
      <c r="C14" s="116"/>
      <c r="G14" s="133"/>
      <c r="Q14" s="127"/>
    </row>
    <row r="15" spans="2:22" ht="24" customHeight="1" x14ac:dyDescent="0.25">
      <c r="G15" s="129" t="s">
        <v>1</v>
      </c>
      <c r="H15" s="89">
        <f>IFERROR(VLOOKUP(D6,Master!A1:$BN$68,12,),"")</f>
        <v>75249.000000000015</v>
      </c>
      <c r="I15" s="90">
        <f t="shared" ref="I15:I20" ca="1" si="1">IFERROR((K15/H15),"")</f>
        <v>0.61155629975149162</v>
      </c>
      <c r="J15" s="89">
        <f ca="1">SUMIFS(Master!$L$4:$L$1048576,Master!$A$4:$A$1048576,"&gt;="&amp;Home!$C$9,Master!$A$4:$A$1048576,"&lt;="&amp;Home!$C$10)</f>
        <v>48723.643586312377</v>
      </c>
      <c r="K15" s="107">
        <f ca="1">SUMIFS(Master!$O$4:$O$1048576,Master!$A$4:$A$1048576,"&gt;="&amp;Home!$C$9,Master!$A$4:$A$1048576,"&lt;="&amp;Home!$C$10)</f>
        <v>46019</v>
      </c>
      <c r="L15" s="90">
        <f t="shared" ref="L15:L20" ca="1" si="2">IFERROR(K15/J15,"")</f>
        <v>0.94449012045822911</v>
      </c>
      <c r="M15" s="107">
        <f ca="1">K15-J15</f>
        <v>-2704.643586312377</v>
      </c>
      <c r="N15" s="97">
        <f ca="1">SUMIF(Master!$A$4:$A$1048576,Home!$C$10,Master!$L$4:$L$1048576)</f>
        <v>2563.4432804435096</v>
      </c>
      <c r="O15" s="107">
        <f ca="1">SUMIF(Master!$A$4:$A$1048576,Home!$C$10,Master!$O$4:$O$1048576)</f>
        <v>2804</v>
      </c>
      <c r="P15" s="109">
        <f t="shared" ref="P15:P20" ca="1" si="3">IFERROR(O15/N15,0)</f>
        <v>1.0938412491478535</v>
      </c>
      <c r="Q15" s="130">
        <f t="shared" ref="Q15:Q20" ca="1" si="4">O15-N15</f>
        <v>240.55671955649041</v>
      </c>
    </row>
    <row r="16" spans="2:22" ht="24" customHeight="1" x14ac:dyDescent="0.25">
      <c r="G16" s="131" t="s">
        <v>3</v>
      </c>
      <c r="H16" s="89">
        <f>IFERROR(VLOOKUP(D6,Master!$A$68:BN68,23,0),"")</f>
        <v>8608.0000000000018</v>
      </c>
      <c r="I16" s="90">
        <f ca="1">IFERROR((K16/H16),"")</f>
        <v>0.83631505576208165</v>
      </c>
      <c r="J16" s="89">
        <f ca="1">SUMIFS(Master!$W$4:$W$1048576,Master!$A$4:$A$1048576,"&gt;="&amp;Home!$C$9,Master!$A$4:$A$1048576,"&lt;="&amp;Home!$C$10)</f>
        <v>5963.1471629745529</v>
      </c>
      <c r="K16" s="103">
        <f ca="1">SUMIFS(Master!$Z$4:$Z$1048576,Master!$A$4:$A$1048576,"&gt;="&amp;Home!$C$9,Master!$A$4:$A$1048576,"&lt;="&amp;Home!$C$10)</f>
        <v>7199</v>
      </c>
      <c r="L16" s="90">
        <f t="shared" ca="1" si="2"/>
        <v>1.2072484215547978</v>
      </c>
      <c r="M16" s="103">
        <f ca="1">K16-J16</f>
        <v>1235.8528370254471</v>
      </c>
      <c r="N16" s="97">
        <f ca="1">SUMIF(Master!$A$4:$A$1048576,Home!$C$10,Master!$W$4:$W$1048576)</f>
        <v>252.36333690191881</v>
      </c>
      <c r="O16" s="103">
        <f ca="1">SUMIF(Master!$A$4:$A$1048576,Home!$C$10,Master!$Z$4:$Z$1048576)</f>
        <v>467</v>
      </c>
      <c r="P16" s="90">
        <f t="shared" ca="1" si="3"/>
        <v>1.8505065186291298</v>
      </c>
      <c r="Q16" s="130">
        <f t="shared" ca="1" si="4"/>
        <v>214.63666309808119</v>
      </c>
    </row>
    <row r="17" spans="7:17" ht="24" customHeight="1" x14ac:dyDescent="0.25">
      <c r="G17" s="131" t="s">
        <v>4</v>
      </c>
      <c r="H17" s="89">
        <f>IFERROR(VLOOKUP(D6,Master!$A$68:BN68,29,0),"")</f>
        <v>195</v>
      </c>
      <c r="I17" s="90">
        <f t="shared" ca="1" si="1"/>
        <v>0.8</v>
      </c>
      <c r="J17" s="89">
        <f ca="1">SUMIFS(Master!$AC$4:$AC$1048576,Master!$A$4:$A$1048576,"&gt;="&amp;Home!$C$9,Master!$A$4:$A$1048576,"&lt;="&amp;Home!$C$10)</f>
        <v>119</v>
      </c>
      <c r="K17" s="103">
        <f ca="1">SUMIFS(Master!$AD$4:$AD$1048576,Master!$A$4:$A$1048576,"&gt;="&amp;Home!$C$9,Master!$A$4:$A$1048576,"&lt;="&amp;Home!$C$10)</f>
        <v>156</v>
      </c>
      <c r="L17" s="90">
        <f t="shared" ca="1" si="2"/>
        <v>1.3109243697478992</v>
      </c>
      <c r="M17" s="103">
        <f ca="1">K17-J17</f>
        <v>37</v>
      </c>
      <c r="N17" s="97">
        <f ca="1">SUMIF(Master!$A$4:$A$1048576,Home!$C$10,Master!$AC$4:$AC$1048576)</f>
        <v>7</v>
      </c>
      <c r="O17" s="103">
        <f ca="1">SUMIF(Master!$A$4:$A$1048576,Home!$C$10,Master!$AD$4:$AD$1048576)</f>
        <v>5</v>
      </c>
      <c r="P17" s="90">
        <f t="shared" ca="1" si="3"/>
        <v>0.7142857142857143</v>
      </c>
      <c r="Q17" s="134">
        <f t="shared" ca="1" si="4"/>
        <v>-2</v>
      </c>
    </row>
    <row r="18" spans="7:17" ht="24" customHeight="1" x14ac:dyDescent="0.25">
      <c r="G18" s="131" t="s">
        <v>106</v>
      </c>
      <c r="H18" s="89">
        <f>IFERROR(VLOOKUP(D6,Master!$A$68:BN68,34,0),"")</f>
        <v>486</v>
      </c>
      <c r="I18" s="90">
        <f t="shared" ca="1" si="1"/>
        <v>0.97325102880658432</v>
      </c>
      <c r="J18" s="89">
        <f ca="1">SUMIFS(Master!$AH$4:$AH$1048576,Master!$A$4:$A$1048576,"&gt;="&amp;Home!$C$9,Master!$A$4:$A$1048576,"&lt;="&amp;Home!$C$10)</f>
        <v>306</v>
      </c>
      <c r="K18" s="108">
        <f ca="1">SUMIFS(Master!$AI$4:$AI$1048576,Master!$A$4:$A$1048576,"&gt;="&amp;Home!$C$9,Master!$A$4:$A$1048576,"&lt;="&amp;Home!$C$10)</f>
        <v>473</v>
      </c>
      <c r="L18" s="90">
        <f t="shared" ca="1" si="2"/>
        <v>1.5457516339869282</v>
      </c>
      <c r="M18" s="103">
        <f ca="1">K18-J18</f>
        <v>167</v>
      </c>
      <c r="N18" s="89">
        <f ca="1">SUMIF(Master!$A$4:$A$1048576,Home!$C$10,Master!$AH$4:$AH$1048576)</f>
        <v>18</v>
      </c>
      <c r="O18" s="103">
        <f ca="1">SUMIF(Master!$A$4:$A$1048576,Home!$C$10,Master!$AI$4:$AI$1048576)</f>
        <v>64</v>
      </c>
      <c r="P18" s="90">
        <f t="shared" ca="1" si="3"/>
        <v>3.5555555555555554</v>
      </c>
      <c r="Q18" s="130">
        <f ca="1">O18-N18</f>
        <v>46</v>
      </c>
    </row>
    <row r="19" spans="7:17" ht="24" customHeight="1" x14ac:dyDescent="0.25">
      <c r="G19" s="131" t="s">
        <v>6</v>
      </c>
      <c r="H19" s="89">
        <f>IFERROR(VLOOKUP(D6,Master!$A$68:BN68,37,0),"")</f>
        <v>18621</v>
      </c>
      <c r="I19" s="90">
        <f ca="1">IFERROR((K19/H19),"")</f>
        <v>0.75758552172278615</v>
      </c>
      <c r="J19" s="89">
        <f ca="1">SUMIFS(Master!$AK$4:$AK$1048576,Master!$A$4:$A$1048576,"&gt;="&amp;Home!$C$9,Master!$A$4:$A$1048576,"&lt;="&amp;Home!$C$10)</f>
        <v>11724.333333333332</v>
      </c>
      <c r="K19" s="103">
        <f ca="1">SUMIFS(Master!$AO$4:$AO$1048576,Master!$A$4:$A$1048576,"&gt;="&amp;Home!$C$9,Master!$A$4:$A$1048576,"&lt;="&amp;Home!$C$10)</f>
        <v>14107</v>
      </c>
      <c r="L19" s="90">
        <f t="shared" ca="1" si="2"/>
        <v>1.2032240639126603</v>
      </c>
      <c r="M19" s="103">
        <f t="shared" ca="1" si="0"/>
        <v>2382.6666666666679</v>
      </c>
      <c r="N19" s="89">
        <f ca="1">SUMIF(Master!$A$4:$A$1048576,Home!$C$10,Master!$AK$4:$AK$1048576)</f>
        <v>689.66666666666663</v>
      </c>
      <c r="O19" s="103">
        <f ca="1">SUMIF(Master!$A$4:$A$1048576,Home!$C$10,Master!$AO$4:$AO$1048576)</f>
        <v>1773</v>
      </c>
      <c r="P19" s="90">
        <f t="shared" ca="1" si="3"/>
        <v>2.5708071532141132</v>
      </c>
      <c r="Q19" s="130">
        <f t="shared" ca="1" si="4"/>
        <v>1083.3333333333335</v>
      </c>
    </row>
    <row r="20" spans="7:17" ht="24" customHeight="1" thickBot="1" x14ac:dyDescent="0.3">
      <c r="G20" s="132" t="s">
        <v>7</v>
      </c>
      <c r="H20" s="89">
        <f>IFERROR(VLOOKUP(D6,Master!$A$68:BN68,43,0),"")</f>
        <v>60</v>
      </c>
      <c r="I20" s="90">
        <f t="shared" ca="1" si="1"/>
        <v>0.7</v>
      </c>
      <c r="J20" s="89">
        <f ca="1">SUMIFS(Master!$AQ$4:$AQ$1048576,Master!$A$4:$A$1048576,"&gt;="&amp;Home!$C$9,Master!$A$4:$A$1048576,"&lt;="&amp;Home!$C$10)</f>
        <v>34</v>
      </c>
      <c r="K20" s="103">
        <f ca="1">SUMIFS(Master!$AR$4:$AR$1048576,Master!$A$4:$A$1048576,"&gt;="&amp;Home!$C$9,Master!$A$4:$A$1048576,"&lt;="&amp;Home!$C$10)</f>
        <v>42</v>
      </c>
      <c r="L20" s="90">
        <f t="shared" ca="1" si="2"/>
        <v>1.2352941176470589</v>
      </c>
      <c r="M20" s="103">
        <f t="shared" ca="1" si="0"/>
        <v>8</v>
      </c>
      <c r="N20" s="89">
        <f ca="1">SUMIF(Master!$A$4:$A$1048576,Home!$C$10,Master!$AQ$4:$AQ$1048576)</f>
        <v>2</v>
      </c>
      <c r="O20" s="103">
        <f ca="1">SUMIF(Master!$A$4:$A$1048576,Home!$C$10,Master!$AR$4:$AR$1048576)</f>
        <v>0</v>
      </c>
      <c r="P20" s="90">
        <f t="shared" ca="1" si="3"/>
        <v>0</v>
      </c>
      <c r="Q20" s="130">
        <f t="shared" ca="1" si="4"/>
        <v>-2</v>
      </c>
    </row>
    <row r="21" spans="7:17" ht="24" customHeight="1" thickBot="1" x14ac:dyDescent="0.3">
      <c r="G21" s="135"/>
      <c r="H21" s="123"/>
      <c r="I21" s="13"/>
      <c r="J21" s="123"/>
      <c r="K21" s="110"/>
      <c r="L21" s="13"/>
      <c r="M21" s="110"/>
      <c r="N21" s="123"/>
      <c r="O21" s="111"/>
      <c r="P21" s="124"/>
      <c r="Q21" s="136"/>
    </row>
    <row r="22" spans="7:17" ht="24" customHeight="1" x14ac:dyDescent="0.25">
      <c r="G22" s="129" t="s">
        <v>107</v>
      </c>
      <c r="H22" s="89">
        <f>IFERROR(VLOOKUP(D6,Master!$A$68:BN68,46,0),"")</f>
        <v>19713.999999999993</v>
      </c>
      <c r="I22" s="90">
        <f ca="1">IFERROR((K22/H22),"")</f>
        <v>0.8411788576646041</v>
      </c>
      <c r="J22" s="89">
        <f ca="1">SUMIFS(Master!$AT$4:$AT$1048576,Master!$A$4:$A$1048576,"&gt;="&amp;Home!$C$9,Master!$A$4:$A$1048576,"&lt;="&amp;Home!$C$10)</f>
        <v>12856.956521739128</v>
      </c>
      <c r="K22" s="107">
        <f ca="1">SUMIFS(Master!$AU$4:$AU$1048576,Master!$A$4:$A$1048576,"&gt;="&amp;Home!$C$9,Master!$A$4:$A$1048576,"&lt;="&amp;Home!$C$10)</f>
        <v>16583</v>
      </c>
      <c r="L22" s="99">
        <f ca="1">IFERROR(K22/J22,"")</f>
        <v>1.2898075817523929</v>
      </c>
      <c r="M22" s="103">
        <f ca="1">K22-J22</f>
        <v>3726.0434782608718</v>
      </c>
      <c r="N22" s="89">
        <f ca="1">SUMIF(Master!$A$4:$A$1048576,Home!$C$10,Master!$AT$4:$AHF$1048576)</f>
        <v>857.13043478260875</v>
      </c>
      <c r="O22" s="107">
        <f ca="1">SUMIF(Master!$A$4:$A$1048576,Home!$C$10,Master!$AU$4:$AU$1048576)</f>
        <v>935</v>
      </c>
      <c r="P22" s="90">
        <f ca="1">IFERROR(O22/N22,"0")</f>
        <v>1.090849142741199</v>
      </c>
      <c r="Q22" s="130">
        <f ca="1">O22-N22</f>
        <v>77.869565217391255</v>
      </c>
    </row>
    <row r="23" spans="7:17" ht="24" customHeight="1" x14ac:dyDescent="0.25">
      <c r="G23" s="131" t="s">
        <v>108</v>
      </c>
      <c r="H23" s="89">
        <f>IFERROR(VLOOKUP(D6,Master!A$68:$BN$68,49,0),"")</f>
        <v>2284.0000000000005</v>
      </c>
      <c r="I23" s="90">
        <f ca="1">IFERROR((K23/H23),"")</f>
        <v>0.59544658493870395</v>
      </c>
      <c r="J23" s="89">
        <f ca="1">SUMIFS(Master!$AW$4:$AW$1048576,Master!$A$4:$A$1048576,"&gt;="&amp;Home!$C$9,Master!$A$4:$A$1048576,"&lt;="&amp;Home!$C$10)</f>
        <v>1489.5652173913047</v>
      </c>
      <c r="K23" s="103">
        <f ca="1">SUMIFS(Master!$AX$4:$AX$1048576,Master!$A$4:$A$1048576,"&gt;="&amp;Home!$C$9,Master!$A$4:$A$1048576,"&lt;="&amp;Home!$C$10)</f>
        <v>1360</v>
      </c>
      <c r="L23" s="99">
        <f ca="1">IFERROR(K23/J23,"")</f>
        <v>0.91301809690601266</v>
      </c>
      <c r="M23" s="103">
        <f ca="1">K23-J23</f>
        <v>-129.56521739130471</v>
      </c>
      <c r="N23" s="89">
        <f ca="1">SUMIF(Master!$A$4:$A$1048576,Home!$C$10,Master!$AW$4:$AW$1048576)</f>
        <v>99.304347826086953</v>
      </c>
      <c r="O23" s="103">
        <f ca="1">SUMIF(Master!$A$4:$A$1048576,Home!$C$10,Master!$AX$4:$AX$1048576)</f>
        <v>0</v>
      </c>
      <c r="P23" s="90">
        <f ca="1">IFERROR(O23/N23,"0")</f>
        <v>0</v>
      </c>
      <c r="Q23" s="130">
        <f ca="1">O23-N23</f>
        <v>-99.304347826086953</v>
      </c>
    </row>
    <row r="24" spans="7:17" ht="24" customHeight="1" x14ac:dyDescent="0.25">
      <c r="G24" s="131" t="s">
        <v>109</v>
      </c>
      <c r="H24" s="89">
        <f>IFERROR(VLOOKUP(D6,Master!A68:BN68,52,0),"")</f>
        <v>3493.0000000000014</v>
      </c>
      <c r="I24" s="90">
        <f ca="1">IFERROR((K24/H24),"")</f>
        <v>0</v>
      </c>
      <c r="J24" s="89">
        <f ca="1">SUMIFS(Master!$AZ$4:$AZ$1048576,Master!$A$4:$A$1048576,"&gt;="&amp;Home!$C$9,Master!$A$4:$A$1048576,"&lt;="&amp;Home!$C$10)</f>
        <v>2278.0434782608695</v>
      </c>
      <c r="K24" s="103">
        <f ca="1">SUMIFS(Master!$BA$4:$BA$1048576,Master!$A$4:$A$1048576,"&gt;="&amp;Home!$C$9,Master!$A$4:$A$1048576,"&lt;="&amp;Home!$C$10)</f>
        <v>0</v>
      </c>
      <c r="L24" s="99">
        <f ca="1">IFERROR(K24/J24,"")</f>
        <v>0</v>
      </c>
      <c r="M24" s="103">
        <f ca="1">K24-J24</f>
        <v>-2278.0434782608695</v>
      </c>
      <c r="N24" s="89">
        <f ca="1">SUMIF(Master!$A$4:$A$1048576,Home!$C$10,Master!$AZ$4:$AZ$1048576)</f>
        <v>151.86956521739131</v>
      </c>
      <c r="O24" s="103">
        <f ca="1">SUMIF(Master!$A$4:$A$1048576,Home!$C$10,Master!$BA$4:$BA$1048576)</f>
        <v>0</v>
      </c>
      <c r="P24" s="90">
        <f ca="1">IFERROR(O24/N24,"0")</f>
        <v>0</v>
      </c>
      <c r="Q24" s="130">
        <f ca="1">O24-N24</f>
        <v>-151.86956521739131</v>
      </c>
    </row>
    <row r="25" spans="7:17" ht="24" customHeight="1" x14ac:dyDescent="0.25">
      <c r="G25" s="131" t="s">
        <v>110</v>
      </c>
      <c r="H25" s="89">
        <f>IFERROR(VLOOKUP(D6,Master!A68:BN68,55,0),"")</f>
        <v>500.00000000000023</v>
      </c>
      <c r="I25" s="90">
        <f ca="1">IFERROR((K25/H25),"")</f>
        <v>0</v>
      </c>
      <c r="J25" s="89">
        <f ca="1">SUMIFS(Master!$BC$4:$BC$1048576,Master!$A$4:$A$1048576,"&gt;="&amp;Home!$C$9,Master!$A$4:$A$1048576,"&lt;="&amp;Home!$C$10)</f>
        <v>326.08695652173924</v>
      </c>
      <c r="K25" s="103">
        <f ca="1">SUMIFS(Master!$BD$4:$BD$1048576,Master!$A$4:$A$1048576,"&gt;="&amp;Home!$C$9,Master!$A$4:$A$1048576,"&lt;="&amp;Home!$C$10)</f>
        <v>0</v>
      </c>
      <c r="L25" s="99">
        <f ca="1">IFERROR(K25/J25,"")</f>
        <v>0</v>
      </c>
      <c r="M25" s="103">
        <f ca="1">K25-J25</f>
        <v>-326.08695652173924</v>
      </c>
      <c r="N25" s="89">
        <f ca="1">SUMIF(Master!$A$4:$A$1048576,Home!$C$10,Master!$BC$4:$BC$1048576)</f>
        <v>21.739130434782609</v>
      </c>
      <c r="O25" s="103">
        <f ca="1">SUMIF(Master!$A$4:$A$1048576,Home!$C$10,Master!$BD$4:$BD$1048576)</f>
        <v>0</v>
      </c>
      <c r="P25" s="90">
        <f ca="1">IFERROR(O25/N25,"0")</f>
        <v>0</v>
      </c>
      <c r="Q25" s="130">
        <f ca="1">O25-N25</f>
        <v>-21.739130434782609</v>
      </c>
    </row>
    <row r="26" spans="7:17" ht="24" customHeight="1" thickBot="1" x14ac:dyDescent="0.3">
      <c r="G26" s="132" t="s">
        <v>111</v>
      </c>
      <c r="H26" s="89">
        <f>IFERROR(VLOOKUP(D6,Master!A68:BN68,58,0),"")</f>
        <v>9032.0000000000018</v>
      </c>
      <c r="I26" s="90">
        <f ca="1">IFERROR((K26/H26),"")</f>
        <v>1.6548937112488924</v>
      </c>
      <c r="J26" s="89">
        <f ca="1">SUMIFS(Master!$BF$3:$BF$1048576,Master!$A$3:$A$1048576,"&gt;="&amp;Home!$C$9,Master!$A$3:$A$1048576,"&lt;="&amp;Home!$C$10)</f>
        <v>5890.434782608696</v>
      </c>
      <c r="K26" s="103">
        <f ca="1">SUMIFS(Master!$BG$3:$BG$1048576,Master!$A$3:$A$1048576,"&gt;="&amp;Home!$C$9,Master!$A$3:$A$1048576,"&lt;="&amp;Home!$C$10)</f>
        <v>14947</v>
      </c>
      <c r="L26" s="99">
        <f ca="1">IFERROR(K26/J26,"")</f>
        <v>2.5375036905816355</v>
      </c>
      <c r="M26" s="103">
        <f ca="1">K26-J26</f>
        <v>9056.565217391304</v>
      </c>
      <c r="N26" s="89">
        <f ca="1">SUMIF(Master!$A$3:$A$1048576,Home!C10,Master!$BF$3:$BF$1048576)</f>
        <v>392.69565217391306</v>
      </c>
      <c r="O26" s="103">
        <f ca="1">SUMIF(Master!$A$3:$A$1048576,Home!C10,Master!$BG$3:$BG$1048576)</f>
        <v>1222</v>
      </c>
      <c r="P26" s="90">
        <f ca="1">IFERROR(O26/N26,"0")</f>
        <v>3.1118246235606732</v>
      </c>
      <c r="Q26" s="130">
        <f ca="1">O26-N26</f>
        <v>829.304347826087</v>
      </c>
    </row>
    <row r="27" spans="7:17" ht="24" customHeight="1" thickBot="1" x14ac:dyDescent="0.3">
      <c r="G27" s="133"/>
      <c r="K27" s="112"/>
      <c r="Q27" s="127"/>
    </row>
    <row r="28" spans="7:17" ht="24" customHeight="1" x14ac:dyDescent="0.25">
      <c r="G28" s="129" t="s">
        <v>112</v>
      </c>
      <c r="H28" s="89">
        <f>VLOOKUP(D6,Master!A68:$BN$68,61,0)</f>
        <v>1760.9999999999993</v>
      </c>
      <c r="I28" s="90">
        <f>IFERROR(K28/H28,"")</f>
        <v>0.67745599091425357</v>
      </c>
      <c r="J28" s="89">
        <f ca="1">SUMIFS(Master!BI3:BI1048576,Master!$A$3:$A$1048576,"&gt;="&amp;Home!$C$9,Master!$A$3:$A$1048576,"&lt;="&amp;Home!$C$10)</f>
        <v>1148.4782608695652</v>
      </c>
      <c r="K28" s="103">
        <f>SUM(Master!$BJ$37:$BJ$66)</f>
        <v>1193</v>
      </c>
      <c r="L28" s="90">
        <f ca="1">IFERROR(K28/J28,"")</f>
        <v>1.0387658527351884</v>
      </c>
      <c r="M28" s="103">
        <f ca="1">K28-J28</f>
        <v>44.521739130434753</v>
      </c>
      <c r="N28" s="89">
        <f ca="1">SUMIF(Master!$A$3:$A$1048576,Home!C10,Master!$BI$3:$BI$1048576)</f>
        <v>76.565217391304344</v>
      </c>
      <c r="O28" s="103">
        <f ca="1">SUMIF(Master!$A$3:$A$1048576,Home!C10,Master!$BJ$3:$BJ$1048576)</f>
        <v>2</v>
      </c>
      <c r="P28" s="90">
        <f ca="1">IFERROR(O28/N28,"0")</f>
        <v>2.6121521862578084E-2</v>
      </c>
      <c r="Q28" s="130">
        <f ca="1">O28-N28</f>
        <v>-74.565217391304344</v>
      </c>
    </row>
    <row r="29" spans="7:17" ht="24" customHeight="1" thickBot="1" x14ac:dyDescent="0.3">
      <c r="G29" s="132" t="s">
        <v>113</v>
      </c>
      <c r="H29" s="89">
        <f>VLOOKUP(D6,Master!A68:$BN$68,64,0)</f>
        <v>199</v>
      </c>
      <c r="I29" s="90">
        <f>IFERROR(K29/H29,"")</f>
        <v>0.74371859296482412</v>
      </c>
      <c r="J29" s="97">
        <f ca="1">SUMIFS(Master!BL3:BL1048576,Master!$A$3:$A$1048576,"&gt;="&amp;Home!$C$9,Master!$A$3:$A$1048576,"&lt;="&amp;Home!$C$10)</f>
        <v>135</v>
      </c>
      <c r="K29" s="103">
        <f>SUM(Master!$BM$37:$BM$66)</f>
        <v>148</v>
      </c>
      <c r="L29" s="90">
        <f ca="1">IFERROR(K29/J29,"")</f>
        <v>1.0962962962962963</v>
      </c>
      <c r="M29" s="103">
        <v>5</v>
      </c>
      <c r="N29" s="89">
        <f ca="1">SUMIF(Master!$A$3:$A$1048576,Home!C10,Master!$BL$3:$BL$1048576)</f>
        <v>9</v>
      </c>
      <c r="O29" s="103">
        <f ca="1">SUMIF(Master!$A$3:$A$1048576,Home!C10,Master!$BM$3:$BM$1048576)</f>
        <v>0</v>
      </c>
      <c r="P29" s="90">
        <f ca="1">IFERROR(O29/N29,"0")</f>
        <v>0</v>
      </c>
      <c r="Q29" s="130">
        <f ca="1">O29-N29</f>
        <v>-9</v>
      </c>
    </row>
    <row r="30" spans="7:17" ht="24" customHeight="1" x14ac:dyDescent="0.25">
      <c r="G30" s="133"/>
      <c r="L30" s="116"/>
      <c r="Q30" s="127"/>
    </row>
    <row r="31" spans="7:17" ht="24" customHeight="1" thickBot="1" x14ac:dyDescent="0.3">
      <c r="G31" s="133"/>
      <c r="Q31" s="127"/>
    </row>
    <row r="32" spans="7:17" ht="24" customHeight="1" thickBot="1" x14ac:dyDescent="0.3">
      <c r="G32" s="137" t="s">
        <v>114</v>
      </c>
      <c r="H32" s="93" t="s">
        <v>94</v>
      </c>
      <c r="I32" s="94" t="s">
        <v>95</v>
      </c>
      <c r="N32" s="137" t="s">
        <v>219</v>
      </c>
      <c r="O32" s="94" t="s">
        <v>240</v>
      </c>
      <c r="P32" s="94" t="s">
        <v>241</v>
      </c>
      <c r="Q32" s="94" t="s">
        <v>98</v>
      </c>
    </row>
    <row r="33" spans="7:17" ht="24.75" customHeight="1" thickBot="1" x14ac:dyDescent="0.3">
      <c r="G33" s="138" t="s">
        <v>115</v>
      </c>
      <c r="H33" s="95">
        <f>IFERROR(AVERAGE(Master!R37:R66),0)</f>
        <v>0</v>
      </c>
      <c r="I33" s="96">
        <f ca="1">SUMIF(Master!$A$3:$A$1048576,Home!$C$10,Master!R3:R1048576)</f>
        <v>0</v>
      </c>
      <c r="N33" s="137" t="s">
        <v>237</v>
      </c>
      <c r="O33" s="214">
        <f ca="1">SUM(J15:J16)</f>
        <v>54686.790749286927</v>
      </c>
      <c r="P33" s="214">
        <f ca="1">SUM(K15:K16)</f>
        <v>53218</v>
      </c>
      <c r="Q33" s="90">
        <f ca="1">P33/O33</f>
        <v>0.97314176368438521</v>
      </c>
    </row>
    <row r="34" spans="7:17" ht="24.75" customHeight="1" thickBot="1" x14ac:dyDescent="0.3">
      <c r="G34" s="138" t="s">
        <v>116</v>
      </c>
      <c r="H34" s="95">
        <f>IFERROR(AVERAGE(Master!$S$37:$S$66),0)</f>
        <v>0</v>
      </c>
      <c r="I34" s="96">
        <f ca="1">SUMIF(Master!$A$3:$A$1048576,Home!$C$10,Master!S3:S1048576)</f>
        <v>0</v>
      </c>
      <c r="N34" s="137" t="s">
        <v>238</v>
      </c>
      <c r="O34" s="214">
        <f ca="1">SUM(J17:J20)</f>
        <v>12183.333333333332</v>
      </c>
      <c r="P34" s="214">
        <f ca="1">SUM(K17:K20)</f>
        <v>14778</v>
      </c>
      <c r="Q34" s="90">
        <f ca="1">P34/O34</f>
        <v>1.2129685362517102</v>
      </c>
    </row>
    <row r="35" spans="7:17" ht="24.75" customHeight="1" thickBot="1" x14ac:dyDescent="0.3">
      <c r="G35" s="138" t="s">
        <v>34</v>
      </c>
      <c r="H35" s="95">
        <f>IFERROR(AVERAGE(Master!T37:T67),0)</f>
        <v>0</v>
      </c>
      <c r="I35" s="96">
        <f ca="1">SUMIF(Master!$A$3:$A$1048576,Home!$C$10,Master!T3:T1048576)</f>
        <v>0</v>
      </c>
      <c r="N35" s="137" t="s">
        <v>239</v>
      </c>
      <c r="O35" s="214">
        <f ca="1">SUM(J22:J26)</f>
        <v>22841.086956521736</v>
      </c>
      <c r="P35" s="214">
        <f ca="1">SUM(K22:K26)</f>
        <v>32890</v>
      </c>
      <c r="Q35" s="90">
        <f ca="1">P35/O35</f>
        <v>1.4399489859045009</v>
      </c>
    </row>
    <row r="36" spans="7:17" ht="24.75" customHeight="1" thickBot="1" x14ac:dyDescent="0.3">
      <c r="G36" s="138" t="s">
        <v>35</v>
      </c>
      <c r="H36" s="95">
        <f>IFERROR(AVERAGE(Master!U37:U66),0)</f>
        <v>0</v>
      </c>
      <c r="I36" s="96">
        <f ca="1">SUMIF(Master!$A$3:$A$1048576,Home!$C$10,Master!U3:U1048576)</f>
        <v>0</v>
      </c>
      <c r="N36" s="137" t="s">
        <v>0</v>
      </c>
      <c r="O36" s="214">
        <f ca="1">SUM(J11:J13)</f>
        <v>1755.5264999999999</v>
      </c>
      <c r="P36" s="214">
        <f ca="1">SUM(K11:K13)</f>
        <v>1142</v>
      </c>
      <c r="Q36" s="90">
        <f ca="1">P36/O36</f>
        <v>0.65051709558357562</v>
      </c>
    </row>
    <row r="37" spans="7:17" ht="24.75" customHeight="1" x14ac:dyDescent="0.25">
      <c r="G37" s="139" t="s">
        <v>36</v>
      </c>
      <c r="H37" s="140">
        <f>IFERROR(AVERAGE(Master!V37:V67),0)</f>
        <v>0</v>
      </c>
      <c r="I37" s="141">
        <f ca="1">SUMIF(Master!$A$3:$A$1048576,Home!$C$10,Master!V3:V1048576)</f>
        <v>0</v>
      </c>
      <c r="J37" s="142"/>
      <c r="K37" s="142"/>
      <c r="L37" s="142"/>
      <c r="M37" s="142"/>
      <c r="N37" s="230" t="s">
        <v>9</v>
      </c>
      <c r="O37" s="214">
        <f ca="1">SUM(J28:J29)</f>
        <v>1283.4782608695652</v>
      </c>
      <c r="P37" s="214">
        <f>SUM(K28:K29)</f>
        <v>1341</v>
      </c>
      <c r="Q37" s="90">
        <f ca="1">P37/O37</f>
        <v>1.0448170731707316</v>
      </c>
    </row>
    <row r="38" spans="7:17" ht="23.25" customHeight="1" x14ac:dyDescent="0.25"/>
  </sheetData>
  <mergeCells count="6">
    <mergeCell ref="G6:G9"/>
    <mergeCell ref="J6:Q6"/>
    <mergeCell ref="T7:V13"/>
    <mergeCell ref="H8:I8"/>
    <mergeCell ref="J8:M8"/>
    <mergeCell ref="N8:Q8"/>
  </mergeCells>
  <conditionalFormatting sqref="I10:I13">
    <cfRule type="cellIs" dxfId="253" priority="275" operator="lessThan">
      <formula>1</formula>
    </cfRule>
    <cfRule type="cellIs" dxfId="252" priority="276" operator="greaterThan">
      <formula>1</formula>
    </cfRule>
    <cfRule type="cellIs" dxfId="251" priority="277" operator="greaterThan">
      <formula>0.99</formula>
    </cfRule>
  </conditionalFormatting>
  <conditionalFormatting sqref="I15:I20">
    <cfRule type="cellIs" dxfId="250" priority="269" operator="lessThan">
      <formula>1</formula>
    </cfRule>
    <cfRule type="cellIs" dxfId="249" priority="270" operator="greaterThan">
      <formula>1</formula>
    </cfRule>
    <cfRule type="cellIs" dxfId="248" priority="271" operator="greaterThan">
      <formula>0.99</formula>
    </cfRule>
  </conditionalFormatting>
  <conditionalFormatting sqref="I19 I6:I9 I14 I21 I27 I30:I31">
    <cfRule type="cellIs" dxfId="247" priority="363" operator="greaterThan">
      <formula>4.921775899</formula>
    </cfRule>
  </conditionalFormatting>
  <conditionalFormatting sqref="I22:I26">
    <cfRule type="cellIs" dxfId="246" priority="266" operator="lessThan">
      <formula>1</formula>
    </cfRule>
    <cfRule type="cellIs" dxfId="245" priority="267" operator="greaterThan">
      <formula>1</formula>
    </cfRule>
    <cfRule type="cellIs" dxfId="244" priority="268" operator="greaterThan">
      <formula>0.99</formula>
    </cfRule>
  </conditionalFormatting>
  <conditionalFormatting sqref="I28:I29">
    <cfRule type="cellIs" dxfId="243" priority="263" operator="lessThan">
      <formula>1</formula>
    </cfRule>
    <cfRule type="cellIs" dxfId="242" priority="264" operator="greaterThan">
      <formula>1</formula>
    </cfRule>
    <cfRule type="cellIs" dxfId="241" priority="265" operator="greaterThan">
      <formula>0.99</formula>
    </cfRule>
  </conditionalFormatting>
  <conditionalFormatting sqref="I33:I1048576">
    <cfRule type="cellIs" dxfId="240" priority="297" operator="greaterThan">
      <formula>4.921775899</formula>
    </cfRule>
  </conditionalFormatting>
  <conditionalFormatting sqref="K10">
    <cfRule type="cellIs" dxfId="239" priority="81" operator="lessThan">
      <formula>$J$10</formula>
    </cfRule>
    <cfRule type="cellIs" dxfId="238" priority="82" operator="greaterThan">
      <formula>$J$10</formula>
    </cfRule>
  </conditionalFormatting>
  <conditionalFormatting sqref="K10:K13">
    <cfRule type="cellIs" dxfId="237" priority="168" operator="lessThan">
      <formula>$J$10</formula>
    </cfRule>
    <cfRule type="cellIs" dxfId="236" priority="169" operator="lessThan">
      <formula>0</formula>
    </cfRule>
    <cfRule type="cellIs" dxfId="235" priority="170" operator="greaterThan">
      <formula>0</formula>
    </cfRule>
    <cfRule type="cellIs" dxfId="234" priority="171" operator="greaterThan">
      <formula>$J$10</formula>
    </cfRule>
  </conditionalFormatting>
  <conditionalFormatting sqref="K11">
    <cfRule type="cellIs" dxfId="233" priority="79" operator="lessThan">
      <formula>$J$11</formula>
    </cfRule>
    <cfRule type="cellIs" dxfId="232" priority="80" operator="greaterThan">
      <formula>$J$11</formula>
    </cfRule>
    <cfRule type="cellIs" dxfId="231" priority="99" operator="lessThan">
      <formula>$J$11</formula>
    </cfRule>
    <cfRule type="cellIs" dxfId="230" priority="100" operator="greaterThan">
      <formula>$J$11</formula>
    </cfRule>
    <cfRule type="cellIs" dxfId="229" priority="157" operator="lessThan">
      <formula>$J$11</formula>
    </cfRule>
  </conditionalFormatting>
  <conditionalFormatting sqref="K12">
    <cfRule type="cellIs" dxfId="228" priority="76" operator="greaterThan">
      <formula>$J$12</formula>
    </cfRule>
    <cfRule type="cellIs" dxfId="227" priority="77" operator="lessThan">
      <formula>$J$12</formula>
    </cfRule>
    <cfRule type="cellIs" dxfId="226" priority="78" operator="greaterThan">
      <formula>$J$12</formula>
    </cfRule>
    <cfRule type="cellIs" dxfId="225" priority="97" operator="lessThan">
      <formula>$J$12</formula>
    </cfRule>
    <cfRule type="cellIs" dxfId="224" priority="156" operator="lessThan">
      <formula>$J$12</formula>
    </cfRule>
  </conditionalFormatting>
  <conditionalFormatting sqref="K13">
    <cfRule type="cellIs" dxfId="223" priority="74" operator="lessThan">
      <formula>$J$13</formula>
    </cfRule>
    <cfRule type="cellIs" dxfId="222" priority="75" operator="greaterThan">
      <formula>$J$13</formula>
    </cfRule>
    <cfRule type="cellIs" dxfId="221" priority="95" operator="lessThan">
      <formula>$J$13</formula>
    </cfRule>
    <cfRule type="cellIs" dxfId="220" priority="96" operator="greaterThan">
      <formula>$J$13</formula>
    </cfRule>
    <cfRule type="cellIs" dxfId="219" priority="155" operator="lessThan">
      <formula>$J$13</formula>
    </cfRule>
  </conditionalFormatting>
  <conditionalFormatting sqref="K15">
    <cfRule type="cellIs" dxfId="218" priority="93" operator="lessThan">
      <formula>$J$15</formula>
    </cfRule>
    <cfRule type="cellIs" dxfId="217" priority="94" operator="greaterThan">
      <formula>$J$15</formula>
    </cfRule>
    <cfRule type="cellIs" dxfId="216" priority="154" operator="lessThan">
      <formula>$J$15</formula>
    </cfRule>
  </conditionalFormatting>
  <conditionalFormatting sqref="K15:K20">
    <cfRule type="cellIs" dxfId="215" priority="158" operator="lessThan">
      <formula>$J$10</formula>
    </cfRule>
    <cfRule type="cellIs" dxfId="214" priority="159" operator="lessThan">
      <formula>0</formula>
    </cfRule>
    <cfRule type="cellIs" dxfId="213" priority="160" operator="greaterThan">
      <formula>0</formula>
    </cfRule>
    <cfRule type="cellIs" dxfId="212" priority="161" operator="greaterThan">
      <formula>$J$10</formula>
    </cfRule>
  </conditionalFormatting>
  <conditionalFormatting sqref="K16">
    <cfRule type="cellIs" dxfId="211" priority="91" operator="lessThan">
      <formula>$J$16</formula>
    </cfRule>
    <cfRule type="cellIs" dxfId="210" priority="92" operator="greaterThan">
      <formula>$J$16</formula>
    </cfRule>
    <cfRule type="cellIs" dxfId="209" priority="153" operator="lessThan">
      <formula>$J$16</formula>
    </cfRule>
  </conditionalFormatting>
  <conditionalFormatting sqref="K17">
    <cfRule type="cellIs" dxfId="208" priority="89" operator="lessThan">
      <formula>$J$17</formula>
    </cfRule>
    <cfRule type="cellIs" dxfId="207" priority="90" operator="greaterThan">
      <formula>$J$17</formula>
    </cfRule>
    <cfRule type="cellIs" dxfId="206" priority="152" operator="lessThan">
      <formula>$J$17</formula>
    </cfRule>
  </conditionalFormatting>
  <conditionalFormatting sqref="K18">
    <cfRule type="cellIs" dxfId="205" priority="87" operator="lessThan">
      <formula>$J$18</formula>
    </cfRule>
    <cfRule type="cellIs" dxfId="204" priority="88" operator="greaterThan">
      <formula>$J$18</formula>
    </cfRule>
    <cfRule type="cellIs" dxfId="203" priority="151" operator="lessThan">
      <formula>$J$18</formula>
    </cfRule>
  </conditionalFormatting>
  <conditionalFormatting sqref="K19">
    <cfRule type="cellIs" dxfId="202" priority="85" operator="lessThan">
      <formula>$J$19</formula>
    </cfRule>
    <cfRule type="cellIs" dxfId="201" priority="86" operator="greaterThan">
      <formula>$J$19</formula>
    </cfRule>
    <cfRule type="cellIs" dxfId="200" priority="150" operator="lessThan">
      <formula>$J$19</formula>
    </cfRule>
  </conditionalFormatting>
  <conditionalFormatting sqref="K20">
    <cfRule type="cellIs" dxfId="199" priority="83" operator="lessThan">
      <formula>$J$20</formula>
    </cfRule>
    <cfRule type="cellIs" dxfId="198" priority="84" operator="greaterThan">
      <formula>$J$20</formula>
    </cfRule>
    <cfRule type="cellIs" dxfId="197" priority="149" operator="lessThan">
      <formula>$J$20</formula>
    </cfRule>
  </conditionalFormatting>
  <conditionalFormatting sqref="K22:K26">
    <cfRule type="cellIs" dxfId="196" priority="139" operator="lessThan">
      <formula>$J$22</formula>
    </cfRule>
    <cfRule type="cellIs" dxfId="195" priority="143" operator="lessThan">
      <formula>$J$16</formula>
    </cfRule>
    <cfRule type="cellIs" dxfId="194" priority="144" operator="lessThan">
      <formula>$J$10</formula>
    </cfRule>
    <cfRule type="cellIs" dxfId="193" priority="145" operator="lessThan">
      <formula>0</formula>
    </cfRule>
    <cfRule type="cellIs" dxfId="192" priority="146" operator="greaterThan">
      <formula>0</formula>
    </cfRule>
    <cfRule type="cellIs" dxfId="191" priority="147" operator="greaterThan">
      <formula>$J$10</formula>
    </cfRule>
  </conditionalFormatting>
  <conditionalFormatting sqref="K23">
    <cfRule type="cellIs" dxfId="190" priority="140" operator="lessThan">
      <formula>$J$23</formula>
    </cfRule>
  </conditionalFormatting>
  <conditionalFormatting sqref="K24">
    <cfRule type="cellIs" dxfId="189" priority="121" operator="lessThan">
      <formula>$J$24</formula>
    </cfRule>
    <cfRule type="cellIs" dxfId="188" priority="122" operator="greaterThan">
      <formula>$J$24</formula>
    </cfRule>
  </conditionalFormatting>
  <conditionalFormatting sqref="K25">
    <cfRule type="cellIs" dxfId="187" priority="119" operator="lessThan">
      <formula>$J$25</formula>
    </cfRule>
    <cfRule type="cellIs" dxfId="186" priority="120" operator="greaterThan">
      <formula>$J$25</formula>
    </cfRule>
    <cfRule type="cellIs" dxfId="185" priority="138" operator="lessThan">
      <formula>$J$25</formula>
    </cfRule>
  </conditionalFormatting>
  <conditionalFormatting sqref="K26">
    <cfRule type="cellIs" dxfId="184" priority="117" operator="lessThan">
      <formula>$J$26</formula>
    </cfRule>
    <cfRule type="cellIs" dxfId="183" priority="118" operator="greaterThan">
      <formula>$J$26</formula>
    </cfRule>
    <cfRule type="cellIs" dxfId="182" priority="137" operator="lessThan">
      <formula>$J$26</formula>
    </cfRule>
  </conditionalFormatting>
  <conditionalFormatting sqref="K28">
    <cfRule type="cellIs" dxfId="181" priority="136" operator="lessThan">
      <formula>$J$28</formula>
    </cfRule>
  </conditionalFormatting>
  <conditionalFormatting sqref="K28:K29">
    <cfRule type="cellIs" dxfId="180" priority="189" operator="lessThan">
      <formula>0</formula>
    </cfRule>
    <cfRule type="cellIs" dxfId="179" priority="190" operator="greaterThan">
      <formula>0</formula>
    </cfRule>
    <cfRule type="cellIs" dxfId="178" priority="191" operator="greaterThan">
      <formula>$J$10</formula>
    </cfRule>
  </conditionalFormatting>
  <conditionalFormatting sqref="K29">
    <cfRule type="cellIs" dxfId="177" priority="135" operator="lessThan">
      <formula>$J$29</formula>
    </cfRule>
  </conditionalFormatting>
  <conditionalFormatting sqref="L6:L14">
    <cfRule type="cellIs" dxfId="176" priority="244" operator="greaterThan">
      <formula>0.99</formula>
    </cfRule>
  </conditionalFormatting>
  <conditionalFormatting sqref="L10:L13">
    <cfRule type="cellIs" dxfId="175" priority="242" operator="lessThan">
      <formula>1</formula>
    </cfRule>
    <cfRule type="cellIs" dxfId="174" priority="243" operator="greaterThan">
      <formula>1</formula>
    </cfRule>
  </conditionalFormatting>
  <conditionalFormatting sqref="L15:L20">
    <cfRule type="cellIs" dxfId="173" priority="174" operator="lessThan">
      <formula>1</formula>
    </cfRule>
    <cfRule type="cellIs" dxfId="172" priority="175" operator="greaterThan">
      <formula>1</formula>
    </cfRule>
  </conditionalFormatting>
  <conditionalFormatting sqref="L15:L21">
    <cfRule type="cellIs" dxfId="171" priority="176" operator="greaterThan">
      <formula>0.99</formula>
    </cfRule>
  </conditionalFormatting>
  <conditionalFormatting sqref="L22:L26">
    <cfRule type="cellIs" dxfId="170" priority="292" operator="lessThan">
      <formula>1</formula>
    </cfRule>
    <cfRule type="cellIs" dxfId="169" priority="293" operator="greaterThan">
      <formula>1</formula>
    </cfRule>
  </conditionalFormatting>
  <conditionalFormatting sqref="L27:L1048576">
    <cfRule type="cellIs" dxfId="168" priority="256" operator="greaterThan">
      <formula>0.99</formula>
    </cfRule>
  </conditionalFormatting>
  <conditionalFormatting sqref="L28:L29">
    <cfRule type="cellIs" dxfId="167" priority="254" operator="lessThan">
      <formula>1</formula>
    </cfRule>
    <cfRule type="cellIs" dxfId="166" priority="255" operator="greaterThan">
      <formula>1</formula>
    </cfRule>
  </conditionalFormatting>
  <conditionalFormatting sqref="M10:M13">
    <cfRule type="cellIs" dxfId="165" priority="36" operator="lessThan">
      <formula>0</formula>
    </cfRule>
    <cfRule type="cellIs" dxfId="164" priority="37" operator="lessThan">
      <formula>0</formula>
    </cfRule>
    <cfRule type="cellIs" dxfId="163" priority="38" operator="greaterThan">
      <formula>0</formula>
    </cfRule>
  </conditionalFormatting>
  <conditionalFormatting sqref="M15:M20">
    <cfRule type="cellIs" dxfId="162" priority="33" operator="lessThan">
      <formula>0</formula>
    </cfRule>
    <cfRule type="cellIs" dxfId="161" priority="34" operator="lessThan">
      <formula>0</formula>
    </cfRule>
    <cfRule type="cellIs" dxfId="160" priority="35" operator="greaterThan">
      <formula>0</formula>
    </cfRule>
  </conditionalFormatting>
  <conditionalFormatting sqref="M22:M26">
    <cfRule type="cellIs" dxfId="159" priority="30" operator="lessThan">
      <formula>0</formula>
    </cfRule>
    <cfRule type="cellIs" dxfId="158" priority="31" operator="lessThan">
      <formula>0</formula>
    </cfRule>
    <cfRule type="cellIs" dxfId="157" priority="32" operator="greaterThan">
      <formula>0</formula>
    </cfRule>
  </conditionalFormatting>
  <conditionalFormatting sqref="M28:M29">
    <cfRule type="cellIs" dxfId="156" priority="15" operator="lessThan">
      <formula>0</formula>
    </cfRule>
    <cfRule type="cellIs" dxfId="155" priority="16" operator="lessThan">
      <formula>0</formula>
    </cfRule>
    <cfRule type="cellIs" dxfId="154" priority="17" operator="greaterThan">
      <formula>0</formula>
    </cfRule>
  </conditionalFormatting>
  <conditionalFormatting sqref="O10">
    <cfRule type="cellIs" dxfId="153" priority="70" operator="lessThan">
      <formula>$N$10</formula>
    </cfRule>
    <cfRule type="cellIs" dxfId="152" priority="71" operator="greaterThan">
      <formula>$N$10</formula>
    </cfRule>
    <cfRule type="cellIs" dxfId="151" priority="72" operator="lessThan">
      <formula>$N$10</formula>
    </cfRule>
    <cfRule type="cellIs" dxfId="150" priority="109" operator="lessThan">
      <formula>$N$10</formula>
    </cfRule>
    <cfRule type="cellIs" dxfId="149" priority="110" operator="greaterThan">
      <formula>$N$10</formula>
    </cfRule>
  </conditionalFormatting>
  <conditionalFormatting sqref="O10:O11 O13">
    <cfRule type="cellIs" dxfId="148" priority="221" operator="lessThan">
      <formula>0</formula>
    </cfRule>
    <cfRule type="cellIs" dxfId="147" priority="222" operator="greaterThan">
      <formula>0</formula>
    </cfRule>
    <cfRule type="cellIs" dxfId="146" priority="223" operator="greaterThan">
      <formula>$J$10</formula>
    </cfRule>
  </conditionalFormatting>
  <conditionalFormatting sqref="O11">
    <cfRule type="cellIs" dxfId="145" priority="68" operator="lessThan">
      <formula>$N$11</formula>
    </cfRule>
    <cfRule type="cellIs" dxfId="144" priority="69" operator="greaterThan">
      <formula>$N$11</formula>
    </cfRule>
    <cfRule type="cellIs" dxfId="143" priority="107" operator="lessThan">
      <formula>$N$11</formula>
    </cfRule>
    <cfRule type="cellIs" dxfId="142" priority="108" operator="greaterThan">
      <formula>$N$11</formula>
    </cfRule>
  </conditionalFormatting>
  <conditionalFormatting sqref="O12">
    <cfRule type="cellIs" dxfId="141" priority="7" operator="lessThan">
      <formula>$N$12</formula>
    </cfRule>
    <cfRule type="cellIs" dxfId="140" priority="8" operator="greaterThan">
      <formula>$N$12</formula>
    </cfRule>
  </conditionalFormatting>
  <conditionalFormatting sqref="O13">
    <cfRule type="cellIs" dxfId="139" priority="64" operator="lessThan">
      <formula>$N$13</formula>
    </cfRule>
    <cfRule type="cellIs" dxfId="138" priority="65" operator="greaterThan">
      <formula>$N$13</formula>
    </cfRule>
    <cfRule type="cellIs" dxfId="137" priority="101" operator="lessThan">
      <formula>$N$13</formula>
    </cfRule>
    <cfRule type="cellIs" dxfId="136" priority="102" operator="greaterThan">
      <formula>$N$13</formula>
    </cfRule>
  </conditionalFormatting>
  <conditionalFormatting sqref="O15">
    <cfRule type="cellIs" dxfId="135" priority="62" operator="lessThan">
      <formula>$N$15</formula>
    </cfRule>
    <cfRule type="cellIs" dxfId="134" priority="63" operator="greaterThan">
      <formula>$N$15</formula>
    </cfRule>
    <cfRule type="cellIs" dxfId="133" priority="128" operator="lessThan">
      <formula>$N$15</formula>
    </cfRule>
  </conditionalFormatting>
  <conditionalFormatting sqref="O15:O20">
    <cfRule type="cellIs" dxfId="132" priority="209" operator="lessThan">
      <formula>0</formula>
    </cfRule>
    <cfRule type="cellIs" dxfId="131" priority="210" operator="greaterThan">
      <formula>0</formula>
    </cfRule>
    <cfRule type="cellIs" dxfId="130" priority="211" operator="greaterThan">
      <formula>$J$10</formula>
    </cfRule>
  </conditionalFormatting>
  <conditionalFormatting sqref="O16">
    <cfRule type="cellIs" dxfId="129" priority="60" operator="lessThan">
      <formula>$N$16</formula>
    </cfRule>
    <cfRule type="cellIs" dxfId="128" priority="61" operator="greaterThan">
      <formula>$N$16</formula>
    </cfRule>
    <cfRule type="cellIs" dxfId="127" priority="115" operator="lessThan">
      <formula>$N$16</formula>
    </cfRule>
    <cfRule type="cellIs" dxfId="126" priority="116" operator="greaterThan">
      <formula>$N$16</formula>
    </cfRule>
  </conditionalFormatting>
  <conditionalFormatting sqref="O17">
    <cfRule type="cellIs" dxfId="125" priority="127" operator="lessThan">
      <formula>$N$17</formula>
    </cfRule>
  </conditionalFormatting>
  <conditionalFormatting sqref="O18">
    <cfRule type="cellIs" dxfId="124" priority="58" operator="lessThan">
      <formula>$N$18</formula>
    </cfRule>
    <cfRule type="cellIs" dxfId="123" priority="59" operator="greaterThan">
      <formula>$N$18</formula>
    </cfRule>
  </conditionalFormatting>
  <conditionalFormatting sqref="O19">
    <cfRule type="cellIs" dxfId="122" priority="56" operator="lessThan">
      <formula>$N$19</formula>
    </cfRule>
    <cfRule type="cellIs" dxfId="121" priority="57" operator="greaterThan">
      <formula>$N$19</formula>
    </cfRule>
    <cfRule type="cellIs" dxfId="120" priority="113" operator="lessThan">
      <formula>$N$19</formula>
    </cfRule>
    <cfRule type="cellIs" dxfId="119" priority="114" operator="greaterThan">
      <formula>$N$19</formula>
    </cfRule>
  </conditionalFormatting>
  <conditionalFormatting sqref="O20">
    <cfRule type="cellIs" dxfId="118" priority="54" operator="lessThan">
      <formula>$N$20</formula>
    </cfRule>
    <cfRule type="cellIs" dxfId="117" priority="55" operator="greaterThan">
      <formula>$N$20</formula>
    </cfRule>
    <cfRule type="cellIs" dxfId="116" priority="111" operator="lessThan">
      <formula>$N$20</formula>
    </cfRule>
    <cfRule type="cellIs" dxfId="115" priority="112" operator="greaterThan">
      <formula>$N$20</formula>
    </cfRule>
  </conditionalFormatting>
  <conditionalFormatting sqref="O22">
    <cfRule type="cellIs" dxfId="114" priority="52" operator="lessThan">
      <formula>$N$22</formula>
    </cfRule>
    <cfRule type="cellIs" dxfId="113" priority="53" operator="greaterThan">
      <formula>$N$22</formula>
    </cfRule>
  </conditionalFormatting>
  <conditionalFormatting sqref="O22:O26">
    <cfRule type="cellIs" dxfId="112" priority="193" operator="lessThan">
      <formula>0</formula>
    </cfRule>
    <cfRule type="cellIs" dxfId="111" priority="194" operator="greaterThan">
      <formula>0</formula>
    </cfRule>
    <cfRule type="cellIs" dxfId="110" priority="195" operator="greaterThan">
      <formula>$J$10</formula>
    </cfRule>
  </conditionalFormatting>
  <conditionalFormatting sqref="O23">
    <cfRule type="cellIs" dxfId="109" priority="50" operator="lessThan">
      <formula>$N$23</formula>
    </cfRule>
    <cfRule type="cellIs" dxfId="108" priority="51" operator="greaterThan">
      <formula>$N$23</formula>
    </cfRule>
  </conditionalFormatting>
  <conditionalFormatting sqref="O24">
    <cfRule type="cellIs" dxfId="107" priority="48" operator="lessThan">
      <formula>$N$24</formula>
    </cfRule>
    <cfRule type="cellIs" dxfId="106" priority="49" operator="greaterThan">
      <formula>$N$24</formula>
    </cfRule>
  </conditionalFormatting>
  <conditionalFormatting sqref="O25">
    <cfRule type="cellIs" dxfId="105" priority="46" operator="lessThan">
      <formula>$N$25</formula>
    </cfRule>
    <cfRule type="cellIs" dxfId="104" priority="47" operator="greaterThan">
      <formula>$N$25</formula>
    </cfRule>
  </conditionalFormatting>
  <conditionalFormatting sqref="O26">
    <cfRule type="cellIs" dxfId="103" priority="44" operator="greaterThan">
      <formula>$N$26</formula>
    </cfRule>
  </conditionalFormatting>
  <conditionalFormatting sqref="O28">
    <cfRule type="cellIs" dxfId="102" priority="125" operator="lessThan">
      <formula>$N$28</formula>
    </cfRule>
    <cfRule type="cellIs" dxfId="101" priority="126" operator="greaterThan">
      <formula>$N$28</formula>
    </cfRule>
    <cfRule type="cellIs" dxfId="100" priority="129" operator="lessThan">
      <formula>$N$28</formula>
    </cfRule>
  </conditionalFormatting>
  <conditionalFormatting sqref="O28:O29">
    <cfRule type="cellIs" dxfId="99" priority="130" operator="lessThan">
      <formula>$J$28</formula>
    </cfRule>
    <cfRule type="cellIs" dxfId="98" priority="131" operator="lessThan">
      <formula>0</formula>
    </cfRule>
    <cfRule type="cellIs" dxfId="97" priority="132" operator="greaterThan">
      <formula>0</formula>
    </cfRule>
    <cfRule type="cellIs" dxfId="96" priority="133" operator="greaterThan">
      <formula>$J$10</formula>
    </cfRule>
  </conditionalFormatting>
  <conditionalFormatting sqref="O29">
    <cfRule type="cellIs" dxfId="95" priority="123" operator="lessThan">
      <formula>$N$29</formula>
    </cfRule>
    <cfRule type="cellIs" dxfId="94" priority="124" operator="greaterThan">
      <formula>$N$29</formula>
    </cfRule>
  </conditionalFormatting>
  <conditionalFormatting sqref="P10:P13">
    <cfRule type="cellIs" dxfId="93" priority="239" operator="lessThan">
      <formula>1</formula>
    </cfRule>
    <cfRule type="cellIs" dxfId="92" priority="240" operator="greaterThan">
      <formula>1</formula>
    </cfRule>
    <cfRule type="cellIs" dxfId="91" priority="241" operator="greaterThan">
      <formula>0.99</formula>
    </cfRule>
  </conditionalFormatting>
  <conditionalFormatting sqref="P15:P20">
    <cfRule type="cellIs" dxfId="90" priority="245" operator="lessThan">
      <formula>1</formula>
    </cfRule>
    <cfRule type="cellIs" dxfId="89" priority="246" operator="greaterThan">
      <formula>1</formula>
    </cfRule>
    <cfRule type="cellIs" dxfId="88" priority="247" operator="greaterThan">
      <formula>0.99</formula>
    </cfRule>
  </conditionalFormatting>
  <conditionalFormatting sqref="P22:P26">
    <cfRule type="cellIs" dxfId="87" priority="248" operator="lessThan">
      <formula>1</formula>
    </cfRule>
    <cfRule type="cellIs" dxfId="86" priority="249" operator="greaterThan">
      <formula>1</formula>
    </cfRule>
    <cfRule type="cellIs" dxfId="85" priority="250" operator="greaterThan">
      <formula>0.99</formula>
    </cfRule>
  </conditionalFormatting>
  <conditionalFormatting sqref="P28:P29">
    <cfRule type="cellIs" dxfId="84" priority="251" operator="lessThan">
      <formula>1</formula>
    </cfRule>
    <cfRule type="cellIs" dxfId="83" priority="252" operator="greaterThan">
      <formula>1</formula>
    </cfRule>
    <cfRule type="cellIs" dxfId="82" priority="253" operator="greaterThan">
      <formula>0.99</formula>
    </cfRule>
  </conditionalFormatting>
  <conditionalFormatting sqref="Q10:Q13">
    <cfRule type="cellIs" dxfId="81" priority="27" operator="lessThan">
      <formula>0</formula>
    </cfRule>
    <cfRule type="cellIs" dxfId="80" priority="28" operator="lessThan">
      <formula>0</formula>
    </cfRule>
    <cfRule type="cellIs" dxfId="79" priority="29" operator="greaterThan">
      <formula>0</formula>
    </cfRule>
  </conditionalFormatting>
  <conditionalFormatting sqref="Q15:Q20">
    <cfRule type="cellIs" dxfId="78" priority="24" operator="lessThan">
      <formula>0</formula>
    </cfRule>
    <cfRule type="cellIs" dxfId="77" priority="25" operator="lessThan">
      <formula>0</formula>
    </cfRule>
    <cfRule type="cellIs" dxfId="76" priority="26" operator="greaterThan">
      <formula>0</formula>
    </cfRule>
  </conditionalFormatting>
  <conditionalFormatting sqref="Q22:Q26">
    <cfRule type="cellIs" dxfId="75" priority="21" operator="lessThan">
      <formula>0</formula>
    </cfRule>
    <cfRule type="cellIs" dxfId="74" priority="22" operator="lessThan">
      <formula>0</formula>
    </cfRule>
    <cfRule type="cellIs" dxfId="73" priority="23" operator="greaterThan">
      <formula>0</formula>
    </cfRule>
  </conditionalFormatting>
  <conditionalFormatting sqref="Q28:Q29">
    <cfRule type="cellIs" dxfId="72" priority="18" operator="lessThan">
      <formula>0</formula>
    </cfRule>
    <cfRule type="cellIs" dxfId="71" priority="19" operator="lessThan">
      <formula>0</formula>
    </cfRule>
    <cfRule type="cellIs" dxfId="70" priority="20" operator="greaterThan">
      <formula>0</formula>
    </cfRule>
  </conditionalFormatting>
  <conditionalFormatting sqref="Q33:Q37">
    <cfRule type="cellIs" dxfId="69" priority="1" operator="lessThan">
      <formula>1</formula>
    </cfRule>
    <cfRule type="cellIs" dxfId="68" priority="2" operator="greaterThan">
      <formula>1</formula>
    </cfRule>
  </conditionalFormatting>
  <conditionalFormatting sqref="Q33:Q37">
    <cfRule type="cellIs" dxfId="67" priority="3" operator="greaterThan">
      <formula>0.99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ignoredErrors>
    <ignoredError sqref="I11:I13" formula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0F6DA-64B1-42DE-AE24-D4B1D230957F}">
  <dimension ref="B2:AI47"/>
  <sheetViews>
    <sheetView showGridLines="0" topLeftCell="P1" zoomScale="85" zoomScaleNormal="85" workbookViewId="0">
      <selection activeCell="Y17" sqref="Y17"/>
    </sheetView>
  </sheetViews>
  <sheetFormatPr defaultRowHeight="15" x14ac:dyDescent="0.25"/>
  <cols>
    <col min="2" max="2" width="12.28515625" bestFit="1" customWidth="1"/>
    <col min="3" max="4" width="6.7109375" bestFit="1" customWidth="1"/>
    <col min="5" max="5" width="4.7109375" bestFit="1" customWidth="1"/>
    <col min="6" max="6" width="11.5703125" bestFit="1" customWidth="1"/>
    <col min="7" max="7" width="11.7109375" bestFit="1" customWidth="1"/>
    <col min="8" max="8" width="9.140625" bestFit="1" customWidth="1"/>
    <col min="9" max="9" width="9.28515625" bestFit="1" customWidth="1"/>
    <col min="10" max="11" width="22.5703125" bestFit="1" customWidth="1"/>
    <col min="12" max="13" width="23.5703125" bestFit="1" customWidth="1"/>
    <col min="14" max="14" width="11.85546875" bestFit="1" customWidth="1"/>
    <col min="15" max="15" width="12.140625" bestFit="1" customWidth="1"/>
    <col min="16" max="16" width="9.85546875" bestFit="1" customWidth="1"/>
    <col min="17" max="17" width="10" bestFit="1" customWidth="1"/>
    <col min="18" max="18" width="21.140625" bestFit="1" customWidth="1"/>
    <col min="22" max="22" width="29.42578125" bestFit="1" customWidth="1"/>
    <col min="23" max="23" width="10.5703125" bestFit="1" customWidth="1"/>
    <col min="24" max="24" width="5.7109375" bestFit="1" customWidth="1"/>
    <col min="25" max="25" width="14.5703125" bestFit="1" customWidth="1"/>
    <col min="26" max="26" width="22" bestFit="1" customWidth="1"/>
    <col min="27" max="27" width="20.85546875" bestFit="1" customWidth="1"/>
    <col min="28" max="28" width="14.5703125" bestFit="1" customWidth="1"/>
    <col min="30" max="30" width="10.85546875" style="119" bestFit="1" customWidth="1"/>
    <col min="31" max="31" width="14.5703125" bestFit="1" customWidth="1"/>
    <col min="32" max="32" width="22.42578125" bestFit="1" customWidth="1"/>
    <col min="33" max="33" width="24.5703125" bestFit="1" customWidth="1"/>
    <col min="34" max="34" width="12.28515625" bestFit="1" customWidth="1"/>
    <col min="35" max="35" width="24.5703125" bestFit="1" customWidth="1"/>
  </cols>
  <sheetData>
    <row r="2" spans="2:35" x14ac:dyDescent="0.25">
      <c r="V2" s="181" t="s">
        <v>191</v>
      </c>
      <c r="W2" s="182">
        <v>23</v>
      </c>
    </row>
    <row r="3" spans="2:35" x14ac:dyDescent="0.25">
      <c r="V3" s="161" t="s">
        <v>192</v>
      </c>
      <c r="W3" s="183">
        <v>27</v>
      </c>
    </row>
    <row r="6" spans="2:35" x14ac:dyDescent="0.25">
      <c r="B6" s="164" t="s">
        <v>177</v>
      </c>
      <c r="C6" s="165" t="s">
        <v>1</v>
      </c>
      <c r="D6" s="165" t="s">
        <v>3</v>
      </c>
      <c r="E6" s="165" t="s">
        <v>178</v>
      </c>
      <c r="F6" s="165" t="s">
        <v>179</v>
      </c>
      <c r="G6" s="165" t="s">
        <v>180</v>
      </c>
      <c r="H6" s="165" t="s">
        <v>181</v>
      </c>
      <c r="I6" s="165" t="s">
        <v>182</v>
      </c>
      <c r="J6" s="165" t="s">
        <v>183</v>
      </c>
      <c r="K6" s="165" t="s">
        <v>184</v>
      </c>
      <c r="L6" s="165" t="s">
        <v>185</v>
      </c>
      <c r="M6" s="166" t="s">
        <v>186</v>
      </c>
      <c r="N6" s="164" t="s">
        <v>187</v>
      </c>
      <c r="O6" s="165" t="s">
        <v>188</v>
      </c>
      <c r="P6" s="165" t="s">
        <v>189</v>
      </c>
      <c r="Q6" s="165" t="s">
        <v>190</v>
      </c>
      <c r="R6" s="166" t="s">
        <v>219</v>
      </c>
      <c r="V6" s="180" t="s">
        <v>197</v>
      </c>
      <c r="W6" s="180" t="s">
        <v>196</v>
      </c>
      <c r="X6" s="180" t="s">
        <v>195</v>
      </c>
      <c r="Y6" s="186" t="s">
        <v>194</v>
      </c>
      <c r="Z6" s="186" t="s">
        <v>210</v>
      </c>
      <c r="AA6" s="186" t="s">
        <v>202</v>
      </c>
      <c r="AB6" s="180" t="s">
        <v>211</v>
      </c>
      <c r="AD6" s="187" t="s">
        <v>177</v>
      </c>
      <c r="AE6" s="188" t="s">
        <v>194</v>
      </c>
      <c r="AF6" s="188" t="s">
        <v>212</v>
      </c>
      <c r="AG6" s="188" t="s">
        <v>213</v>
      </c>
      <c r="AH6" s="188" t="s">
        <v>214</v>
      </c>
      <c r="AI6" s="189" t="s">
        <v>215</v>
      </c>
    </row>
    <row r="7" spans="2:35" x14ac:dyDescent="0.25">
      <c r="B7" s="167">
        <v>45474</v>
      </c>
      <c r="C7" s="224">
        <v>3600</v>
      </c>
      <c r="D7" s="216">
        <v>650</v>
      </c>
      <c r="E7" s="217"/>
      <c r="F7" s="218">
        <f>'Forecast Anual'!$I$11</f>
        <v>75249</v>
      </c>
      <c r="G7" s="218">
        <f>'Forecast Anual'!$I$12</f>
        <v>8608</v>
      </c>
      <c r="H7" s="218">
        <f>SUM($C$7:$C$37)</f>
        <v>78465</v>
      </c>
      <c r="I7" s="219">
        <f>SUM($D$7:$D$37)</f>
        <v>12143</v>
      </c>
      <c r="J7" s="177">
        <f t="shared" ref="J7:J36" si="0">C7/H7</f>
        <v>4.5880328809023131E-2</v>
      </c>
      <c r="K7" s="177">
        <f t="shared" ref="K7:K36" si="1">D7/I7</f>
        <v>5.3528782014329243E-2</v>
      </c>
      <c r="L7" s="177">
        <f t="shared" ref="L7:L36" si="2">C7/F7</f>
        <v>4.7841167324482715E-2</v>
      </c>
      <c r="M7" s="199">
        <f t="shared" ref="M7:M36" si="3">D7/G7</f>
        <v>7.5511152416356878E-2</v>
      </c>
      <c r="N7" s="176">
        <f>F7*J7</f>
        <v>3452.4488625501817</v>
      </c>
      <c r="O7" s="220">
        <f>G7*K7</f>
        <v>460.77575557934614</v>
      </c>
      <c r="P7" s="221">
        <f>IF(C7*1.25=0,"-",C7*1.25)</f>
        <v>4500</v>
      </c>
      <c r="Q7" s="221">
        <f>IF(D7*1.25=0,"-",D7*1.25)</f>
        <v>812.5</v>
      </c>
      <c r="R7" s="198" t="str" cm="1">
        <f t="array" ref="R7">_xlfn.IFS(Q7="-","-",Q7&gt;512,"Acima da Capacidade",Q7&lt;512,"-")</f>
        <v>Acima da Capacidade</v>
      </c>
      <c r="V7" s="178" t="s">
        <v>0</v>
      </c>
      <c r="W7" s="184">
        <f>SUM('Forecast Anual'!I3:I5)</f>
        <v>2688</v>
      </c>
      <c r="X7" s="185">
        <f>$W$2</f>
        <v>23</v>
      </c>
      <c r="Y7" s="175">
        <f>W7/X7</f>
        <v>116.8695652173913</v>
      </c>
      <c r="Z7" s="175">
        <f>ROUNDUP(Y7,0)</f>
        <v>117</v>
      </c>
      <c r="AA7" s="185" t="s">
        <v>11</v>
      </c>
      <c r="AB7" s="161" t="b">
        <f>Y7=Z7</f>
        <v>0</v>
      </c>
      <c r="AD7" s="190">
        <v>45413</v>
      </c>
      <c r="AE7">
        <v>2</v>
      </c>
      <c r="AF7">
        <f>$W$8</f>
        <v>195</v>
      </c>
      <c r="AG7">
        <f>SUM($AE$7:$AE$37)</f>
        <v>197</v>
      </c>
      <c r="AH7" s="163">
        <f>AE7/AG7</f>
        <v>1.015228426395939E-2</v>
      </c>
      <c r="AI7" s="168">
        <f>AH7*AF7</f>
        <v>1.9796954314720812</v>
      </c>
    </row>
    <row r="8" spans="2:35" x14ac:dyDescent="0.25">
      <c r="B8" s="167">
        <v>45475</v>
      </c>
      <c r="C8" s="216">
        <v>3234</v>
      </c>
      <c r="D8" s="216">
        <v>650</v>
      </c>
      <c r="E8" s="217"/>
      <c r="F8" s="218">
        <f>'Forecast Anual'!$I$11</f>
        <v>75249</v>
      </c>
      <c r="G8" s="218">
        <f>'Forecast Anual'!$I$12</f>
        <v>8608</v>
      </c>
      <c r="H8" s="218">
        <f t="shared" ref="H8:H37" si="4">SUM($C$7:$C$37)</f>
        <v>78465</v>
      </c>
      <c r="I8" s="219">
        <f>SUM($D$7:$D$37)</f>
        <v>12143</v>
      </c>
      <c r="J8" s="177">
        <f t="shared" si="0"/>
        <v>4.1215828713439116E-2</v>
      </c>
      <c r="K8" s="177">
        <f t="shared" si="1"/>
        <v>5.3528782014329243E-2</v>
      </c>
      <c r="L8" s="177">
        <f t="shared" si="2"/>
        <v>4.2977315313160305E-2</v>
      </c>
      <c r="M8" s="199">
        <f t="shared" si="3"/>
        <v>7.5511152416356878E-2</v>
      </c>
      <c r="N8" s="176">
        <f>F8*J8</f>
        <v>3101.4498948575801</v>
      </c>
      <c r="O8" s="220">
        <f t="shared" ref="O8:O36" si="5">G8*K8</f>
        <v>460.77575557934614</v>
      </c>
      <c r="P8" s="221">
        <f t="shared" ref="P8:P36" si="6">IF(C8*1.25=0,"-",C8*1.25)</f>
        <v>4042.5</v>
      </c>
      <c r="Q8" s="221">
        <f t="shared" ref="Q8:Q36" si="7">IF(D8*1.25=0,"-",D8*1.25)</f>
        <v>812.5</v>
      </c>
      <c r="R8" s="198" t="str" cm="1">
        <f t="array" ref="R8">_xlfn.IFS(Q8="-","-",Q8&gt;512,"Acima da Capacidade",Q8&lt;512,"-")</f>
        <v>Acima da Capacidade</v>
      </c>
      <c r="V8" s="178" t="s">
        <v>193</v>
      </c>
      <c r="W8" s="185">
        <f>'Forecast Anual'!I13</f>
        <v>195</v>
      </c>
      <c r="X8" s="185">
        <f>$W$3</f>
        <v>27</v>
      </c>
      <c r="Y8" s="175">
        <f t="shared" ref="Y8:Y18" si="8">W8/X8</f>
        <v>7.2222222222222223</v>
      </c>
      <c r="Z8" s="175">
        <f t="shared" ref="Z8:Z18" si="9">ROUNDUP(Y8,0)</f>
        <v>8</v>
      </c>
      <c r="AA8" s="185" t="s">
        <v>203</v>
      </c>
      <c r="AB8" s="161" t="b">
        <f t="shared" ref="AB8:AB18" si="10">Y8=Z8</f>
        <v>0</v>
      </c>
      <c r="AD8" s="191">
        <v>45414</v>
      </c>
      <c r="AE8">
        <v>0</v>
      </c>
      <c r="AF8">
        <f t="shared" ref="AF8:AF37" si="11">$W$8</f>
        <v>195</v>
      </c>
      <c r="AG8">
        <f t="shared" ref="AG8:AG37" si="12">SUM($AE$7:$AE$37)</f>
        <v>197</v>
      </c>
      <c r="AH8" s="163">
        <f t="shared" ref="AH8:AH37" si="13">AE8/AG8</f>
        <v>0</v>
      </c>
      <c r="AI8" s="168">
        <f t="shared" ref="AI8:AI37" si="14">AH8*AF8</f>
        <v>0</v>
      </c>
    </row>
    <row r="9" spans="2:35" x14ac:dyDescent="0.25">
      <c r="B9" s="167">
        <v>45476</v>
      </c>
      <c r="C9" s="224">
        <v>2956</v>
      </c>
      <c r="D9" s="216">
        <v>640</v>
      </c>
      <c r="E9" s="217"/>
      <c r="F9" s="218">
        <f>'Forecast Anual'!$I$11</f>
        <v>75249</v>
      </c>
      <c r="G9" s="218">
        <f>'Forecast Anual'!$I$12</f>
        <v>8608</v>
      </c>
      <c r="H9" s="218">
        <f t="shared" si="4"/>
        <v>78465</v>
      </c>
      <c r="I9" s="219">
        <f t="shared" ref="I9:I37" si="15">SUM($D$7:$D$37)</f>
        <v>12143</v>
      </c>
      <c r="J9" s="177">
        <f t="shared" si="0"/>
        <v>3.7672847766520107E-2</v>
      </c>
      <c r="K9" s="177">
        <f t="shared" si="1"/>
        <v>5.2705262291031868E-2</v>
      </c>
      <c r="L9" s="177">
        <f t="shared" si="2"/>
        <v>3.9282914058658587E-2</v>
      </c>
      <c r="M9" s="199">
        <f t="shared" si="3"/>
        <v>7.434944237918216E-2</v>
      </c>
      <c r="N9" s="176">
        <f t="shared" ref="N9:N36" si="16">F9*J9</f>
        <v>2834.8441215828716</v>
      </c>
      <c r="O9" s="220">
        <f t="shared" si="5"/>
        <v>453.68689780120229</v>
      </c>
      <c r="P9" s="221">
        <f t="shared" si="6"/>
        <v>3695</v>
      </c>
      <c r="Q9" s="221">
        <f t="shared" si="7"/>
        <v>800</v>
      </c>
      <c r="R9" s="198" t="str" cm="1">
        <f t="array" ref="R9">_xlfn.IFS(Q9="-","-",Q9&gt;512,"Acima da Capacidade",Q9&lt;512,"-")</f>
        <v>Acima da Capacidade</v>
      </c>
      <c r="V9" s="178" t="s">
        <v>106</v>
      </c>
      <c r="W9" s="185">
        <f>'Forecast Anual'!I14</f>
        <v>491</v>
      </c>
      <c r="X9" s="185">
        <f>$W$3</f>
        <v>27</v>
      </c>
      <c r="Y9" s="175">
        <f t="shared" si="8"/>
        <v>18.185185185185187</v>
      </c>
      <c r="Z9" s="175">
        <f t="shared" si="9"/>
        <v>19</v>
      </c>
      <c r="AA9" s="185" t="s">
        <v>11</v>
      </c>
      <c r="AB9" s="161" t="b">
        <f t="shared" si="10"/>
        <v>0</v>
      </c>
      <c r="AD9" s="191">
        <v>45415</v>
      </c>
      <c r="AE9">
        <v>6</v>
      </c>
      <c r="AF9">
        <f t="shared" si="11"/>
        <v>195</v>
      </c>
      <c r="AG9">
        <f t="shared" si="12"/>
        <v>197</v>
      </c>
      <c r="AH9" s="163">
        <f t="shared" si="13"/>
        <v>3.0456852791878174E-2</v>
      </c>
      <c r="AI9" s="168">
        <f t="shared" si="14"/>
        <v>5.9390862944162439</v>
      </c>
    </row>
    <row r="10" spans="2:35" x14ac:dyDescent="0.25">
      <c r="B10" s="167">
        <v>45477</v>
      </c>
      <c r="C10" s="224">
        <v>2950</v>
      </c>
      <c r="D10" s="216">
        <v>625</v>
      </c>
      <c r="E10" s="217"/>
      <c r="F10" s="218">
        <f>'Forecast Anual'!$I$11</f>
        <v>75249</v>
      </c>
      <c r="G10" s="218">
        <f>'Forecast Anual'!$I$12</f>
        <v>8608</v>
      </c>
      <c r="H10" s="218">
        <f t="shared" si="4"/>
        <v>78465</v>
      </c>
      <c r="I10" s="219">
        <f t="shared" si="15"/>
        <v>12143</v>
      </c>
      <c r="J10" s="177">
        <f t="shared" si="0"/>
        <v>3.75963805518384E-2</v>
      </c>
      <c r="K10" s="177">
        <f t="shared" si="1"/>
        <v>5.1469982706085812E-2</v>
      </c>
      <c r="L10" s="177">
        <f t="shared" si="2"/>
        <v>3.9203178779784451E-2</v>
      </c>
      <c r="M10" s="199">
        <f t="shared" si="3"/>
        <v>7.2606877323420069E-2</v>
      </c>
      <c r="N10" s="176">
        <f t="shared" si="16"/>
        <v>2829.0900401452877</v>
      </c>
      <c r="O10" s="220">
        <f t="shared" si="5"/>
        <v>443.05361113398669</v>
      </c>
      <c r="P10" s="221">
        <f t="shared" si="6"/>
        <v>3687.5</v>
      </c>
      <c r="Q10" s="221">
        <f t="shared" si="7"/>
        <v>781.25</v>
      </c>
      <c r="R10" s="198" t="str" cm="1">
        <f t="array" ref="R10">_xlfn.IFS(Q10="-","-",Q10&gt;512,"Acima da Capacidade",Q10&lt;512,"-")</f>
        <v>Acima da Capacidade</v>
      </c>
      <c r="V10" s="178" t="s">
        <v>198</v>
      </c>
      <c r="W10" s="175">
        <f>'Forecast Anual'!I20</f>
        <v>18621</v>
      </c>
      <c r="X10" s="185">
        <f>$W$3</f>
        <v>27</v>
      </c>
      <c r="Y10" s="175">
        <f t="shared" si="8"/>
        <v>689.66666666666663</v>
      </c>
      <c r="Z10" s="175">
        <f t="shared" si="9"/>
        <v>690</v>
      </c>
      <c r="AA10" s="185" t="s">
        <v>204</v>
      </c>
      <c r="AB10" s="161" t="b">
        <f t="shared" si="10"/>
        <v>0</v>
      </c>
      <c r="AD10" s="191">
        <v>45416</v>
      </c>
      <c r="AE10">
        <v>10</v>
      </c>
      <c r="AF10">
        <f t="shared" si="11"/>
        <v>195</v>
      </c>
      <c r="AG10">
        <f t="shared" si="12"/>
        <v>197</v>
      </c>
      <c r="AH10" s="163">
        <f t="shared" si="13"/>
        <v>5.0761421319796954E-2</v>
      </c>
      <c r="AI10" s="168">
        <f t="shared" si="14"/>
        <v>9.8984771573604053</v>
      </c>
    </row>
    <row r="11" spans="2:35" x14ac:dyDescent="0.25">
      <c r="B11" s="167">
        <v>45478</v>
      </c>
      <c r="C11" s="224">
        <v>3034</v>
      </c>
      <c r="D11" s="216">
        <v>480</v>
      </c>
      <c r="E11" s="217"/>
      <c r="F11" s="218">
        <f>'Forecast Anual'!$I$11</f>
        <v>75249</v>
      </c>
      <c r="G11" s="218">
        <f>'Forecast Anual'!$I$12</f>
        <v>8608</v>
      </c>
      <c r="H11" s="218">
        <f t="shared" si="4"/>
        <v>78465</v>
      </c>
      <c r="I11" s="219">
        <f t="shared" si="15"/>
        <v>12143</v>
      </c>
      <c r="J11" s="177">
        <f t="shared" si="0"/>
        <v>3.8666921557382272E-2</v>
      </c>
      <c r="K11" s="177">
        <f t="shared" si="1"/>
        <v>3.9528946718273901E-2</v>
      </c>
      <c r="L11" s="177">
        <f t="shared" si="2"/>
        <v>4.0319472684022382E-2</v>
      </c>
      <c r="M11" s="199">
        <f t="shared" si="3"/>
        <v>5.5762081784386616E-2</v>
      </c>
      <c r="N11" s="176">
        <f t="shared" si="16"/>
        <v>2909.6471802714586</v>
      </c>
      <c r="O11" s="220">
        <f t="shared" si="5"/>
        <v>340.26517335090176</v>
      </c>
      <c r="P11" s="221">
        <f t="shared" si="6"/>
        <v>3792.5</v>
      </c>
      <c r="Q11" s="221">
        <f t="shared" si="7"/>
        <v>600</v>
      </c>
      <c r="R11" s="198" t="str" cm="1">
        <f t="array" ref="R11">_xlfn.IFS(Q11="-","-",Q11&gt;512,"Acima da Capacidade",Q11&lt;512,"-")</f>
        <v>Acima da Capacidade</v>
      </c>
      <c r="V11" s="178" t="s">
        <v>7</v>
      </c>
      <c r="W11" s="175">
        <f>'Forecast Anual'!I15</f>
        <v>60</v>
      </c>
      <c r="X11" s="185">
        <f>$W$3</f>
        <v>27</v>
      </c>
      <c r="Y11" s="175">
        <f t="shared" si="8"/>
        <v>2.2222222222222223</v>
      </c>
      <c r="Z11" s="175">
        <f t="shared" si="9"/>
        <v>3</v>
      </c>
      <c r="AA11" s="185" t="s">
        <v>11</v>
      </c>
      <c r="AB11" s="161" t="b">
        <f t="shared" si="10"/>
        <v>0</v>
      </c>
      <c r="AD11" s="191">
        <v>45417</v>
      </c>
      <c r="AE11">
        <v>10</v>
      </c>
      <c r="AF11">
        <f t="shared" si="11"/>
        <v>195</v>
      </c>
      <c r="AG11">
        <f t="shared" si="12"/>
        <v>197</v>
      </c>
      <c r="AH11" s="163">
        <f t="shared" si="13"/>
        <v>5.0761421319796954E-2</v>
      </c>
      <c r="AI11" s="168">
        <f t="shared" si="14"/>
        <v>9.8984771573604053</v>
      </c>
    </row>
    <row r="12" spans="2:35" x14ac:dyDescent="0.25">
      <c r="B12" s="167">
        <v>45479</v>
      </c>
      <c r="C12" s="224">
        <v>0</v>
      </c>
      <c r="D12" s="216">
        <v>0</v>
      </c>
      <c r="E12" s="217"/>
      <c r="F12" s="218">
        <f>'Forecast Anual'!$I$11</f>
        <v>75249</v>
      </c>
      <c r="G12" s="218">
        <f>'Forecast Anual'!$I$12</f>
        <v>8608</v>
      </c>
      <c r="H12" s="218">
        <f t="shared" si="4"/>
        <v>78465</v>
      </c>
      <c r="I12" s="219">
        <f t="shared" si="15"/>
        <v>12143</v>
      </c>
      <c r="J12" s="177">
        <f t="shared" si="0"/>
        <v>0</v>
      </c>
      <c r="K12" s="177">
        <f t="shared" si="1"/>
        <v>0</v>
      </c>
      <c r="L12" s="177">
        <f t="shared" si="2"/>
        <v>0</v>
      </c>
      <c r="M12" s="199">
        <f t="shared" si="3"/>
        <v>0</v>
      </c>
      <c r="N12" s="176">
        <f t="shared" si="16"/>
        <v>0</v>
      </c>
      <c r="O12" s="220">
        <f t="shared" si="5"/>
        <v>0</v>
      </c>
      <c r="P12" s="221" t="str">
        <f t="shared" si="6"/>
        <v>-</v>
      </c>
      <c r="Q12" s="221" t="str">
        <f t="shared" si="7"/>
        <v>-</v>
      </c>
      <c r="R12" s="198" t="str" cm="1">
        <f t="array" ref="R12">_xlfn.IFS(Q12="-","-",Q12&gt;512,"Acima da Capacidade",Q12&lt;512,"-")</f>
        <v>-</v>
      </c>
      <c r="V12" s="178" t="s">
        <v>107</v>
      </c>
      <c r="W12" s="175">
        <f>'Forecast Anual'!I16</f>
        <v>19714</v>
      </c>
      <c r="X12" s="185">
        <f>$W2</f>
        <v>23</v>
      </c>
      <c r="Y12" s="175">
        <f t="shared" si="8"/>
        <v>857.13043478260875</v>
      </c>
      <c r="Z12" s="175">
        <f t="shared" si="9"/>
        <v>858</v>
      </c>
      <c r="AA12" s="185" t="s">
        <v>204</v>
      </c>
      <c r="AB12" s="161" t="b">
        <f t="shared" si="10"/>
        <v>0</v>
      </c>
      <c r="AD12" s="191">
        <v>45418</v>
      </c>
      <c r="AE12">
        <v>6</v>
      </c>
      <c r="AF12">
        <f t="shared" si="11"/>
        <v>195</v>
      </c>
      <c r="AG12">
        <f t="shared" si="12"/>
        <v>197</v>
      </c>
      <c r="AH12" s="163">
        <f t="shared" si="13"/>
        <v>3.0456852791878174E-2</v>
      </c>
      <c r="AI12" s="168">
        <f t="shared" si="14"/>
        <v>5.9390862944162439</v>
      </c>
    </row>
    <row r="13" spans="2:35" x14ac:dyDescent="0.25">
      <c r="B13" s="167">
        <v>45480</v>
      </c>
      <c r="C13" s="224">
        <v>3423</v>
      </c>
      <c r="D13" s="216">
        <v>450</v>
      </c>
      <c r="E13" s="217"/>
      <c r="F13" s="218">
        <f>'Forecast Anual'!$I$11</f>
        <v>75249</v>
      </c>
      <c r="G13" s="218">
        <f>'Forecast Anual'!$I$12</f>
        <v>8608</v>
      </c>
      <c r="H13" s="218">
        <f t="shared" si="4"/>
        <v>78465</v>
      </c>
      <c r="I13" s="219">
        <f t="shared" si="15"/>
        <v>12143</v>
      </c>
      <c r="J13" s="177">
        <f t="shared" si="0"/>
        <v>4.362454597591283E-2</v>
      </c>
      <c r="K13" s="177">
        <f t="shared" si="1"/>
        <v>3.7058387548381783E-2</v>
      </c>
      <c r="L13" s="177">
        <f t="shared" si="2"/>
        <v>4.548897659769565E-2</v>
      </c>
      <c r="M13" s="199">
        <f t="shared" si="3"/>
        <v>5.2276951672862455E-2</v>
      </c>
      <c r="N13" s="176">
        <f t="shared" si="16"/>
        <v>3282.7034601414643</v>
      </c>
      <c r="O13" s="220">
        <f t="shared" si="5"/>
        <v>318.99860001647039</v>
      </c>
      <c r="P13" s="221">
        <f t="shared" si="6"/>
        <v>4278.75</v>
      </c>
      <c r="Q13" s="221">
        <f t="shared" si="7"/>
        <v>562.5</v>
      </c>
      <c r="R13" s="198" t="str" cm="1">
        <f t="array" ref="R13">_xlfn.IFS(Q13="-","-",Q13&gt;512,"Acima da Capacidade",Q13&lt;512,"-")</f>
        <v>Acima da Capacidade</v>
      </c>
      <c r="V13" s="178" t="s">
        <v>199</v>
      </c>
      <c r="W13" s="175">
        <f>'Forecast Anual'!I19</f>
        <v>2284</v>
      </c>
      <c r="X13" s="185">
        <f t="shared" ref="X13:X18" si="17">$W$2</f>
        <v>23</v>
      </c>
      <c r="Y13" s="175">
        <f t="shared" si="8"/>
        <v>99.304347826086953</v>
      </c>
      <c r="Z13" s="175">
        <f t="shared" si="9"/>
        <v>100</v>
      </c>
      <c r="AA13" s="185" t="s">
        <v>205</v>
      </c>
      <c r="AB13" s="161" t="b">
        <f t="shared" si="10"/>
        <v>0</v>
      </c>
      <c r="AD13" s="191">
        <v>45419</v>
      </c>
      <c r="AE13">
        <v>9</v>
      </c>
      <c r="AF13">
        <f t="shared" si="11"/>
        <v>195</v>
      </c>
      <c r="AG13">
        <f t="shared" si="12"/>
        <v>197</v>
      </c>
      <c r="AH13" s="163">
        <f t="shared" si="13"/>
        <v>4.5685279187817257E-2</v>
      </c>
      <c r="AI13" s="168">
        <f t="shared" si="14"/>
        <v>8.908629441624365</v>
      </c>
    </row>
    <row r="14" spans="2:35" x14ac:dyDescent="0.25">
      <c r="B14" s="167">
        <v>45481</v>
      </c>
      <c r="C14" s="224">
        <v>3012</v>
      </c>
      <c r="D14" s="216">
        <v>380</v>
      </c>
      <c r="E14" s="217"/>
      <c r="F14" s="218">
        <f>'Forecast Anual'!$I$11</f>
        <v>75249</v>
      </c>
      <c r="G14" s="218">
        <f>'Forecast Anual'!$I$12</f>
        <v>8608</v>
      </c>
      <c r="H14" s="218">
        <f t="shared" si="4"/>
        <v>78465</v>
      </c>
      <c r="I14" s="219">
        <f t="shared" si="15"/>
        <v>12143</v>
      </c>
      <c r="J14" s="177">
        <f t="shared" si="0"/>
        <v>3.8386541770216019E-2</v>
      </c>
      <c r="K14" s="177">
        <f t="shared" si="1"/>
        <v>3.1293749485300171E-2</v>
      </c>
      <c r="L14" s="177">
        <f t="shared" si="2"/>
        <v>4.0027109994817206E-2</v>
      </c>
      <c r="M14" s="199">
        <f t="shared" si="3"/>
        <v>4.4144981412639409E-2</v>
      </c>
      <c r="N14" s="176">
        <f t="shared" si="16"/>
        <v>2888.5488816669854</v>
      </c>
      <c r="O14" s="220">
        <f t="shared" si="5"/>
        <v>269.37659556946386</v>
      </c>
      <c r="P14" s="221">
        <f t="shared" si="6"/>
        <v>3765</v>
      </c>
      <c r="Q14" s="221">
        <f t="shared" si="7"/>
        <v>475</v>
      </c>
      <c r="R14" s="198" t="str" cm="1">
        <f t="array" ref="R14">_xlfn.IFS(Q14="-","-",Q14&gt;512,"Acima da Capacidade",Q14&lt;512,"-")</f>
        <v>-</v>
      </c>
      <c r="V14" s="178" t="s">
        <v>109</v>
      </c>
      <c r="W14" s="175">
        <f>'Forecast Anual'!I18</f>
        <v>3493</v>
      </c>
      <c r="X14" s="185">
        <f t="shared" si="17"/>
        <v>23</v>
      </c>
      <c r="Y14" s="175">
        <f t="shared" si="8"/>
        <v>151.86956521739131</v>
      </c>
      <c r="Z14" s="175">
        <f t="shared" si="9"/>
        <v>152</v>
      </c>
      <c r="AA14" s="185" t="s">
        <v>206</v>
      </c>
      <c r="AB14" s="161" t="b">
        <f t="shared" si="10"/>
        <v>0</v>
      </c>
      <c r="AD14" s="191">
        <v>45420</v>
      </c>
      <c r="AE14">
        <v>7</v>
      </c>
      <c r="AF14">
        <f t="shared" si="11"/>
        <v>195</v>
      </c>
      <c r="AG14">
        <f t="shared" si="12"/>
        <v>197</v>
      </c>
      <c r="AH14" s="163">
        <f t="shared" si="13"/>
        <v>3.553299492385787E-2</v>
      </c>
      <c r="AI14" s="168">
        <f t="shared" si="14"/>
        <v>6.9289340101522852</v>
      </c>
    </row>
    <row r="15" spans="2:35" x14ac:dyDescent="0.25">
      <c r="B15" s="167">
        <v>45482</v>
      </c>
      <c r="C15" s="216">
        <v>2767</v>
      </c>
      <c r="D15" s="216">
        <v>680</v>
      </c>
      <c r="E15" s="217"/>
      <c r="F15" s="218">
        <f>'Forecast Anual'!$I$11</f>
        <v>75249</v>
      </c>
      <c r="G15" s="218">
        <f>'Forecast Anual'!$I$12</f>
        <v>8608</v>
      </c>
      <c r="H15" s="218">
        <f t="shared" si="4"/>
        <v>78465</v>
      </c>
      <c r="I15" s="219">
        <f t="shared" si="15"/>
        <v>12143</v>
      </c>
      <c r="J15" s="177">
        <f t="shared" si="0"/>
        <v>3.5264130504046393E-2</v>
      </c>
      <c r="K15" s="177">
        <f t="shared" si="1"/>
        <v>5.5999341184221361E-2</v>
      </c>
      <c r="L15" s="177">
        <f t="shared" si="2"/>
        <v>3.6771252774123242E-2</v>
      </c>
      <c r="M15" s="199">
        <f t="shared" si="3"/>
        <v>7.8996282527881045E-2</v>
      </c>
      <c r="N15" s="176">
        <f t="shared" si="16"/>
        <v>2653.5905562989869</v>
      </c>
      <c r="O15" s="220">
        <f t="shared" si="5"/>
        <v>482.04232891377745</v>
      </c>
      <c r="P15" s="221">
        <f t="shared" si="6"/>
        <v>3458.75</v>
      </c>
      <c r="Q15" s="221">
        <f t="shared" si="7"/>
        <v>850</v>
      </c>
      <c r="R15" s="198" t="str" cm="1">
        <f t="array" ref="R15">_xlfn.IFS(Q15="-","-",Q15&gt;512,"Acima da Capacidade",Q15&lt;512,"-")</f>
        <v>Acima da Capacidade</v>
      </c>
      <c r="V15" s="178" t="s">
        <v>110</v>
      </c>
      <c r="W15" s="175">
        <f>'Forecast Anual'!I21</f>
        <v>500</v>
      </c>
      <c r="X15" s="185">
        <f t="shared" si="17"/>
        <v>23</v>
      </c>
      <c r="Y15" s="175">
        <f t="shared" si="8"/>
        <v>21.739130434782609</v>
      </c>
      <c r="Z15" s="175">
        <f t="shared" si="9"/>
        <v>22</v>
      </c>
      <c r="AA15" s="185" t="s">
        <v>207</v>
      </c>
      <c r="AB15" s="161" t="b">
        <f t="shared" si="10"/>
        <v>0</v>
      </c>
      <c r="AD15" s="191">
        <v>45421</v>
      </c>
      <c r="AE15">
        <v>0</v>
      </c>
      <c r="AF15">
        <f t="shared" si="11"/>
        <v>195</v>
      </c>
      <c r="AG15">
        <f t="shared" si="12"/>
        <v>197</v>
      </c>
      <c r="AH15" s="163">
        <f t="shared" si="13"/>
        <v>0</v>
      </c>
      <c r="AI15" s="168">
        <f t="shared" si="14"/>
        <v>0</v>
      </c>
    </row>
    <row r="16" spans="2:35" x14ac:dyDescent="0.25">
      <c r="B16" s="167">
        <v>45483</v>
      </c>
      <c r="C16" s="224">
        <v>2858</v>
      </c>
      <c r="D16" s="216">
        <v>650</v>
      </c>
      <c r="E16" s="217"/>
      <c r="F16" s="218">
        <f>'Forecast Anual'!$I$11</f>
        <v>75249</v>
      </c>
      <c r="G16" s="218">
        <f>'Forecast Anual'!$I$12</f>
        <v>8608</v>
      </c>
      <c r="H16" s="218">
        <f t="shared" si="4"/>
        <v>78465</v>
      </c>
      <c r="I16" s="219">
        <f t="shared" si="15"/>
        <v>12143</v>
      </c>
      <c r="J16" s="177">
        <f t="shared" si="0"/>
        <v>3.6423883260052255E-2</v>
      </c>
      <c r="K16" s="177">
        <f t="shared" si="1"/>
        <v>5.3528782014329243E-2</v>
      </c>
      <c r="L16" s="177">
        <f t="shared" si="2"/>
        <v>3.7980571170380999E-2</v>
      </c>
      <c r="M16" s="199">
        <f t="shared" si="3"/>
        <v>7.5511152416356878E-2</v>
      </c>
      <c r="N16" s="176">
        <f t="shared" si="16"/>
        <v>2740.8607914356721</v>
      </c>
      <c r="O16" s="220">
        <f t="shared" si="5"/>
        <v>460.77575557934614</v>
      </c>
      <c r="P16" s="221">
        <f t="shared" si="6"/>
        <v>3572.5</v>
      </c>
      <c r="Q16" s="221">
        <f t="shared" si="7"/>
        <v>812.5</v>
      </c>
      <c r="R16" s="198" t="str" cm="1">
        <f t="array" ref="R16">_xlfn.IFS(Q16="-","-",Q16&gt;512,"Acima da Capacidade",Q16&lt;512,"-")</f>
        <v>Acima da Capacidade</v>
      </c>
      <c r="V16" s="178" t="s">
        <v>111</v>
      </c>
      <c r="W16" s="175">
        <f>'Forecast Anual'!I17</f>
        <v>9032</v>
      </c>
      <c r="X16" s="185">
        <f t="shared" si="17"/>
        <v>23</v>
      </c>
      <c r="Y16" s="175">
        <f t="shared" si="8"/>
        <v>392.69565217391306</v>
      </c>
      <c r="Z16" s="175">
        <f t="shared" si="9"/>
        <v>393</v>
      </c>
      <c r="AA16" s="185" t="s">
        <v>208</v>
      </c>
      <c r="AB16" s="161" t="b">
        <f t="shared" si="10"/>
        <v>0</v>
      </c>
      <c r="AD16" s="191">
        <v>45422</v>
      </c>
      <c r="AE16">
        <v>7</v>
      </c>
      <c r="AF16">
        <f t="shared" si="11"/>
        <v>195</v>
      </c>
      <c r="AG16">
        <f t="shared" si="12"/>
        <v>197</v>
      </c>
      <c r="AH16" s="163">
        <f t="shared" si="13"/>
        <v>3.553299492385787E-2</v>
      </c>
      <c r="AI16" s="168">
        <f t="shared" si="14"/>
        <v>6.9289340101522852</v>
      </c>
    </row>
    <row r="17" spans="2:35" x14ac:dyDescent="0.25">
      <c r="B17" s="167">
        <v>45484</v>
      </c>
      <c r="C17" s="224">
        <v>2878</v>
      </c>
      <c r="D17" s="216">
        <v>465</v>
      </c>
      <c r="E17" s="225"/>
      <c r="F17" s="218">
        <f>'Forecast Anual'!$I$11</f>
        <v>75249</v>
      </c>
      <c r="G17" s="218">
        <f>'Forecast Anual'!$I$12</f>
        <v>8608</v>
      </c>
      <c r="H17" s="218">
        <f t="shared" si="4"/>
        <v>78465</v>
      </c>
      <c r="I17" s="219">
        <f t="shared" si="15"/>
        <v>12143</v>
      </c>
      <c r="J17" s="177">
        <f t="shared" si="0"/>
        <v>3.6678773975657934E-2</v>
      </c>
      <c r="K17" s="177">
        <f t="shared" si="1"/>
        <v>3.8293667133327845E-2</v>
      </c>
      <c r="L17" s="177">
        <f t="shared" si="2"/>
        <v>3.8246355433294792E-2</v>
      </c>
      <c r="M17" s="199">
        <f t="shared" si="3"/>
        <v>5.4019516728624532E-2</v>
      </c>
      <c r="N17" s="176">
        <f t="shared" si="16"/>
        <v>2760.0410628942841</v>
      </c>
      <c r="O17" s="220">
        <f t="shared" si="5"/>
        <v>329.6318866836861</v>
      </c>
      <c r="P17" s="221">
        <f t="shared" si="6"/>
        <v>3597.5</v>
      </c>
      <c r="Q17" s="221">
        <f t="shared" si="7"/>
        <v>581.25</v>
      </c>
      <c r="R17" s="198" t="str" cm="1">
        <f t="array" ref="R17">_xlfn.IFS(Q17="-","-",Q17&gt;512,"Acima da Capacidade",Q17&lt;512,"-")</f>
        <v>Acima da Capacidade</v>
      </c>
      <c r="V17" s="178" t="s">
        <v>200</v>
      </c>
      <c r="W17" s="175">
        <f>'Forecast Anual'!I6</f>
        <v>1761</v>
      </c>
      <c r="X17" s="185">
        <f t="shared" si="17"/>
        <v>23</v>
      </c>
      <c r="Y17" s="175">
        <f t="shared" si="8"/>
        <v>76.565217391304344</v>
      </c>
      <c r="Z17" s="175">
        <f t="shared" si="9"/>
        <v>77</v>
      </c>
      <c r="AA17" s="185" t="s">
        <v>209</v>
      </c>
      <c r="AB17" s="161" t="b">
        <f t="shared" si="10"/>
        <v>0</v>
      </c>
      <c r="AD17" s="191">
        <v>45423</v>
      </c>
      <c r="AE17">
        <v>8</v>
      </c>
      <c r="AF17">
        <f t="shared" si="11"/>
        <v>195</v>
      </c>
      <c r="AG17">
        <f t="shared" si="12"/>
        <v>197</v>
      </c>
      <c r="AH17" s="163">
        <f t="shared" si="13"/>
        <v>4.060913705583756E-2</v>
      </c>
      <c r="AI17" s="168">
        <f t="shared" si="14"/>
        <v>7.9187817258883246</v>
      </c>
    </row>
    <row r="18" spans="2:35" x14ac:dyDescent="0.25">
      <c r="B18" s="167">
        <v>45485</v>
      </c>
      <c r="C18" s="224">
        <v>2767</v>
      </c>
      <c r="D18" s="216">
        <v>450</v>
      </c>
      <c r="E18" s="217"/>
      <c r="F18" s="218">
        <f>'Forecast Anual'!$I$11</f>
        <v>75249</v>
      </c>
      <c r="G18" s="218">
        <f>'Forecast Anual'!$I$12</f>
        <v>8608</v>
      </c>
      <c r="H18" s="218">
        <f t="shared" si="4"/>
        <v>78465</v>
      </c>
      <c r="I18" s="219">
        <f t="shared" si="15"/>
        <v>12143</v>
      </c>
      <c r="J18" s="177">
        <f t="shared" si="0"/>
        <v>3.5264130504046393E-2</v>
      </c>
      <c r="K18" s="177">
        <f t="shared" si="1"/>
        <v>3.7058387548381783E-2</v>
      </c>
      <c r="L18" s="177">
        <f t="shared" si="2"/>
        <v>3.6771252774123242E-2</v>
      </c>
      <c r="M18" s="199">
        <f t="shared" si="3"/>
        <v>5.2276951672862455E-2</v>
      </c>
      <c r="N18" s="176">
        <f t="shared" si="16"/>
        <v>2653.5905562989869</v>
      </c>
      <c r="O18" s="220">
        <f t="shared" si="5"/>
        <v>318.99860001647039</v>
      </c>
      <c r="P18" s="221">
        <f t="shared" si="6"/>
        <v>3458.75</v>
      </c>
      <c r="Q18" s="221">
        <f t="shared" si="7"/>
        <v>562.5</v>
      </c>
      <c r="R18" s="198" t="str" cm="1">
        <f t="array" ref="R18">_xlfn.IFS(Q18="-","-",Q18&gt;512,"Acima da Capacidade",Q18&lt;512,"-")</f>
        <v>Acima da Capacidade</v>
      </c>
      <c r="V18" s="179" t="s">
        <v>201</v>
      </c>
      <c r="W18" s="175">
        <f>'Forecast Anual'!I7</f>
        <v>199</v>
      </c>
      <c r="X18" s="185">
        <f t="shared" si="17"/>
        <v>23</v>
      </c>
      <c r="Y18" s="175">
        <f t="shared" si="8"/>
        <v>8.6521739130434785</v>
      </c>
      <c r="Z18" s="175">
        <f t="shared" si="9"/>
        <v>9</v>
      </c>
      <c r="AA18" s="185" t="s">
        <v>204</v>
      </c>
      <c r="AB18" s="161" t="b">
        <f t="shared" si="10"/>
        <v>0</v>
      </c>
      <c r="AD18" s="191">
        <v>45424</v>
      </c>
      <c r="AE18">
        <v>9</v>
      </c>
      <c r="AF18">
        <f t="shared" si="11"/>
        <v>195</v>
      </c>
      <c r="AG18">
        <f t="shared" si="12"/>
        <v>197</v>
      </c>
      <c r="AH18" s="163">
        <f t="shared" si="13"/>
        <v>4.5685279187817257E-2</v>
      </c>
      <c r="AI18" s="168">
        <f t="shared" si="14"/>
        <v>8.908629441624365</v>
      </c>
    </row>
    <row r="19" spans="2:35" x14ac:dyDescent="0.25">
      <c r="B19" s="167">
        <v>45486</v>
      </c>
      <c r="C19" s="224">
        <v>0</v>
      </c>
      <c r="D19" s="216">
        <v>0</v>
      </c>
      <c r="E19" s="217"/>
      <c r="F19" s="218">
        <f>'Forecast Anual'!$I$11</f>
        <v>75249</v>
      </c>
      <c r="G19" s="218">
        <f>'Forecast Anual'!$I$12</f>
        <v>8608</v>
      </c>
      <c r="H19" s="218">
        <f t="shared" si="4"/>
        <v>78465</v>
      </c>
      <c r="I19" s="219">
        <f t="shared" si="15"/>
        <v>12143</v>
      </c>
      <c r="J19" s="177">
        <f t="shared" si="0"/>
        <v>0</v>
      </c>
      <c r="K19" s="177">
        <f t="shared" si="1"/>
        <v>0</v>
      </c>
      <c r="L19" s="177">
        <f t="shared" si="2"/>
        <v>0</v>
      </c>
      <c r="M19" s="199">
        <f t="shared" si="3"/>
        <v>0</v>
      </c>
      <c r="N19" s="176">
        <f t="shared" si="16"/>
        <v>0</v>
      </c>
      <c r="O19" s="220">
        <f t="shared" si="5"/>
        <v>0</v>
      </c>
      <c r="P19" s="221" t="str">
        <f t="shared" si="6"/>
        <v>-</v>
      </c>
      <c r="Q19" s="221" t="str">
        <f t="shared" si="7"/>
        <v>-</v>
      </c>
      <c r="R19" s="198" t="str" cm="1">
        <f t="array" ref="R19">_xlfn.IFS(Q19="-","-",Q19&gt;512,"Acima da Capacidade",Q19&lt;512,"-")</f>
        <v>-</v>
      </c>
      <c r="Y19" s="162"/>
      <c r="Z19" s="162"/>
      <c r="AD19" s="191">
        <v>45425</v>
      </c>
      <c r="AE19">
        <v>8</v>
      </c>
      <c r="AF19">
        <f t="shared" si="11"/>
        <v>195</v>
      </c>
      <c r="AG19">
        <f t="shared" si="12"/>
        <v>197</v>
      </c>
      <c r="AH19" s="163">
        <f t="shared" si="13"/>
        <v>4.060913705583756E-2</v>
      </c>
      <c r="AI19" s="168">
        <f t="shared" si="14"/>
        <v>7.9187817258883246</v>
      </c>
    </row>
    <row r="20" spans="2:35" x14ac:dyDescent="0.25">
      <c r="B20" s="167">
        <v>45487</v>
      </c>
      <c r="C20" s="224">
        <v>3232</v>
      </c>
      <c r="D20" s="216">
        <v>345</v>
      </c>
      <c r="E20" s="217"/>
      <c r="F20" s="218">
        <f>'Forecast Anual'!$I$11</f>
        <v>75249</v>
      </c>
      <c r="G20" s="218">
        <f>'Forecast Anual'!$I$12</f>
        <v>8608</v>
      </c>
      <c r="H20" s="218">
        <f t="shared" si="4"/>
        <v>78465</v>
      </c>
      <c r="I20" s="219">
        <f t="shared" si="15"/>
        <v>12143</v>
      </c>
      <c r="J20" s="177">
        <f t="shared" si="0"/>
        <v>4.1190339641878543E-2</v>
      </c>
      <c r="K20" s="177">
        <f t="shared" si="1"/>
        <v>2.8411430453759368E-2</v>
      </c>
      <c r="L20" s="177">
        <f t="shared" si="2"/>
        <v>4.2950736886868929E-2</v>
      </c>
      <c r="M20" s="199">
        <f t="shared" si="3"/>
        <v>4.0078996282527882E-2</v>
      </c>
      <c r="N20" s="176">
        <f t="shared" si="16"/>
        <v>3099.5318677117184</v>
      </c>
      <c r="O20" s="220">
        <f t="shared" si="5"/>
        <v>244.56559334596065</v>
      </c>
      <c r="P20" s="221">
        <f t="shared" si="6"/>
        <v>4040</v>
      </c>
      <c r="Q20" s="221">
        <f t="shared" si="7"/>
        <v>431.25</v>
      </c>
      <c r="R20" s="198" t="str" cm="1">
        <f t="array" ref="R20">_xlfn.IFS(Q20="-","-",Q20&gt;512,"Acima da Capacidade",Q20&lt;512,"-")</f>
        <v>-</v>
      </c>
      <c r="Y20" s="162"/>
      <c r="Z20" s="162"/>
      <c r="AD20" s="191">
        <v>45426</v>
      </c>
      <c r="AE20">
        <v>9</v>
      </c>
      <c r="AF20">
        <f t="shared" si="11"/>
        <v>195</v>
      </c>
      <c r="AG20">
        <f t="shared" si="12"/>
        <v>197</v>
      </c>
      <c r="AH20" s="163">
        <f t="shared" si="13"/>
        <v>4.5685279187817257E-2</v>
      </c>
      <c r="AI20" s="168">
        <f t="shared" si="14"/>
        <v>8.908629441624365</v>
      </c>
    </row>
    <row r="21" spans="2:35" x14ac:dyDescent="0.25">
      <c r="B21" s="167">
        <v>45488</v>
      </c>
      <c r="C21" s="224">
        <v>3192</v>
      </c>
      <c r="D21" s="216">
        <v>285</v>
      </c>
      <c r="E21" s="217"/>
      <c r="F21" s="218">
        <f>'Forecast Anual'!$I$11</f>
        <v>75249</v>
      </c>
      <c r="G21" s="218">
        <f>'Forecast Anual'!$I$12</f>
        <v>8608</v>
      </c>
      <c r="H21" s="218">
        <f t="shared" si="4"/>
        <v>78465</v>
      </c>
      <c r="I21" s="219">
        <f t="shared" si="15"/>
        <v>12143</v>
      </c>
      <c r="J21" s="177">
        <f t="shared" si="0"/>
        <v>4.0680558210667177E-2</v>
      </c>
      <c r="K21" s="177">
        <f t="shared" si="1"/>
        <v>2.3470312113975128E-2</v>
      </c>
      <c r="L21" s="177">
        <f t="shared" si="2"/>
        <v>4.2419168361041343E-2</v>
      </c>
      <c r="M21" s="199">
        <f t="shared" si="3"/>
        <v>3.3108736059479553E-2</v>
      </c>
      <c r="N21" s="176">
        <f t="shared" si="16"/>
        <v>3061.1713247944945</v>
      </c>
      <c r="O21" s="220">
        <f t="shared" si="5"/>
        <v>202.03244667709791</v>
      </c>
      <c r="P21" s="221">
        <f t="shared" si="6"/>
        <v>3990</v>
      </c>
      <c r="Q21" s="221">
        <f t="shared" si="7"/>
        <v>356.25</v>
      </c>
      <c r="R21" s="198" t="str" cm="1">
        <f t="array" ref="R21">_xlfn.IFS(Q21="-","-",Q21&gt;512,"Acima da Capacidade",Q21&lt;512,"-")</f>
        <v>-</v>
      </c>
      <c r="Y21" s="162"/>
      <c r="Z21" s="162"/>
      <c r="AD21" s="191">
        <v>45427</v>
      </c>
      <c r="AE21">
        <v>7</v>
      </c>
      <c r="AF21">
        <f t="shared" si="11"/>
        <v>195</v>
      </c>
      <c r="AG21">
        <f t="shared" si="12"/>
        <v>197</v>
      </c>
      <c r="AH21" s="163">
        <f t="shared" si="13"/>
        <v>3.553299492385787E-2</v>
      </c>
      <c r="AI21" s="168">
        <f t="shared" si="14"/>
        <v>6.9289340101522852</v>
      </c>
    </row>
    <row r="22" spans="2:35" x14ac:dyDescent="0.25">
      <c r="B22" s="167">
        <v>45489</v>
      </c>
      <c r="C22" s="216">
        <v>2900</v>
      </c>
      <c r="D22" s="216">
        <v>491</v>
      </c>
      <c r="E22" s="217"/>
      <c r="F22" s="218">
        <f>'Forecast Anual'!$I$11</f>
        <v>75249</v>
      </c>
      <c r="G22" s="218">
        <f>'Forecast Anual'!$I$12</f>
        <v>8608</v>
      </c>
      <c r="H22" s="218">
        <f t="shared" si="4"/>
        <v>78465</v>
      </c>
      <c r="I22" s="219">
        <f t="shared" si="15"/>
        <v>12143</v>
      </c>
      <c r="J22" s="177">
        <f t="shared" si="0"/>
        <v>3.6959153762824187E-2</v>
      </c>
      <c r="K22" s="177">
        <f t="shared" si="1"/>
        <v>4.0434818413901015E-2</v>
      </c>
      <c r="L22" s="177">
        <f t="shared" si="2"/>
        <v>3.8538718122499968E-2</v>
      </c>
      <c r="M22" s="199">
        <f t="shared" si="3"/>
        <v>5.703996282527881E-2</v>
      </c>
      <c r="N22" s="176">
        <f t="shared" si="16"/>
        <v>2781.1393614987574</v>
      </c>
      <c r="O22" s="220">
        <f t="shared" si="5"/>
        <v>348.06291690685993</v>
      </c>
      <c r="P22" s="221">
        <f t="shared" si="6"/>
        <v>3625</v>
      </c>
      <c r="Q22" s="221">
        <f t="shared" si="7"/>
        <v>613.75</v>
      </c>
      <c r="R22" s="198" t="str" cm="1">
        <f t="array" ref="R22">_xlfn.IFS(Q22="-","-",Q22&gt;512,"Acima da Capacidade",Q22&lt;512,"-")</f>
        <v>Acima da Capacidade</v>
      </c>
      <c r="Y22" s="162"/>
      <c r="Z22" s="162"/>
      <c r="AD22" s="191">
        <v>45428</v>
      </c>
      <c r="AE22">
        <v>0</v>
      </c>
      <c r="AF22">
        <f t="shared" si="11"/>
        <v>195</v>
      </c>
      <c r="AG22">
        <f t="shared" si="12"/>
        <v>197</v>
      </c>
      <c r="AH22" s="163">
        <f t="shared" si="13"/>
        <v>0</v>
      </c>
      <c r="AI22" s="168">
        <f t="shared" si="14"/>
        <v>0</v>
      </c>
    </row>
    <row r="23" spans="2:35" x14ac:dyDescent="0.25">
      <c r="B23" s="167">
        <v>45490</v>
      </c>
      <c r="C23" s="224">
        <v>2565</v>
      </c>
      <c r="D23" s="216">
        <v>356</v>
      </c>
      <c r="E23" s="217"/>
      <c r="F23" s="218">
        <f>'Forecast Anual'!$I$11</f>
        <v>75249</v>
      </c>
      <c r="G23" s="218">
        <f>'Forecast Anual'!$I$12</f>
        <v>8608</v>
      </c>
      <c r="H23" s="218">
        <f t="shared" si="4"/>
        <v>78465</v>
      </c>
      <c r="I23" s="219">
        <f t="shared" si="15"/>
        <v>12143</v>
      </c>
      <c r="J23" s="177">
        <f t="shared" si="0"/>
        <v>3.2689734276428982E-2</v>
      </c>
      <c r="K23" s="177">
        <f t="shared" si="1"/>
        <v>2.9317302149386479E-2</v>
      </c>
      <c r="L23" s="177">
        <f t="shared" si="2"/>
        <v>3.4086831718693936E-2</v>
      </c>
      <c r="M23" s="199">
        <f t="shared" si="3"/>
        <v>4.1356877323420076E-2</v>
      </c>
      <c r="N23" s="176">
        <f t="shared" si="16"/>
        <v>2459.8698145670046</v>
      </c>
      <c r="O23" s="220">
        <f t="shared" si="5"/>
        <v>252.36333690191881</v>
      </c>
      <c r="P23" s="221">
        <f t="shared" si="6"/>
        <v>3206.25</v>
      </c>
      <c r="Q23" s="221">
        <f t="shared" si="7"/>
        <v>445</v>
      </c>
      <c r="R23" s="198" t="str" cm="1">
        <f t="array" ref="R23">_xlfn.IFS(Q23="-","-",Q23&gt;512,"Acima da Capacidade",Q23&lt;512,"-")</f>
        <v>-</v>
      </c>
      <c r="Y23" s="162"/>
      <c r="Z23" s="162"/>
      <c r="AD23" s="119">
        <v>45429</v>
      </c>
      <c r="AE23">
        <v>6</v>
      </c>
      <c r="AF23">
        <f t="shared" si="11"/>
        <v>195</v>
      </c>
      <c r="AG23">
        <f t="shared" si="12"/>
        <v>197</v>
      </c>
      <c r="AH23" s="163">
        <f t="shared" si="13"/>
        <v>3.0456852791878174E-2</v>
      </c>
      <c r="AI23" s="162">
        <f t="shared" si="14"/>
        <v>5.9390862944162439</v>
      </c>
    </row>
    <row r="24" spans="2:35" x14ac:dyDescent="0.25">
      <c r="B24" s="167">
        <v>45491</v>
      </c>
      <c r="C24" s="224">
        <v>2765</v>
      </c>
      <c r="D24" s="216">
        <v>459</v>
      </c>
      <c r="E24" s="217"/>
      <c r="F24" s="218">
        <f>'Forecast Anual'!$I$11</f>
        <v>75249</v>
      </c>
      <c r="G24" s="218">
        <f>'Forecast Anual'!$I$12</f>
        <v>8608</v>
      </c>
      <c r="H24" s="218">
        <f t="shared" si="4"/>
        <v>78465</v>
      </c>
      <c r="I24" s="219">
        <f t="shared" si="15"/>
        <v>12143</v>
      </c>
      <c r="J24" s="177">
        <f t="shared" si="0"/>
        <v>3.5238641432485819E-2</v>
      </c>
      <c r="K24" s="177">
        <f t="shared" si="1"/>
        <v>3.7799555299349419E-2</v>
      </c>
      <c r="L24" s="177">
        <f t="shared" si="2"/>
        <v>3.6744674347831865E-2</v>
      </c>
      <c r="M24" s="199">
        <f t="shared" si="3"/>
        <v>5.3322490706319704E-2</v>
      </c>
      <c r="N24" s="176">
        <f t="shared" si="16"/>
        <v>2651.6725291531252</v>
      </c>
      <c r="O24" s="220">
        <f t="shared" si="5"/>
        <v>325.37857201679981</v>
      </c>
      <c r="P24" s="221">
        <f t="shared" si="6"/>
        <v>3456.25</v>
      </c>
      <c r="Q24" s="221">
        <f t="shared" si="7"/>
        <v>573.75</v>
      </c>
      <c r="R24" s="198" t="str" cm="1">
        <f t="array" ref="R24">_xlfn.IFS(Q24="-","-",Q24&gt;512,"Acima da Capacidade",Q24&lt;512,"-")</f>
        <v>Acima da Capacidade</v>
      </c>
      <c r="Y24" s="162"/>
      <c r="Z24" s="162"/>
      <c r="AD24" s="191">
        <v>45430</v>
      </c>
      <c r="AE24">
        <v>8</v>
      </c>
      <c r="AF24">
        <f t="shared" si="11"/>
        <v>195</v>
      </c>
      <c r="AG24">
        <f t="shared" si="12"/>
        <v>197</v>
      </c>
      <c r="AH24" s="163">
        <f t="shared" si="13"/>
        <v>4.060913705583756E-2</v>
      </c>
      <c r="AI24" s="168">
        <f t="shared" si="14"/>
        <v>7.9187817258883246</v>
      </c>
    </row>
    <row r="25" spans="2:35" x14ac:dyDescent="0.25">
      <c r="B25" s="167">
        <v>45492</v>
      </c>
      <c r="C25" s="224">
        <v>2673</v>
      </c>
      <c r="D25" s="216">
        <v>356</v>
      </c>
      <c r="E25" s="217"/>
      <c r="F25" s="218">
        <f>'Forecast Anual'!$I$11</f>
        <v>75249</v>
      </c>
      <c r="G25" s="218">
        <f>'Forecast Anual'!$I$12</f>
        <v>8608</v>
      </c>
      <c r="H25" s="218">
        <f t="shared" si="4"/>
        <v>78465</v>
      </c>
      <c r="I25" s="219">
        <f t="shared" si="15"/>
        <v>12143</v>
      </c>
      <c r="J25" s="177">
        <f t="shared" si="0"/>
        <v>3.4066144140699674E-2</v>
      </c>
      <c r="K25" s="177">
        <f t="shared" si="1"/>
        <v>2.9317302149386479E-2</v>
      </c>
      <c r="L25" s="177">
        <f t="shared" si="2"/>
        <v>3.5522066738428421E-2</v>
      </c>
      <c r="M25" s="199">
        <f t="shared" si="3"/>
        <v>4.1356877323420076E-2</v>
      </c>
      <c r="N25" s="176">
        <f t="shared" si="16"/>
        <v>2563.4432804435096</v>
      </c>
      <c r="O25" s="220">
        <f t="shared" si="5"/>
        <v>252.36333690191881</v>
      </c>
      <c r="P25" s="221">
        <f t="shared" si="6"/>
        <v>3341.25</v>
      </c>
      <c r="Q25" s="221">
        <f t="shared" si="7"/>
        <v>445</v>
      </c>
      <c r="R25" s="198" t="str" cm="1">
        <f t="array" ref="R25">_xlfn.IFS(Q25="-","-",Q25&gt;512,"Acima da Capacidade",Q25&lt;512,"-")</f>
        <v>-</v>
      </c>
      <c r="Y25" s="162"/>
      <c r="Z25" s="162"/>
      <c r="AD25" s="191">
        <v>45431</v>
      </c>
      <c r="AE25">
        <v>10</v>
      </c>
      <c r="AF25">
        <f t="shared" si="11"/>
        <v>195</v>
      </c>
      <c r="AG25">
        <f t="shared" si="12"/>
        <v>197</v>
      </c>
      <c r="AH25" s="163">
        <f t="shared" si="13"/>
        <v>5.0761421319796954E-2</v>
      </c>
      <c r="AI25" s="168">
        <f t="shared" si="14"/>
        <v>9.8984771573604053</v>
      </c>
    </row>
    <row r="26" spans="2:35" x14ac:dyDescent="0.25">
      <c r="B26" s="167">
        <v>45493</v>
      </c>
      <c r="C26" s="224">
        <v>0</v>
      </c>
      <c r="D26" s="216">
        <v>0</v>
      </c>
      <c r="E26" s="217"/>
      <c r="F26" s="218">
        <f>'Forecast Anual'!$I$11</f>
        <v>75249</v>
      </c>
      <c r="G26" s="218">
        <f>'Forecast Anual'!$I$12</f>
        <v>8608</v>
      </c>
      <c r="H26" s="218">
        <f t="shared" si="4"/>
        <v>78465</v>
      </c>
      <c r="I26" s="219">
        <f t="shared" si="15"/>
        <v>12143</v>
      </c>
      <c r="J26" s="177">
        <f t="shared" si="0"/>
        <v>0</v>
      </c>
      <c r="K26" s="177">
        <f t="shared" si="1"/>
        <v>0</v>
      </c>
      <c r="L26" s="177">
        <f t="shared" si="2"/>
        <v>0</v>
      </c>
      <c r="M26" s="199">
        <f t="shared" si="3"/>
        <v>0</v>
      </c>
      <c r="N26" s="176">
        <f t="shared" si="16"/>
        <v>0</v>
      </c>
      <c r="O26" s="220">
        <f t="shared" si="5"/>
        <v>0</v>
      </c>
      <c r="P26" s="221" t="str">
        <f t="shared" si="6"/>
        <v>-</v>
      </c>
      <c r="Q26" s="221" t="str">
        <f t="shared" si="7"/>
        <v>-</v>
      </c>
      <c r="R26" s="198" t="str" cm="1">
        <f t="array" ref="R26">_xlfn.IFS(Q26="-","-",Q26&gt;512,"Acima da Capacidade",Q26&lt;512,"-")</f>
        <v>-</v>
      </c>
      <c r="Y26" s="162"/>
      <c r="Z26" s="162"/>
      <c r="AD26" s="191">
        <v>45432</v>
      </c>
      <c r="AE26">
        <v>7</v>
      </c>
      <c r="AF26">
        <f t="shared" si="11"/>
        <v>195</v>
      </c>
      <c r="AG26">
        <f t="shared" si="12"/>
        <v>197</v>
      </c>
      <c r="AH26" s="163">
        <f t="shared" si="13"/>
        <v>3.553299492385787E-2</v>
      </c>
      <c r="AI26" s="168">
        <f t="shared" si="14"/>
        <v>6.9289340101522852</v>
      </c>
    </row>
    <row r="27" spans="2:35" x14ac:dyDescent="0.25">
      <c r="B27" s="167">
        <v>45494</v>
      </c>
      <c r="C27" s="224">
        <v>2876</v>
      </c>
      <c r="D27" s="216">
        <v>306</v>
      </c>
      <c r="E27" s="217"/>
      <c r="F27" s="218">
        <f>'Forecast Anual'!$I$11</f>
        <v>75249</v>
      </c>
      <c r="G27" s="218">
        <f>'Forecast Anual'!$I$12</f>
        <v>8608</v>
      </c>
      <c r="H27" s="218">
        <f t="shared" si="4"/>
        <v>78465</v>
      </c>
      <c r="I27" s="219">
        <f t="shared" si="15"/>
        <v>12143</v>
      </c>
      <c r="J27" s="177">
        <f t="shared" si="0"/>
        <v>3.6653284904097368E-2</v>
      </c>
      <c r="K27" s="177">
        <f t="shared" si="1"/>
        <v>2.5199703532899614E-2</v>
      </c>
      <c r="L27" s="177">
        <f t="shared" si="2"/>
        <v>3.8219777007003415E-2</v>
      </c>
      <c r="M27" s="199">
        <f t="shared" si="3"/>
        <v>3.5548327137546472E-2</v>
      </c>
      <c r="N27" s="176">
        <f t="shared" si="16"/>
        <v>2758.1230357484228</v>
      </c>
      <c r="O27" s="220">
        <f t="shared" si="5"/>
        <v>216.91904801119986</v>
      </c>
      <c r="P27" s="221">
        <f t="shared" si="6"/>
        <v>3595</v>
      </c>
      <c r="Q27" s="221">
        <f t="shared" si="7"/>
        <v>382.5</v>
      </c>
      <c r="R27" s="198" t="str" cm="1">
        <f t="array" ref="R27">_xlfn.IFS(Q27="-","-",Q27&gt;512,"Acima da Capacidade",Q27&lt;512,"-")</f>
        <v>-</v>
      </c>
      <c r="Y27" s="162"/>
      <c r="Z27" s="162"/>
      <c r="AD27" s="191">
        <v>45433</v>
      </c>
      <c r="AE27">
        <v>9</v>
      </c>
      <c r="AF27">
        <f t="shared" si="11"/>
        <v>195</v>
      </c>
      <c r="AG27">
        <f t="shared" si="12"/>
        <v>197</v>
      </c>
      <c r="AH27" s="163">
        <f t="shared" si="13"/>
        <v>4.5685279187817257E-2</v>
      </c>
      <c r="AI27" s="168">
        <f t="shared" si="14"/>
        <v>8.908629441624365</v>
      </c>
    </row>
    <row r="28" spans="2:35" x14ac:dyDescent="0.25">
      <c r="B28" s="167">
        <v>45495</v>
      </c>
      <c r="C28" s="224">
        <v>2685</v>
      </c>
      <c r="D28" s="216">
        <v>217</v>
      </c>
      <c r="E28" s="217"/>
      <c r="F28" s="218">
        <f>'Forecast Anual'!$I$11</f>
        <v>75249</v>
      </c>
      <c r="G28" s="218">
        <f>'Forecast Anual'!$I$12</f>
        <v>8608</v>
      </c>
      <c r="H28" s="218">
        <f t="shared" si="4"/>
        <v>78465</v>
      </c>
      <c r="I28" s="219">
        <f t="shared" si="15"/>
        <v>12143</v>
      </c>
      <c r="J28" s="177">
        <f t="shared" si="0"/>
        <v>3.4219078570063087E-2</v>
      </c>
      <c r="K28" s="177">
        <f t="shared" si="1"/>
        <v>1.7870377995552994E-2</v>
      </c>
      <c r="L28" s="177">
        <f t="shared" si="2"/>
        <v>3.5681537296176694E-2</v>
      </c>
      <c r="M28" s="199">
        <f t="shared" si="3"/>
        <v>2.5209107806691451E-2</v>
      </c>
      <c r="N28" s="176">
        <f t="shared" si="16"/>
        <v>2574.9514433186773</v>
      </c>
      <c r="O28" s="220">
        <f t="shared" si="5"/>
        <v>153.82821378572018</v>
      </c>
      <c r="P28" s="221">
        <f t="shared" si="6"/>
        <v>3356.25</v>
      </c>
      <c r="Q28" s="221">
        <f t="shared" si="7"/>
        <v>271.25</v>
      </c>
      <c r="R28" s="198" t="str" cm="1">
        <f t="array" ref="R28">_xlfn.IFS(Q28="-","-",Q28&gt;512,"Acima da Capacidade",Q28&lt;512,"-")</f>
        <v>-</v>
      </c>
      <c r="Y28" s="162"/>
      <c r="Z28" s="162"/>
      <c r="AD28" s="191">
        <v>45434</v>
      </c>
      <c r="AE28">
        <v>7</v>
      </c>
      <c r="AF28">
        <f t="shared" si="11"/>
        <v>195</v>
      </c>
      <c r="AG28">
        <f t="shared" si="12"/>
        <v>197</v>
      </c>
      <c r="AH28" s="163">
        <f t="shared" si="13"/>
        <v>3.553299492385787E-2</v>
      </c>
      <c r="AI28" s="168">
        <f t="shared" si="14"/>
        <v>6.9289340101522852</v>
      </c>
    </row>
    <row r="29" spans="2:35" x14ac:dyDescent="0.25">
      <c r="B29" s="167">
        <v>45496</v>
      </c>
      <c r="C29" s="216">
        <v>2864</v>
      </c>
      <c r="D29" s="216">
        <v>518</v>
      </c>
      <c r="E29" s="217"/>
      <c r="F29" s="218">
        <f>'Forecast Anual'!$I$11</f>
        <v>75249</v>
      </c>
      <c r="G29" s="218">
        <f>'Forecast Anual'!$I$12</f>
        <v>8608</v>
      </c>
      <c r="H29" s="218">
        <f t="shared" si="4"/>
        <v>78465</v>
      </c>
      <c r="I29" s="219">
        <f t="shared" si="15"/>
        <v>12143</v>
      </c>
      <c r="J29" s="177">
        <f t="shared" si="0"/>
        <v>3.6500350474733954E-2</v>
      </c>
      <c r="K29" s="177">
        <f t="shared" si="1"/>
        <v>4.2658321666803917E-2</v>
      </c>
      <c r="L29" s="177">
        <f t="shared" si="2"/>
        <v>3.8060306449255142E-2</v>
      </c>
      <c r="M29" s="199">
        <f t="shared" si="3"/>
        <v>6.0176579925650557E-2</v>
      </c>
      <c r="N29" s="176">
        <f t="shared" si="16"/>
        <v>2746.6148728732555</v>
      </c>
      <c r="O29" s="220">
        <f t="shared" si="5"/>
        <v>367.20283290784812</v>
      </c>
      <c r="P29" s="221">
        <f t="shared" si="6"/>
        <v>3580</v>
      </c>
      <c r="Q29" s="221">
        <f t="shared" si="7"/>
        <v>647.5</v>
      </c>
      <c r="R29" s="198" t="str" cm="1">
        <f t="array" ref="R29">_xlfn.IFS(Q29="-","-",Q29&gt;512,"Acima da Capacidade",Q29&lt;512,"-")</f>
        <v>Acima da Capacidade</v>
      </c>
      <c r="Y29" s="162"/>
      <c r="Z29" s="162"/>
      <c r="AD29" s="191">
        <v>45435</v>
      </c>
      <c r="AE29">
        <v>0</v>
      </c>
      <c r="AF29">
        <f t="shared" si="11"/>
        <v>195</v>
      </c>
      <c r="AG29">
        <f t="shared" si="12"/>
        <v>197</v>
      </c>
      <c r="AH29" s="163">
        <f t="shared" si="13"/>
        <v>0</v>
      </c>
      <c r="AI29" s="168">
        <f t="shared" si="14"/>
        <v>0</v>
      </c>
    </row>
    <row r="30" spans="2:35" x14ac:dyDescent="0.25">
      <c r="B30" s="167">
        <v>45497</v>
      </c>
      <c r="C30" s="224">
        <v>2486</v>
      </c>
      <c r="D30" s="216">
        <v>355</v>
      </c>
      <c r="E30" s="217"/>
      <c r="F30" s="218">
        <f>'Forecast Anual'!$I$11</f>
        <v>75249</v>
      </c>
      <c r="G30" s="218">
        <f>'Forecast Anual'!$I$12</f>
        <v>8608</v>
      </c>
      <c r="H30" s="218">
        <f t="shared" si="4"/>
        <v>78465</v>
      </c>
      <c r="I30" s="219">
        <f t="shared" si="15"/>
        <v>12143</v>
      </c>
      <c r="J30" s="177">
        <f t="shared" si="0"/>
        <v>3.1682915949786526E-2</v>
      </c>
      <c r="K30" s="177">
        <f t="shared" si="1"/>
        <v>2.923495017705674E-2</v>
      </c>
      <c r="L30" s="177">
        <f t="shared" si="2"/>
        <v>3.3036983880184452E-2</v>
      </c>
      <c r="M30" s="199">
        <f t="shared" si="3"/>
        <v>4.12407063197026E-2</v>
      </c>
      <c r="N30" s="176">
        <f t="shared" si="16"/>
        <v>2384.1077423054862</v>
      </c>
      <c r="O30" s="220">
        <f t="shared" si="5"/>
        <v>251.65445112410441</v>
      </c>
      <c r="P30" s="221">
        <f t="shared" si="6"/>
        <v>3107.5</v>
      </c>
      <c r="Q30" s="221">
        <f t="shared" si="7"/>
        <v>443.75</v>
      </c>
      <c r="R30" s="198" t="str" cm="1">
        <f t="array" ref="R30">_xlfn.IFS(Q30="-","-",Q30&gt;512,"Acima da Capacidade",Q30&lt;512,"-")</f>
        <v>-</v>
      </c>
      <c r="Y30" s="162"/>
      <c r="Z30" s="162"/>
      <c r="AD30" s="191">
        <v>45436</v>
      </c>
      <c r="AE30">
        <v>6</v>
      </c>
      <c r="AF30">
        <f t="shared" si="11"/>
        <v>195</v>
      </c>
      <c r="AG30">
        <f t="shared" si="12"/>
        <v>197</v>
      </c>
      <c r="AH30" s="163">
        <f t="shared" si="13"/>
        <v>3.0456852791878174E-2</v>
      </c>
      <c r="AI30" s="168">
        <f t="shared" si="14"/>
        <v>5.9390862944162439</v>
      </c>
    </row>
    <row r="31" spans="2:35" x14ac:dyDescent="0.25">
      <c r="B31" s="167">
        <v>45498</v>
      </c>
      <c r="C31" s="224">
        <v>2679</v>
      </c>
      <c r="D31" s="216">
        <v>428</v>
      </c>
      <c r="E31" s="225"/>
      <c r="F31" s="218">
        <f>'Forecast Anual'!$I$11</f>
        <v>75249</v>
      </c>
      <c r="G31" s="218">
        <f>'Forecast Anual'!$I$12</f>
        <v>8608</v>
      </c>
      <c r="H31" s="218">
        <f t="shared" si="4"/>
        <v>78465</v>
      </c>
      <c r="I31" s="219">
        <f t="shared" si="15"/>
        <v>12143</v>
      </c>
      <c r="J31" s="177">
        <f t="shared" si="0"/>
        <v>3.414261135538138E-2</v>
      </c>
      <c r="K31" s="177">
        <f t="shared" si="1"/>
        <v>3.5246644157127562E-2</v>
      </c>
      <c r="L31" s="177">
        <f t="shared" si="2"/>
        <v>3.5601802017302557E-2</v>
      </c>
      <c r="M31" s="199">
        <f t="shared" si="3"/>
        <v>4.9721189591078067E-2</v>
      </c>
      <c r="N31" s="176">
        <f t="shared" si="16"/>
        <v>2569.1973618810935</v>
      </c>
      <c r="O31" s="220">
        <f t="shared" si="5"/>
        <v>303.40311290455406</v>
      </c>
      <c r="P31" s="221">
        <f t="shared" si="6"/>
        <v>3348.75</v>
      </c>
      <c r="Q31" s="221">
        <f t="shared" si="7"/>
        <v>535</v>
      </c>
      <c r="R31" s="198" t="str" cm="1">
        <f t="array" ref="R31">_xlfn.IFS(Q31="-","-",Q31&gt;512,"Acima da Capacidade",Q31&lt;512,"-")</f>
        <v>Acima da Capacidade</v>
      </c>
      <c r="Y31" s="162"/>
      <c r="Z31" s="162"/>
      <c r="AD31" s="191">
        <v>45437</v>
      </c>
      <c r="AE31">
        <v>8</v>
      </c>
      <c r="AF31">
        <f t="shared" si="11"/>
        <v>195</v>
      </c>
      <c r="AG31">
        <f t="shared" si="12"/>
        <v>197</v>
      </c>
      <c r="AH31" s="163">
        <f t="shared" si="13"/>
        <v>4.060913705583756E-2</v>
      </c>
      <c r="AI31" s="168">
        <f t="shared" si="14"/>
        <v>7.9187817258883246</v>
      </c>
    </row>
    <row r="32" spans="2:35" x14ac:dyDescent="0.25">
      <c r="B32" s="167">
        <v>45499</v>
      </c>
      <c r="C32" s="224">
        <v>2323</v>
      </c>
      <c r="D32" s="216">
        <v>392</v>
      </c>
      <c r="E32" s="217"/>
      <c r="F32" s="218">
        <f>'Forecast Anual'!$I$11</f>
        <v>75249</v>
      </c>
      <c r="G32" s="218">
        <f>'Forecast Anual'!$I$12</f>
        <v>8608</v>
      </c>
      <c r="H32" s="218">
        <f t="shared" si="4"/>
        <v>78465</v>
      </c>
      <c r="I32" s="219">
        <f t="shared" si="15"/>
        <v>12143</v>
      </c>
      <c r="J32" s="177">
        <f t="shared" si="0"/>
        <v>2.9605556617600205E-2</v>
      </c>
      <c r="K32" s="177">
        <f t="shared" si="1"/>
        <v>3.2281973153257024E-2</v>
      </c>
      <c r="L32" s="177">
        <f t="shared" si="2"/>
        <v>3.0870842137437043E-2</v>
      </c>
      <c r="M32" s="199">
        <f t="shared" si="3"/>
        <v>4.5539033457249072E-2</v>
      </c>
      <c r="N32" s="176">
        <f t="shared" si="16"/>
        <v>2227.7885299177979</v>
      </c>
      <c r="O32" s="220">
        <f t="shared" si="5"/>
        <v>277.88322490323645</v>
      </c>
      <c r="P32" s="221">
        <f t="shared" si="6"/>
        <v>2903.75</v>
      </c>
      <c r="Q32" s="221">
        <f t="shared" si="7"/>
        <v>490</v>
      </c>
      <c r="R32" s="198" t="str" cm="1">
        <f t="array" ref="R32">_xlfn.IFS(Q32="-","-",Q32&gt;512,"Acima da Capacidade",Q32&lt;512,"-")</f>
        <v>-</v>
      </c>
      <c r="Y32" s="162"/>
      <c r="Z32" s="162"/>
      <c r="AD32" s="191">
        <v>45438</v>
      </c>
      <c r="AE32">
        <v>10</v>
      </c>
      <c r="AF32">
        <f t="shared" si="11"/>
        <v>195</v>
      </c>
      <c r="AG32">
        <f t="shared" si="12"/>
        <v>197</v>
      </c>
      <c r="AH32" s="163">
        <f t="shared" si="13"/>
        <v>5.0761421319796954E-2</v>
      </c>
      <c r="AI32" s="168">
        <f t="shared" si="14"/>
        <v>9.8984771573604053</v>
      </c>
    </row>
    <row r="33" spans="2:35" x14ac:dyDescent="0.25">
      <c r="B33" s="167">
        <v>45500</v>
      </c>
      <c r="C33" s="224">
        <v>0</v>
      </c>
      <c r="D33" s="216">
        <v>0</v>
      </c>
      <c r="E33" s="217"/>
      <c r="F33" s="218">
        <f>'Forecast Anual'!$I$11</f>
        <v>75249</v>
      </c>
      <c r="G33" s="218">
        <f>'Forecast Anual'!$I$12</f>
        <v>8608</v>
      </c>
      <c r="H33" s="218">
        <f t="shared" si="4"/>
        <v>78465</v>
      </c>
      <c r="I33" s="219">
        <f t="shared" si="15"/>
        <v>12143</v>
      </c>
      <c r="J33" s="177">
        <f t="shared" si="0"/>
        <v>0</v>
      </c>
      <c r="K33" s="177">
        <f t="shared" si="1"/>
        <v>0</v>
      </c>
      <c r="L33" s="177">
        <f t="shared" si="2"/>
        <v>0</v>
      </c>
      <c r="M33" s="199">
        <f t="shared" si="3"/>
        <v>0</v>
      </c>
      <c r="N33" s="176">
        <f t="shared" si="16"/>
        <v>0</v>
      </c>
      <c r="O33" s="220">
        <f t="shared" si="5"/>
        <v>0</v>
      </c>
      <c r="P33" s="221" t="str">
        <f t="shared" si="6"/>
        <v>-</v>
      </c>
      <c r="Q33" s="221" t="str">
        <f t="shared" si="7"/>
        <v>-</v>
      </c>
      <c r="R33" s="198" t="str" cm="1">
        <f t="array" ref="R33">_xlfn.IFS(Q33="-","-",Q33&gt;512,"Acima da Capacidade",Q33&lt;512,"-")</f>
        <v>-</v>
      </c>
      <c r="Y33" s="162"/>
      <c r="Z33" s="162"/>
      <c r="AD33" s="191">
        <v>45439</v>
      </c>
      <c r="AE33">
        <v>9</v>
      </c>
      <c r="AF33">
        <f t="shared" si="11"/>
        <v>195</v>
      </c>
      <c r="AG33">
        <f t="shared" si="12"/>
        <v>197</v>
      </c>
      <c r="AH33" s="163">
        <f t="shared" si="13"/>
        <v>4.5685279187817257E-2</v>
      </c>
      <c r="AI33" s="168">
        <f t="shared" si="14"/>
        <v>8.908629441624365</v>
      </c>
    </row>
    <row r="34" spans="2:35" x14ac:dyDescent="0.25">
      <c r="B34" s="167">
        <v>45501</v>
      </c>
      <c r="C34" s="224">
        <v>2656</v>
      </c>
      <c r="D34" s="216">
        <v>304</v>
      </c>
      <c r="E34" s="217"/>
      <c r="F34" s="218">
        <f>'Forecast Anual'!$I$11</f>
        <v>75249</v>
      </c>
      <c r="G34" s="218">
        <f>'Forecast Anual'!$I$12</f>
        <v>8608</v>
      </c>
      <c r="H34" s="218">
        <f t="shared" si="4"/>
        <v>78465</v>
      </c>
      <c r="I34" s="219">
        <f t="shared" si="15"/>
        <v>12143</v>
      </c>
      <c r="J34" s="177">
        <f t="shared" si="0"/>
        <v>3.3849487032434844E-2</v>
      </c>
      <c r="K34" s="177">
        <f t="shared" si="1"/>
        <v>2.5034999588240139E-2</v>
      </c>
      <c r="L34" s="177">
        <f t="shared" si="2"/>
        <v>3.5296150114951692E-2</v>
      </c>
      <c r="M34" s="199">
        <f t="shared" si="3"/>
        <v>3.5315985130111527E-2</v>
      </c>
      <c r="N34" s="176">
        <f t="shared" si="16"/>
        <v>2547.1400497036898</v>
      </c>
      <c r="O34" s="220">
        <f t="shared" si="5"/>
        <v>215.50127645557112</v>
      </c>
      <c r="P34" s="221">
        <f t="shared" si="6"/>
        <v>3320</v>
      </c>
      <c r="Q34" s="221">
        <f t="shared" si="7"/>
        <v>380</v>
      </c>
      <c r="R34" s="198" t="str" cm="1">
        <f t="array" ref="R34">_xlfn.IFS(Q34="-","-",Q34&gt;512,"Acima da Capacidade",Q34&lt;512,"-")</f>
        <v>-</v>
      </c>
      <c r="Y34" s="162"/>
      <c r="Z34" s="162"/>
      <c r="AD34" s="191">
        <v>45440</v>
      </c>
      <c r="AE34">
        <v>7</v>
      </c>
      <c r="AF34">
        <f t="shared" si="11"/>
        <v>195</v>
      </c>
      <c r="AG34">
        <f t="shared" si="12"/>
        <v>197</v>
      </c>
      <c r="AH34" s="163">
        <f t="shared" si="13"/>
        <v>3.553299492385787E-2</v>
      </c>
      <c r="AI34" s="168">
        <f t="shared" si="14"/>
        <v>6.9289340101522852</v>
      </c>
    </row>
    <row r="35" spans="2:35" x14ac:dyDescent="0.25">
      <c r="B35" s="167">
        <v>45502</v>
      </c>
      <c r="C35" s="224">
        <v>3000</v>
      </c>
      <c r="D35" s="216">
        <v>270</v>
      </c>
      <c r="E35" s="217"/>
      <c r="F35" s="218">
        <f>'Forecast Anual'!$I$11</f>
        <v>75249</v>
      </c>
      <c r="G35" s="218">
        <f>'Forecast Anual'!$I$12</f>
        <v>8608</v>
      </c>
      <c r="H35" s="218">
        <f t="shared" si="4"/>
        <v>78465</v>
      </c>
      <c r="I35" s="219">
        <f t="shared" si="15"/>
        <v>12143</v>
      </c>
      <c r="J35" s="177">
        <f t="shared" si="0"/>
        <v>3.8233607340852613E-2</v>
      </c>
      <c r="K35" s="177">
        <f t="shared" si="1"/>
        <v>2.2235032529029069E-2</v>
      </c>
      <c r="L35" s="177">
        <f t="shared" si="2"/>
        <v>3.9867639437068933E-2</v>
      </c>
      <c r="M35" s="199">
        <f t="shared" si="3"/>
        <v>3.1366171003717469E-2</v>
      </c>
      <c r="N35" s="176">
        <f t="shared" si="16"/>
        <v>2877.0407187918181</v>
      </c>
      <c r="O35" s="220">
        <f t="shared" si="5"/>
        <v>191.39916000988222</v>
      </c>
      <c r="P35" s="221">
        <f t="shared" si="6"/>
        <v>3750</v>
      </c>
      <c r="Q35" s="221">
        <f t="shared" si="7"/>
        <v>337.5</v>
      </c>
      <c r="R35" s="198" t="str" cm="1">
        <f t="array" ref="R35">_xlfn.IFS(Q35="-","-",Q35&gt;512,"Acima da Capacidade",Q35&lt;512,"-")</f>
        <v>-</v>
      </c>
      <c r="Y35" s="162"/>
      <c r="Z35" s="162"/>
      <c r="AD35" s="191">
        <v>45441</v>
      </c>
      <c r="AE35">
        <v>6</v>
      </c>
      <c r="AF35">
        <f t="shared" si="11"/>
        <v>195</v>
      </c>
      <c r="AG35">
        <f t="shared" si="12"/>
        <v>197</v>
      </c>
      <c r="AH35" s="163">
        <f t="shared" si="13"/>
        <v>3.0456852791878174E-2</v>
      </c>
      <c r="AI35" s="168">
        <f t="shared" si="14"/>
        <v>5.9390862944162439</v>
      </c>
    </row>
    <row r="36" spans="2:35" x14ac:dyDescent="0.25">
      <c r="B36" s="167">
        <v>45503</v>
      </c>
      <c r="C36" s="216">
        <v>3125</v>
      </c>
      <c r="D36" s="216">
        <v>491</v>
      </c>
      <c r="E36" s="217"/>
      <c r="F36" s="218">
        <f>'Forecast Anual'!$I$11</f>
        <v>75249</v>
      </c>
      <c r="G36" s="218">
        <f>'Forecast Anual'!$I$12</f>
        <v>8608</v>
      </c>
      <c r="H36" s="218">
        <f t="shared" si="4"/>
        <v>78465</v>
      </c>
      <c r="I36" s="219">
        <f t="shared" si="15"/>
        <v>12143</v>
      </c>
      <c r="J36" s="177">
        <f t="shared" si="0"/>
        <v>3.9826674313388134E-2</v>
      </c>
      <c r="K36" s="177">
        <f t="shared" si="1"/>
        <v>4.0434818413901015E-2</v>
      </c>
      <c r="L36" s="177">
        <f t="shared" si="2"/>
        <v>4.1528791080280139E-2</v>
      </c>
      <c r="M36" s="199">
        <f t="shared" si="3"/>
        <v>5.703996282527881E-2</v>
      </c>
      <c r="N36" s="176">
        <f t="shared" si="16"/>
        <v>2996.9174154081438</v>
      </c>
      <c r="O36" s="220">
        <f t="shared" si="5"/>
        <v>348.06291690685993</v>
      </c>
      <c r="P36" s="221">
        <f t="shared" si="6"/>
        <v>3906.25</v>
      </c>
      <c r="Q36" s="221">
        <f t="shared" si="7"/>
        <v>613.75</v>
      </c>
      <c r="R36" s="198" t="str" cm="1">
        <f t="array" ref="R36">_xlfn.IFS(Q36="-","-",Q36&gt;512,"Acima da Capacidade",Q36&lt;512,"-")</f>
        <v>Acima da Capacidade</v>
      </c>
      <c r="Y36" s="162"/>
      <c r="Z36" s="162"/>
      <c r="AD36" s="191">
        <v>45442</v>
      </c>
      <c r="AE36">
        <v>0</v>
      </c>
      <c r="AF36">
        <f t="shared" si="11"/>
        <v>195</v>
      </c>
      <c r="AG36">
        <f t="shared" si="12"/>
        <v>197</v>
      </c>
      <c r="AH36" s="163">
        <f t="shared" si="13"/>
        <v>0</v>
      </c>
      <c r="AI36" s="168">
        <f t="shared" si="14"/>
        <v>0</v>
      </c>
    </row>
    <row r="37" spans="2:35" x14ac:dyDescent="0.25">
      <c r="B37" s="169">
        <v>45504</v>
      </c>
      <c r="C37" s="170">
        <v>2965</v>
      </c>
      <c r="D37" s="170">
        <v>450</v>
      </c>
      <c r="E37" s="171"/>
      <c r="F37" s="218">
        <f>'Forecast Anual'!$I$11</f>
        <v>75249</v>
      </c>
      <c r="G37" s="218">
        <f>'Forecast Anual'!$I$12</f>
        <v>8608</v>
      </c>
      <c r="H37" s="218">
        <f t="shared" si="4"/>
        <v>78465</v>
      </c>
      <c r="I37" s="219">
        <f t="shared" si="15"/>
        <v>12143</v>
      </c>
      <c r="J37" s="177">
        <f t="shared" ref="J37" si="18">C37/H37</f>
        <v>3.7787548588542663E-2</v>
      </c>
      <c r="K37" s="177">
        <f t="shared" ref="K37" si="19">D37/I37</f>
        <v>3.7058387548381783E-2</v>
      </c>
      <c r="L37" s="177">
        <f t="shared" ref="L37" si="20">C37/F37</f>
        <v>3.9402516976969795E-2</v>
      </c>
      <c r="M37" s="199">
        <f t="shared" ref="M37" si="21">D37/G37</f>
        <v>5.2276951672862455E-2</v>
      </c>
      <c r="N37" s="176">
        <f t="shared" ref="N37" si="22">F37*J37</f>
        <v>2843.4752437392467</v>
      </c>
      <c r="O37" s="220">
        <f t="shared" ref="O37" si="23">G37*K37</f>
        <v>318.99860001647039</v>
      </c>
      <c r="P37" s="221">
        <f t="shared" ref="P37" si="24">IF(C37*1.25=0,"-",C37*1.25)</f>
        <v>3706.25</v>
      </c>
      <c r="Q37" s="221">
        <f t="shared" ref="Q37" si="25">IF(D37*1.25=0,"-",D37*1.25)</f>
        <v>562.5</v>
      </c>
      <c r="R37" s="198" t="str" cm="1">
        <f t="array" ref="R37">_xlfn.IFS(Q37="-","-",Q37&gt;512,"Acima da Capacidade",Q37&lt;512,"-")</f>
        <v>Acima da Capacidade</v>
      </c>
      <c r="Y37" s="162"/>
      <c r="Z37" s="162"/>
      <c r="AD37" s="192">
        <v>45443</v>
      </c>
      <c r="AE37" s="172">
        <v>6</v>
      </c>
      <c r="AF37" s="172">
        <f t="shared" si="11"/>
        <v>195</v>
      </c>
      <c r="AG37" s="172">
        <f t="shared" si="12"/>
        <v>197</v>
      </c>
      <c r="AH37" s="173">
        <f t="shared" si="13"/>
        <v>3.0456852791878174E-2</v>
      </c>
      <c r="AI37" s="174">
        <f t="shared" si="14"/>
        <v>5.9390862944162439</v>
      </c>
    </row>
    <row r="38" spans="2:35" s="204" customFormat="1" x14ac:dyDescent="0.25">
      <c r="B38" s="215"/>
      <c r="C38" s="216"/>
      <c r="D38" s="216"/>
      <c r="E38" s="229"/>
      <c r="F38" s="218"/>
      <c r="G38" s="218"/>
      <c r="H38" s="218"/>
      <c r="I38" s="219"/>
      <c r="J38" s="177"/>
      <c r="K38" s="177"/>
      <c r="L38" s="177"/>
      <c r="M38" s="177"/>
      <c r="N38" s="220"/>
      <c r="O38" s="220"/>
      <c r="P38" s="221"/>
      <c r="Q38" s="221"/>
      <c r="R38" s="222"/>
      <c r="Y38" s="162"/>
      <c r="Z38" s="162"/>
      <c r="AD38" s="223"/>
      <c r="AE38" s="222"/>
      <c r="AF38" s="222"/>
      <c r="AG38" s="222"/>
      <c r="AH38" s="163"/>
      <c r="AI38" s="221"/>
    </row>
    <row r="39" spans="2:35" ht="3.75" customHeight="1" x14ac:dyDescent="0.25">
      <c r="AI39" s="162"/>
    </row>
    <row r="40" spans="2:35" hidden="1" x14ac:dyDescent="0.25">
      <c r="B40" s="201" t="s">
        <v>93</v>
      </c>
      <c r="C40" s="202">
        <f>SUM(C7:C37)</f>
        <v>78465</v>
      </c>
      <c r="D40" s="201">
        <f>SUM(D7:D37)</f>
        <v>12143</v>
      </c>
      <c r="E40" s="201"/>
      <c r="F40" s="201"/>
      <c r="G40" s="201"/>
      <c r="H40" s="201"/>
      <c r="I40" s="201"/>
      <c r="J40" s="201"/>
      <c r="K40" s="201"/>
      <c r="L40" s="201"/>
      <c r="M40" s="201"/>
      <c r="N40" s="200">
        <f>SUM(N7:N37)</f>
        <v>75249.000000000015</v>
      </c>
      <c r="O40" s="200">
        <f>SUM(O7:O37)</f>
        <v>8608.0000000000018</v>
      </c>
      <c r="P40" s="200">
        <f>SUM(P7:P37)</f>
        <v>98081.25</v>
      </c>
      <c r="Q40" s="200">
        <f>SUM(Q7:Q37)</f>
        <v>15178.75</v>
      </c>
      <c r="R40" s="203"/>
    </row>
    <row r="41" spans="2:35" s="204" customFormat="1" x14ac:dyDescent="0.25">
      <c r="B41" s="226"/>
      <c r="C41" s="227">
        <f>SUM(C7:C37)</f>
        <v>78465</v>
      </c>
      <c r="D41" s="227">
        <f>SUM(D7:D37)</f>
        <v>12143</v>
      </c>
      <c r="E41" s="227"/>
      <c r="F41" s="227"/>
      <c r="G41" s="227"/>
      <c r="H41" s="227"/>
      <c r="I41" s="227"/>
      <c r="J41" s="227"/>
      <c r="K41" s="227"/>
      <c r="L41" s="227"/>
      <c r="M41" s="227"/>
      <c r="N41" s="227"/>
      <c r="O41" s="227"/>
      <c r="P41" s="227">
        <f>SUM(P7:P37)</f>
        <v>98081.25</v>
      </c>
      <c r="Q41" s="227">
        <f>SUM(Q7:Q37)</f>
        <v>15178.75</v>
      </c>
      <c r="R41" s="228"/>
      <c r="AD41" s="119"/>
    </row>
    <row r="42" spans="2:35" x14ac:dyDescent="0.25">
      <c r="Q42" s="162"/>
    </row>
    <row r="43" spans="2:35" x14ac:dyDescent="0.25">
      <c r="B43" s="181" t="s">
        <v>216</v>
      </c>
      <c r="C43" s="182">
        <v>21224</v>
      </c>
    </row>
    <row r="44" spans="2:35" x14ac:dyDescent="0.25">
      <c r="B44" s="193" t="s">
        <v>217</v>
      </c>
      <c r="C44" s="195">
        <f>SUM(C16:D37)</f>
        <v>61077</v>
      </c>
    </row>
    <row r="45" spans="2:35" x14ac:dyDescent="0.25">
      <c r="B45" s="193" t="s">
        <v>93</v>
      </c>
      <c r="C45" s="196">
        <f>SUM(C43:C44)</f>
        <v>82301</v>
      </c>
    </row>
    <row r="46" spans="2:35" x14ac:dyDescent="0.25">
      <c r="B46" s="193" t="s">
        <v>218</v>
      </c>
      <c r="C46" s="196">
        <v>508</v>
      </c>
    </row>
    <row r="47" spans="2:35" x14ac:dyDescent="0.25">
      <c r="B47" s="194" t="s">
        <v>214</v>
      </c>
      <c r="C47" s="197">
        <f>C46/C45</f>
        <v>6.1724644901034013E-3</v>
      </c>
    </row>
  </sheetData>
  <conditionalFormatting sqref="N7:N38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7:O38">
    <cfRule type="colorScale" priority="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P7:P38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7">
      <colorScale>
        <cfvo type="min"/>
        <cfvo type="max"/>
        <color rgb="FFFCFCFF"/>
        <color rgb="FFF8696B"/>
      </colorScale>
    </cfRule>
  </conditionalFormatting>
  <conditionalFormatting sqref="Q7:Q38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8">
      <colorScale>
        <cfvo type="min"/>
        <cfvo type="max"/>
        <color rgb="FFFCFCFF"/>
        <color rgb="FFF8696B"/>
      </colorScale>
    </cfRule>
  </conditionalFormatting>
  <conditionalFormatting sqref="AB7:AB18">
    <cfRule type="iconSet" priority="3">
      <iconSet>
        <cfvo type="percent" val="0"/>
        <cfvo type="percent" val="33"/>
        <cfvo type="percent" val="67"/>
      </iconSet>
    </cfRule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511811024" right="0.511811024" top="0.78740157499999996" bottom="0.78740157499999996" header="0.31496062000000002" footer="0.31496062000000002"/>
  <pageSetup paperSize="9" orientation="portrait" r:id="rId1"/>
  <ignoredErrors>
    <ignoredError sqref="W7" formulaRange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D56D8-F040-43AD-981B-883EBBA02A1D}">
  <dimension ref="B1:N21"/>
  <sheetViews>
    <sheetView showGridLines="0" zoomScaleNormal="100" workbookViewId="0">
      <selection activeCell="B38" sqref="B38"/>
    </sheetView>
  </sheetViews>
  <sheetFormatPr defaultRowHeight="15" x14ac:dyDescent="0.25"/>
  <cols>
    <col min="1" max="1" width="9" customWidth="1"/>
    <col min="2" max="2" width="30.7109375" bestFit="1" customWidth="1"/>
    <col min="3" max="14" width="5.7109375" bestFit="1" customWidth="1"/>
  </cols>
  <sheetData>
    <row r="1" spans="2:14" ht="15.75" thickBot="1" x14ac:dyDescent="0.3"/>
    <row r="2" spans="2:14" ht="15.75" thickBot="1" x14ac:dyDescent="0.3">
      <c r="B2" s="150" t="s">
        <v>145</v>
      </c>
      <c r="C2" s="151" t="s">
        <v>146</v>
      </c>
      <c r="D2" s="152" t="s">
        <v>147</v>
      </c>
      <c r="E2" s="152" t="s">
        <v>148</v>
      </c>
      <c r="F2" s="152" t="s">
        <v>149</v>
      </c>
      <c r="G2" s="152" t="s">
        <v>150</v>
      </c>
      <c r="H2" s="152" t="s">
        <v>151</v>
      </c>
      <c r="I2" s="152" t="s">
        <v>152</v>
      </c>
      <c r="J2" s="152" t="s">
        <v>153</v>
      </c>
      <c r="K2" s="152" t="s">
        <v>154</v>
      </c>
      <c r="L2" s="152" t="s">
        <v>155</v>
      </c>
      <c r="M2" s="152" t="s">
        <v>156</v>
      </c>
      <c r="N2" s="152" t="s">
        <v>157</v>
      </c>
    </row>
    <row r="3" spans="2:14" ht="15.75" thickBot="1" x14ac:dyDescent="0.3">
      <c r="B3" s="153" t="s">
        <v>158</v>
      </c>
      <c r="C3" s="158">
        <v>874</v>
      </c>
      <c r="D3" s="159">
        <v>1044</v>
      </c>
      <c r="E3" s="154">
        <v>932</v>
      </c>
      <c r="F3" s="155">
        <v>1126</v>
      </c>
      <c r="G3" s="155">
        <v>1382</v>
      </c>
      <c r="H3" s="155">
        <v>1409</v>
      </c>
      <c r="I3" s="155">
        <v>1437</v>
      </c>
      <c r="J3" s="155">
        <v>1840</v>
      </c>
      <c r="K3" s="155">
        <v>1714</v>
      </c>
      <c r="L3" s="155">
        <v>1721</v>
      </c>
      <c r="M3" s="155">
        <v>1443</v>
      </c>
      <c r="N3" s="155">
        <v>1359</v>
      </c>
    </row>
    <row r="4" spans="2:14" ht="15.75" thickBot="1" x14ac:dyDescent="0.3">
      <c r="B4" s="153" t="s">
        <v>159</v>
      </c>
      <c r="C4" s="158">
        <v>493</v>
      </c>
      <c r="D4" s="158">
        <v>591</v>
      </c>
      <c r="E4" s="154">
        <v>520</v>
      </c>
      <c r="F4" s="154">
        <v>603</v>
      </c>
      <c r="G4" s="154">
        <v>553</v>
      </c>
      <c r="H4" s="154">
        <v>564</v>
      </c>
      <c r="I4" s="154">
        <v>575</v>
      </c>
      <c r="J4" s="154">
        <v>736</v>
      </c>
      <c r="K4" s="154">
        <v>686</v>
      </c>
      <c r="L4" s="154">
        <v>689</v>
      </c>
      <c r="M4" s="154">
        <v>577</v>
      </c>
      <c r="N4" s="154">
        <v>543</v>
      </c>
    </row>
    <row r="5" spans="2:14" ht="15.75" thickBot="1" x14ac:dyDescent="0.3">
      <c r="B5" s="153" t="s">
        <v>160</v>
      </c>
      <c r="C5" s="158">
        <v>411</v>
      </c>
      <c r="D5" s="158">
        <v>491</v>
      </c>
      <c r="E5" s="154">
        <v>438</v>
      </c>
      <c r="F5" s="154">
        <v>529</v>
      </c>
      <c r="G5" s="154">
        <v>649</v>
      </c>
      <c r="H5" s="154">
        <v>662</v>
      </c>
      <c r="I5" s="154">
        <v>676</v>
      </c>
      <c r="J5" s="154">
        <v>865</v>
      </c>
      <c r="K5" s="154">
        <v>806</v>
      </c>
      <c r="L5" s="154">
        <v>809</v>
      </c>
      <c r="M5" s="154">
        <v>678</v>
      </c>
      <c r="N5" s="154">
        <v>639</v>
      </c>
    </row>
    <row r="6" spans="2:14" ht="15.75" thickBot="1" x14ac:dyDescent="0.3">
      <c r="B6" s="153" t="s">
        <v>161</v>
      </c>
      <c r="C6" s="159">
        <v>1642</v>
      </c>
      <c r="D6" s="159">
        <v>1520</v>
      </c>
      <c r="E6" s="155">
        <v>1794</v>
      </c>
      <c r="F6" s="155">
        <v>1497</v>
      </c>
      <c r="G6" s="155">
        <v>1675</v>
      </c>
      <c r="H6" s="155">
        <v>1644</v>
      </c>
      <c r="I6" s="155">
        <v>1761</v>
      </c>
      <c r="J6" s="155">
        <v>1817</v>
      </c>
      <c r="K6" s="155">
        <v>1601</v>
      </c>
      <c r="L6" s="155">
        <v>1602</v>
      </c>
      <c r="M6" s="155">
        <v>1962</v>
      </c>
      <c r="N6" s="155">
        <v>1443</v>
      </c>
    </row>
    <row r="7" spans="2:14" ht="15.75" thickBot="1" x14ac:dyDescent="0.3">
      <c r="B7" s="153" t="s">
        <v>162</v>
      </c>
      <c r="C7" s="160">
        <v>146</v>
      </c>
      <c r="D7" s="160">
        <v>230</v>
      </c>
      <c r="E7" s="156">
        <v>157</v>
      </c>
      <c r="F7" s="157">
        <v>134</v>
      </c>
      <c r="G7" s="156">
        <v>112</v>
      </c>
      <c r="H7" s="156">
        <v>163</v>
      </c>
      <c r="I7" s="156">
        <v>199</v>
      </c>
      <c r="J7" s="154">
        <v>201</v>
      </c>
      <c r="K7" s="154">
        <v>183</v>
      </c>
      <c r="L7" s="154">
        <v>192</v>
      </c>
      <c r="M7" s="154">
        <v>197</v>
      </c>
      <c r="N7" s="154">
        <v>192</v>
      </c>
    </row>
    <row r="8" spans="2:14" ht="15.75" thickBot="1" x14ac:dyDescent="0.3">
      <c r="B8" s="153" t="s">
        <v>163</v>
      </c>
      <c r="C8" s="159">
        <v>7581</v>
      </c>
      <c r="D8" s="159">
        <v>6841</v>
      </c>
      <c r="E8" s="155">
        <v>6293</v>
      </c>
      <c r="F8" s="155">
        <v>5252</v>
      </c>
      <c r="G8" s="155">
        <v>5413</v>
      </c>
      <c r="H8" s="155">
        <v>5872</v>
      </c>
      <c r="I8" s="155">
        <v>6392</v>
      </c>
      <c r="J8" s="155">
        <v>7145</v>
      </c>
      <c r="K8" s="155">
        <v>8458</v>
      </c>
      <c r="L8" s="155">
        <v>8595</v>
      </c>
      <c r="M8" s="155">
        <v>7934</v>
      </c>
      <c r="N8" s="155">
        <v>6939</v>
      </c>
    </row>
    <row r="9" spans="2:14" ht="15.75" thickBot="1" x14ac:dyDescent="0.3">
      <c r="B9" s="153" t="s">
        <v>164</v>
      </c>
      <c r="C9" s="159">
        <v>6065</v>
      </c>
      <c r="D9" s="159">
        <v>5473</v>
      </c>
      <c r="E9" s="155">
        <v>5034</v>
      </c>
      <c r="F9" s="155">
        <v>4202</v>
      </c>
      <c r="G9" s="155">
        <v>4330</v>
      </c>
      <c r="H9" s="155">
        <v>4698</v>
      </c>
      <c r="I9" s="155">
        <v>5114</v>
      </c>
      <c r="J9" s="155">
        <v>5716</v>
      </c>
      <c r="K9" s="155">
        <v>6766</v>
      </c>
      <c r="L9" s="155">
        <v>6876</v>
      </c>
      <c r="M9" s="155">
        <v>6347</v>
      </c>
      <c r="N9" s="155">
        <v>5551</v>
      </c>
    </row>
    <row r="10" spans="2:14" ht="15.75" thickBot="1" x14ac:dyDescent="0.3">
      <c r="B10" s="153" t="s">
        <v>165</v>
      </c>
      <c r="C10" s="159">
        <v>1516</v>
      </c>
      <c r="D10" s="159">
        <v>1368</v>
      </c>
      <c r="E10" s="155">
        <v>1259</v>
      </c>
      <c r="F10" s="155">
        <v>1050</v>
      </c>
      <c r="G10" s="155">
        <v>1083</v>
      </c>
      <c r="H10" s="155">
        <v>1174</v>
      </c>
      <c r="I10" s="155">
        <v>1278</v>
      </c>
      <c r="J10" s="155">
        <v>1429</v>
      </c>
      <c r="K10" s="155">
        <v>1692</v>
      </c>
      <c r="L10" s="155">
        <v>1719</v>
      </c>
      <c r="M10" s="155">
        <v>1587</v>
      </c>
      <c r="N10" s="155">
        <v>1388</v>
      </c>
    </row>
    <row r="11" spans="2:14" ht="15.75" thickBot="1" x14ac:dyDescent="0.3">
      <c r="B11" s="153" t="s">
        <v>166</v>
      </c>
      <c r="C11" s="159">
        <v>71414</v>
      </c>
      <c r="D11" s="159">
        <v>65812</v>
      </c>
      <c r="E11" s="155">
        <v>77334</v>
      </c>
      <c r="F11" s="155">
        <v>63336</v>
      </c>
      <c r="G11" s="155">
        <v>71142</v>
      </c>
      <c r="H11" s="155">
        <v>69589</v>
      </c>
      <c r="I11" s="155">
        <v>75249</v>
      </c>
      <c r="J11" s="155">
        <v>76974</v>
      </c>
      <c r="K11" s="155">
        <v>67533</v>
      </c>
      <c r="L11" s="155">
        <v>67114</v>
      </c>
      <c r="M11" s="155">
        <v>84049</v>
      </c>
      <c r="N11" s="155">
        <v>59541</v>
      </c>
    </row>
    <row r="12" spans="2:14" ht="15.75" thickBot="1" x14ac:dyDescent="0.3">
      <c r="B12" s="153" t="s">
        <v>167</v>
      </c>
      <c r="C12" s="159">
        <v>6780</v>
      </c>
      <c r="D12" s="159">
        <v>6554</v>
      </c>
      <c r="E12" s="155">
        <v>8072</v>
      </c>
      <c r="F12" s="155">
        <v>7966</v>
      </c>
      <c r="G12" s="155">
        <v>8607</v>
      </c>
      <c r="H12" s="155">
        <v>8702</v>
      </c>
      <c r="I12" s="155">
        <v>8608</v>
      </c>
      <c r="J12" s="155">
        <v>9557</v>
      </c>
      <c r="K12" s="155">
        <v>8710</v>
      </c>
      <c r="L12" s="155">
        <v>9153</v>
      </c>
      <c r="M12" s="155">
        <v>9394</v>
      </c>
      <c r="N12" s="155">
        <v>9150</v>
      </c>
    </row>
    <row r="13" spans="2:14" ht="15.75" thickBot="1" x14ac:dyDescent="0.3">
      <c r="B13" s="153" t="s">
        <v>168</v>
      </c>
      <c r="C13" s="158">
        <v>192</v>
      </c>
      <c r="D13" s="158">
        <v>191</v>
      </c>
      <c r="E13" s="154">
        <v>217</v>
      </c>
      <c r="F13" s="154">
        <v>194</v>
      </c>
      <c r="G13" s="154">
        <v>195</v>
      </c>
      <c r="H13" s="154">
        <v>196</v>
      </c>
      <c r="I13" s="154">
        <v>195</v>
      </c>
      <c r="J13" s="154">
        <v>196</v>
      </c>
      <c r="K13" s="154">
        <v>196</v>
      </c>
      <c r="L13" s="154">
        <v>208</v>
      </c>
      <c r="M13" s="154">
        <v>232</v>
      </c>
      <c r="N13" s="154">
        <v>230</v>
      </c>
    </row>
    <row r="14" spans="2:14" ht="15.75" thickBot="1" x14ac:dyDescent="0.3">
      <c r="B14" s="153" t="s">
        <v>169</v>
      </c>
      <c r="C14" s="158">
        <v>567</v>
      </c>
      <c r="D14" s="158">
        <v>491</v>
      </c>
      <c r="E14" s="154">
        <v>491</v>
      </c>
      <c r="F14" s="154">
        <v>491</v>
      </c>
      <c r="G14" s="154">
        <v>491</v>
      </c>
      <c r="H14" s="154">
        <v>491</v>
      </c>
      <c r="I14" s="154">
        <v>491</v>
      </c>
      <c r="J14" s="154">
        <v>491</v>
      </c>
      <c r="K14" s="154">
        <v>491</v>
      </c>
      <c r="L14" s="154">
        <v>491</v>
      </c>
      <c r="M14" s="154">
        <v>491</v>
      </c>
      <c r="N14" s="154">
        <v>491</v>
      </c>
    </row>
    <row r="15" spans="2:14" ht="15.75" thickBot="1" x14ac:dyDescent="0.3">
      <c r="B15" s="153" t="s">
        <v>170</v>
      </c>
      <c r="C15" s="158">
        <v>60</v>
      </c>
      <c r="D15" s="158">
        <v>60</v>
      </c>
      <c r="E15" s="154">
        <v>60</v>
      </c>
      <c r="F15" s="154">
        <v>60</v>
      </c>
      <c r="G15" s="154">
        <v>60</v>
      </c>
      <c r="H15" s="154">
        <v>60</v>
      </c>
      <c r="I15" s="154">
        <v>60</v>
      </c>
      <c r="J15" s="154">
        <v>60</v>
      </c>
      <c r="K15" s="154">
        <v>60</v>
      </c>
      <c r="L15" s="154">
        <v>60</v>
      </c>
      <c r="M15" s="154">
        <v>60</v>
      </c>
      <c r="N15" s="154">
        <v>60</v>
      </c>
    </row>
    <row r="16" spans="2:14" ht="15.75" thickBot="1" x14ac:dyDescent="0.3">
      <c r="B16" s="153" t="s">
        <v>171</v>
      </c>
      <c r="C16" s="159">
        <v>13375</v>
      </c>
      <c r="D16" s="159">
        <v>15280</v>
      </c>
      <c r="E16" s="155">
        <v>20405</v>
      </c>
      <c r="F16" s="155">
        <v>21631</v>
      </c>
      <c r="G16" s="155">
        <v>18471</v>
      </c>
      <c r="H16" s="155">
        <v>19064</v>
      </c>
      <c r="I16" s="155">
        <v>19714</v>
      </c>
      <c r="J16" s="155">
        <v>18592</v>
      </c>
      <c r="K16" s="155">
        <v>26491</v>
      </c>
      <c r="L16" s="155">
        <v>31267</v>
      </c>
      <c r="M16" s="155">
        <v>25486</v>
      </c>
      <c r="N16" s="155">
        <v>18107</v>
      </c>
    </row>
    <row r="17" spans="2:14" ht="15.75" thickBot="1" x14ac:dyDescent="0.3">
      <c r="B17" s="153" t="s">
        <v>172</v>
      </c>
      <c r="C17" s="159">
        <v>8764</v>
      </c>
      <c r="D17" s="159">
        <v>9308</v>
      </c>
      <c r="E17" s="155">
        <v>11161</v>
      </c>
      <c r="F17" s="155">
        <v>9837</v>
      </c>
      <c r="G17" s="155">
        <v>12200</v>
      </c>
      <c r="H17" s="155">
        <v>9632</v>
      </c>
      <c r="I17" s="155">
        <v>9032</v>
      </c>
      <c r="J17" s="155">
        <v>10978</v>
      </c>
      <c r="K17" s="155">
        <v>9987</v>
      </c>
      <c r="L17" s="155">
        <v>14934</v>
      </c>
      <c r="M17" s="155">
        <v>47136</v>
      </c>
      <c r="N17" s="155">
        <v>31457</v>
      </c>
    </row>
    <row r="18" spans="2:14" ht="15.75" thickBot="1" x14ac:dyDescent="0.3">
      <c r="B18" s="153" t="s">
        <v>173</v>
      </c>
      <c r="C18" s="159">
        <v>3013</v>
      </c>
      <c r="D18" s="159">
        <v>2291</v>
      </c>
      <c r="E18" s="155">
        <v>2820</v>
      </c>
      <c r="F18" s="155">
        <v>5533</v>
      </c>
      <c r="G18" s="155">
        <v>2418</v>
      </c>
      <c r="H18" s="155">
        <v>2466</v>
      </c>
      <c r="I18" s="155">
        <v>3493</v>
      </c>
      <c r="J18" s="155">
        <v>2480</v>
      </c>
      <c r="K18" s="155">
        <v>2660</v>
      </c>
      <c r="L18" s="155">
        <v>4311</v>
      </c>
      <c r="M18" s="155">
        <v>3069</v>
      </c>
      <c r="N18" s="155">
        <v>2578</v>
      </c>
    </row>
    <row r="19" spans="2:14" ht="15.75" thickBot="1" x14ac:dyDescent="0.3">
      <c r="B19" s="153" t="s">
        <v>174</v>
      </c>
      <c r="C19" s="159">
        <v>3945</v>
      </c>
      <c r="D19" s="159">
        <v>1904</v>
      </c>
      <c r="E19" s="155">
        <v>2362</v>
      </c>
      <c r="F19" s="155">
        <v>2025</v>
      </c>
      <c r="G19" s="155">
        <v>2191</v>
      </c>
      <c r="H19" s="155">
        <v>2123</v>
      </c>
      <c r="I19" s="155">
        <v>2284</v>
      </c>
      <c r="J19" s="155">
        <v>2222</v>
      </c>
      <c r="K19" s="155">
        <v>1996</v>
      </c>
      <c r="L19" s="155">
        <v>2234</v>
      </c>
      <c r="M19" s="155">
        <v>2707</v>
      </c>
      <c r="N19" s="155">
        <v>2200</v>
      </c>
    </row>
    <row r="20" spans="2:14" ht="15.75" thickBot="1" x14ac:dyDescent="0.3">
      <c r="B20" s="153" t="s">
        <v>175</v>
      </c>
      <c r="C20" s="159">
        <v>11891</v>
      </c>
      <c r="D20" s="159">
        <v>12229</v>
      </c>
      <c r="E20" s="155">
        <v>14440</v>
      </c>
      <c r="F20" s="155">
        <v>23128</v>
      </c>
      <c r="G20" s="155">
        <v>17333</v>
      </c>
      <c r="H20" s="155">
        <v>15617</v>
      </c>
      <c r="I20" s="155">
        <v>18621</v>
      </c>
      <c r="J20" s="155">
        <v>15511</v>
      </c>
      <c r="K20" s="155">
        <v>16099</v>
      </c>
      <c r="L20" s="155">
        <v>35547</v>
      </c>
      <c r="M20" s="155">
        <v>24296</v>
      </c>
      <c r="N20" s="155">
        <v>20287</v>
      </c>
    </row>
    <row r="21" spans="2:14" ht="15.75" thickBot="1" x14ac:dyDescent="0.3">
      <c r="B21" s="153" t="s">
        <v>176</v>
      </c>
      <c r="C21" s="158">
        <v>500</v>
      </c>
      <c r="D21" s="158">
        <v>500</v>
      </c>
      <c r="E21" s="154">
        <v>500</v>
      </c>
      <c r="F21" s="154">
        <v>500</v>
      </c>
      <c r="G21" s="154">
        <v>500</v>
      </c>
      <c r="H21" s="154">
        <v>500</v>
      </c>
      <c r="I21" s="154">
        <v>500</v>
      </c>
      <c r="J21" s="154">
        <v>500</v>
      </c>
      <c r="K21" s="154">
        <v>500</v>
      </c>
      <c r="L21" s="154">
        <v>500</v>
      </c>
      <c r="M21" s="154">
        <v>500</v>
      </c>
      <c r="N21" s="154">
        <v>500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2"/>
  <dimension ref="A1:BX81"/>
  <sheetViews>
    <sheetView showGridLines="0" zoomScale="85" zoomScaleNormal="85" workbookViewId="0">
      <pane xSplit="3" ySplit="3" topLeftCell="AN4" activePane="bottomRight" state="frozen"/>
      <selection pane="topRight" activeCell="D1" sqref="D1"/>
      <selection pane="bottomLeft" activeCell="A4" sqref="A4"/>
      <selection pane="bottomRight" activeCell="AW62" sqref="AW62"/>
    </sheetView>
  </sheetViews>
  <sheetFormatPr defaultColWidth="7.7109375" defaultRowHeight="15" x14ac:dyDescent="0.25"/>
  <cols>
    <col min="1" max="1" width="11.5703125" style="71" bestFit="1" customWidth="1"/>
    <col min="2" max="2" width="5.7109375" style="71" customWidth="1"/>
    <col min="3" max="3" width="6.7109375" style="72" bestFit="1" customWidth="1"/>
    <col min="4" max="5" width="9.5703125" style="71" bestFit="1" customWidth="1"/>
    <col min="6" max="6" width="8.28515625" style="71" bestFit="1" customWidth="1"/>
    <col min="7" max="8" width="7.28515625" style="71" bestFit="1" customWidth="1"/>
    <col min="9" max="9" width="6.7109375" style="71" bestFit="1" customWidth="1"/>
    <col min="10" max="10" width="9.5703125" style="71" bestFit="1" customWidth="1"/>
    <col min="11" max="11" width="6.7109375" style="73" bestFit="1" customWidth="1"/>
    <col min="12" max="12" width="12.28515625" style="74" bestFit="1" customWidth="1"/>
    <col min="13" max="14" width="9.5703125" style="74" bestFit="1" customWidth="1"/>
    <col min="15" max="15" width="9.5703125" style="75" bestFit="1" customWidth="1"/>
    <col min="16" max="16" width="9.28515625" style="75" customWidth="1"/>
    <col min="17" max="17" width="6.7109375" style="75" bestFit="1" customWidth="1"/>
    <col min="18" max="19" width="5.7109375" style="75" customWidth="1"/>
    <col min="20" max="20" width="7.85546875" style="75" bestFit="1" customWidth="1"/>
    <col min="21" max="21" width="6.85546875" style="75" bestFit="1" customWidth="1"/>
    <col min="22" max="22" width="7.85546875" style="75" bestFit="1" customWidth="1"/>
    <col min="23" max="23" width="8.42578125" style="74" bestFit="1" customWidth="1"/>
    <col min="24" max="27" width="8.28515625" style="75" bestFit="1" customWidth="1"/>
    <col min="28" max="28" width="6" style="75" bestFit="1" customWidth="1"/>
    <col min="29" max="29" width="6.7109375" style="74" bestFit="1" customWidth="1"/>
    <col min="30" max="30" width="6.7109375" style="75" bestFit="1" customWidth="1"/>
    <col min="31" max="32" width="6.7109375" style="75" customWidth="1"/>
    <col min="33" max="33" width="6.7109375" style="75" bestFit="1" customWidth="1"/>
    <col min="34" max="34" width="8" style="74" bestFit="1" customWidth="1"/>
    <col min="35" max="35" width="8.28515625" style="75" customWidth="1"/>
    <col min="36" max="36" width="6.7109375" style="73" bestFit="1" customWidth="1"/>
    <col min="37" max="37" width="9.28515625" style="74" bestFit="1" customWidth="1"/>
    <col min="38" max="38" width="8.7109375" style="74" bestFit="1" customWidth="1"/>
    <col min="39" max="39" width="7.28515625" style="74" bestFit="1" customWidth="1"/>
    <col min="40" max="41" width="8.7109375" style="75" bestFit="1" customWidth="1"/>
    <col min="42" max="42" width="6.7109375" style="75" bestFit="1" customWidth="1"/>
    <col min="43" max="43" width="6.7109375" style="74" bestFit="1" customWidth="1"/>
    <col min="44" max="44" width="6.7109375" style="75" bestFit="1" customWidth="1"/>
    <col min="45" max="45" width="6.7109375" style="75" customWidth="1"/>
    <col min="46" max="47" width="9.28515625" style="76" bestFit="1" customWidth="1"/>
    <col min="48" max="48" width="6.7109375" style="77" bestFit="1" customWidth="1"/>
    <col min="49" max="50" width="9.28515625" style="76" bestFit="1" customWidth="1"/>
    <col min="51" max="51" width="7" style="77" bestFit="1" customWidth="1"/>
    <col min="52" max="53" width="8.28515625" style="76" bestFit="1" customWidth="1"/>
    <col min="54" max="54" width="7" style="76" bestFit="1" customWidth="1"/>
    <col min="55" max="55" width="6.7109375" style="76" bestFit="1" customWidth="1"/>
    <col min="56" max="56" width="7.28515625" style="76" bestFit="1" customWidth="1"/>
    <col min="57" max="57" width="7" style="76" bestFit="1" customWidth="1"/>
    <col min="58" max="58" width="9.28515625" style="75" bestFit="1" customWidth="1"/>
    <col min="59" max="59" width="8.42578125" style="76" bestFit="1" customWidth="1"/>
    <col min="60" max="60" width="6.7109375" style="75" bestFit="1" customWidth="1"/>
    <col min="61" max="61" width="8.28515625" style="75" bestFit="1" customWidth="1"/>
    <col min="62" max="62" width="7.7109375" style="75" customWidth="1"/>
    <col min="63" max="63" width="6.7109375" style="75" customWidth="1"/>
    <col min="64" max="64" width="9.5703125" style="75" bestFit="1" customWidth="1"/>
    <col min="65" max="65" width="6.7109375" style="75" customWidth="1"/>
    <col min="66" max="66" width="9.5703125" style="75" bestFit="1" customWidth="1"/>
    <col min="67" max="67" width="6.7109375" style="1" hidden="1" customWidth="1"/>
    <col min="68" max="68" width="9.5703125" style="1" hidden="1" customWidth="1"/>
    <col min="69" max="69" width="0" style="1" hidden="1" customWidth="1"/>
    <col min="70" max="71" width="7.7109375" style="1" hidden="1" customWidth="1"/>
    <col min="72" max="16384" width="7.7109375" style="71"/>
  </cols>
  <sheetData>
    <row r="1" spans="1:72" s="1" customFormat="1" ht="15" customHeight="1" x14ac:dyDescent="0.25">
      <c r="C1" s="20"/>
      <c r="D1" s="253" t="s">
        <v>0</v>
      </c>
      <c r="E1" s="253"/>
      <c r="F1" s="253"/>
      <c r="G1" s="253"/>
      <c r="H1" s="253"/>
      <c r="I1" s="253"/>
      <c r="J1" s="253"/>
      <c r="K1" s="253"/>
      <c r="L1" s="259" t="s">
        <v>1</v>
      </c>
      <c r="M1" s="260"/>
      <c r="N1" s="260"/>
      <c r="O1" s="260"/>
      <c r="P1" s="260"/>
      <c r="Q1" s="261"/>
      <c r="R1" s="262" t="s">
        <v>2</v>
      </c>
      <c r="S1" s="263"/>
      <c r="T1" s="263"/>
      <c r="U1" s="263"/>
      <c r="V1" s="264"/>
      <c r="W1" s="256" t="s">
        <v>3</v>
      </c>
      <c r="X1" s="257"/>
      <c r="Y1" s="257"/>
      <c r="Z1" s="257"/>
      <c r="AA1" s="257"/>
      <c r="AB1" s="258"/>
      <c r="AC1" s="244" t="s">
        <v>4</v>
      </c>
      <c r="AD1" s="245"/>
      <c r="AE1" s="245"/>
      <c r="AF1" s="245"/>
      <c r="AG1" s="246"/>
      <c r="AH1" s="244" t="s">
        <v>5</v>
      </c>
      <c r="AI1" s="245"/>
      <c r="AJ1" s="246"/>
      <c r="AK1" s="244" t="s">
        <v>6</v>
      </c>
      <c r="AL1" s="245"/>
      <c r="AM1" s="245"/>
      <c r="AN1" s="245"/>
      <c r="AO1" s="245"/>
      <c r="AP1" s="246"/>
      <c r="AQ1" s="244" t="s">
        <v>7</v>
      </c>
      <c r="AR1" s="245"/>
      <c r="AS1" s="246"/>
      <c r="AT1" s="247" t="s">
        <v>8</v>
      </c>
      <c r="AU1" s="248"/>
      <c r="AV1" s="248"/>
      <c r="AW1" s="248"/>
      <c r="AX1" s="248"/>
      <c r="AY1" s="248"/>
      <c r="AZ1" s="248"/>
      <c r="BA1" s="248"/>
      <c r="BB1" s="248"/>
      <c r="BC1" s="248"/>
      <c r="BD1" s="248"/>
      <c r="BE1" s="248"/>
      <c r="BF1" s="248"/>
      <c r="BG1" s="248"/>
      <c r="BH1" s="249"/>
      <c r="BI1" s="250" t="s">
        <v>9</v>
      </c>
      <c r="BJ1" s="251"/>
      <c r="BK1" s="251"/>
      <c r="BL1" s="251"/>
      <c r="BM1" s="251"/>
      <c r="BN1" s="252"/>
      <c r="BO1" s="242" t="s">
        <v>10</v>
      </c>
      <c r="BP1" s="243"/>
      <c r="BQ1" s="243"/>
      <c r="BR1" s="243"/>
    </row>
    <row r="2" spans="1:72" s="1" customFormat="1" ht="15" customHeight="1" x14ac:dyDescent="0.25">
      <c r="C2" s="20"/>
      <c r="D2" s="254"/>
      <c r="E2" s="254"/>
      <c r="F2" s="240" t="s">
        <v>11</v>
      </c>
      <c r="G2" s="255"/>
      <c r="H2" s="255"/>
      <c r="I2" s="255"/>
      <c r="J2" s="255"/>
      <c r="K2" s="255"/>
      <c r="L2" s="10"/>
      <c r="M2" s="10"/>
      <c r="N2" s="10"/>
      <c r="O2" s="11"/>
      <c r="P2" s="11"/>
      <c r="Q2" s="11"/>
      <c r="R2" s="265" t="s">
        <v>12</v>
      </c>
      <c r="S2" s="266"/>
      <c r="T2" s="265" t="s">
        <v>13</v>
      </c>
      <c r="U2" s="267"/>
      <c r="V2" s="266"/>
      <c r="W2" s="10"/>
      <c r="X2" s="11"/>
      <c r="Y2" s="11"/>
      <c r="Z2" s="11"/>
      <c r="AA2" s="11"/>
      <c r="AB2" s="11"/>
      <c r="AC2" s="10"/>
      <c r="AD2" s="11"/>
      <c r="AE2" s="11"/>
      <c r="AF2" s="11"/>
      <c r="AG2" s="11"/>
      <c r="AH2" s="10"/>
      <c r="AI2" s="11"/>
      <c r="AJ2" s="47"/>
      <c r="AK2" s="10"/>
      <c r="AL2" s="10"/>
      <c r="AM2" s="10"/>
      <c r="AN2" s="11"/>
      <c r="AO2" s="11"/>
      <c r="AP2" s="11"/>
      <c r="AQ2" s="10"/>
      <c r="AR2" s="11"/>
      <c r="AS2" s="11"/>
      <c r="AT2" s="46"/>
      <c r="AU2" s="46"/>
      <c r="AV2" s="48"/>
      <c r="AW2" s="46"/>
      <c r="AX2" s="46"/>
      <c r="AY2" s="48"/>
      <c r="AZ2" s="46"/>
      <c r="BA2" s="46"/>
      <c r="BB2" s="46"/>
      <c r="BC2" s="46"/>
      <c r="BD2" s="46"/>
      <c r="BE2" s="46"/>
      <c r="BF2" s="11"/>
      <c r="BG2" s="46"/>
      <c r="BH2" s="11"/>
      <c r="BI2" s="11"/>
      <c r="BJ2" s="11"/>
      <c r="BK2" s="11"/>
      <c r="BL2" s="11"/>
      <c r="BM2" s="11"/>
      <c r="BN2" s="11"/>
      <c r="BO2" s="4" t="s">
        <v>14</v>
      </c>
      <c r="BP2" s="240" t="s">
        <v>0</v>
      </c>
      <c r="BQ2" s="241"/>
      <c r="BR2" s="240" t="s">
        <v>15</v>
      </c>
      <c r="BS2" s="241"/>
    </row>
    <row r="3" spans="1:72" s="19" customFormat="1" ht="105" x14ac:dyDescent="0.25">
      <c r="A3" s="14" t="s">
        <v>16</v>
      </c>
      <c r="B3" s="14" t="s">
        <v>17</v>
      </c>
      <c r="C3" s="21" t="s">
        <v>17</v>
      </c>
      <c r="D3" s="14" t="s">
        <v>18</v>
      </c>
      <c r="E3" s="14" t="s">
        <v>19</v>
      </c>
      <c r="F3" s="15" t="s">
        <v>20</v>
      </c>
      <c r="G3" s="15" t="s">
        <v>21</v>
      </c>
      <c r="H3" s="14" t="s">
        <v>22</v>
      </c>
      <c r="I3" s="14" t="s">
        <v>23</v>
      </c>
      <c r="J3" s="14" t="s">
        <v>24</v>
      </c>
      <c r="K3" s="16" t="s">
        <v>25</v>
      </c>
      <c r="L3" s="54" t="s">
        <v>26</v>
      </c>
      <c r="M3" s="17" t="s">
        <v>27</v>
      </c>
      <c r="N3" s="17" t="s">
        <v>28</v>
      </c>
      <c r="O3" s="18" t="s">
        <v>29</v>
      </c>
      <c r="P3" s="18" t="s">
        <v>30</v>
      </c>
      <c r="Q3" s="16" t="s">
        <v>31</v>
      </c>
      <c r="R3" s="65" t="s">
        <v>32</v>
      </c>
      <c r="S3" s="65" t="s">
        <v>33</v>
      </c>
      <c r="T3" s="66" t="s">
        <v>34</v>
      </c>
      <c r="U3" s="66" t="s">
        <v>35</v>
      </c>
      <c r="V3" s="66" t="s">
        <v>36</v>
      </c>
      <c r="W3" s="55" t="s">
        <v>26</v>
      </c>
      <c r="X3" s="17" t="s">
        <v>27</v>
      </c>
      <c r="Y3" s="17" t="s">
        <v>28</v>
      </c>
      <c r="Z3" s="18" t="s">
        <v>29</v>
      </c>
      <c r="AA3" s="18" t="s">
        <v>30</v>
      </c>
      <c r="AB3" s="16" t="s">
        <v>37</v>
      </c>
      <c r="AC3" s="17" t="s">
        <v>38</v>
      </c>
      <c r="AD3" s="147" t="s">
        <v>143</v>
      </c>
      <c r="AE3" s="147" t="s">
        <v>144</v>
      </c>
      <c r="AF3" s="147" t="s">
        <v>142</v>
      </c>
      <c r="AG3" s="16" t="s">
        <v>39</v>
      </c>
      <c r="AH3" s="17" t="s">
        <v>40</v>
      </c>
      <c r="AI3" s="18" t="s">
        <v>41</v>
      </c>
      <c r="AJ3" s="16" t="s">
        <v>42</v>
      </c>
      <c r="AK3" s="17" t="s">
        <v>43</v>
      </c>
      <c r="AL3" s="17" t="s">
        <v>44</v>
      </c>
      <c r="AM3" s="17" t="s">
        <v>45</v>
      </c>
      <c r="AN3" s="18" t="s">
        <v>46</v>
      </c>
      <c r="AO3" s="18" t="s">
        <v>47</v>
      </c>
      <c r="AP3" s="16" t="s">
        <v>48</v>
      </c>
      <c r="AQ3" s="17" t="s">
        <v>49</v>
      </c>
      <c r="AR3" s="18" t="s">
        <v>50</v>
      </c>
      <c r="AS3" s="16" t="s">
        <v>51</v>
      </c>
      <c r="AT3" s="18" t="s">
        <v>52</v>
      </c>
      <c r="AU3" s="18" t="s">
        <v>53</v>
      </c>
      <c r="AV3" s="16" t="s">
        <v>54</v>
      </c>
      <c r="AW3" s="18" t="s">
        <v>55</v>
      </c>
      <c r="AX3" s="18" t="s">
        <v>56</v>
      </c>
      <c r="AY3" s="16" t="s">
        <v>57</v>
      </c>
      <c r="AZ3" s="18" t="s">
        <v>58</v>
      </c>
      <c r="BA3" s="18" t="s">
        <v>59</v>
      </c>
      <c r="BB3" s="16" t="s">
        <v>60</v>
      </c>
      <c r="BC3" s="18" t="s">
        <v>61</v>
      </c>
      <c r="BD3" s="18" t="s">
        <v>62</v>
      </c>
      <c r="BE3" s="16" t="s">
        <v>63</v>
      </c>
      <c r="BF3" s="18" t="s">
        <v>64</v>
      </c>
      <c r="BG3" s="18" t="s">
        <v>65</v>
      </c>
      <c r="BH3" s="16" t="s">
        <v>66</v>
      </c>
      <c r="BI3" s="18" t="s">
        <v>67</v>
      </c>
      <c r="BJ3" s="18" t="s">
        <v>68</v>
      </c>
      <c r="BK3" s="16" t="s">
        <v>69</v>
      </c>
      <c r="BL3" s="18" t="s">
        <v>70</v>
      </c>
      <c r="BM3" s="18" t="s">
        <v>71</v>
      </c>
      <c r="BN3" s="16" t="s">
        <v>72</v>
      </c>
      <c r="BO3" s="14" t="s">
        <v>73</v>
      </c>
      <c r="BP3" s="14" t="s">
        <v>74</v>
      </c>
      <c r="BQ3" s="14" t="s">
        <v>75</v>
      </c>
      <c r="BR3" s="14" t="s">
        <v>76</v>
      </c>
      <c r="BS3" s="14" t="s">
        <v>77</v>
      </c>
    </row>
    <row r="4" spans="1:72" s="1" customFormat="1" ht="1.9" customHeight="1" x14ac:dyDescent="0.25">
      <c r="A4" s="59"/>
      <c r="B4" s="60"/>
      <c r="C4" s="60"/>
      <c r="D4" s="60"/>
      <c r="E4" s="60"/>
      <c r="F4" s="60"/>
      <c r="G4" s="64">
        <f>SUM(H4:J4)</f>
        <v>0</v>
      </c>
      <c r="H4" s="60"/>
      <c r="I4" s="60"/>
      <c r="J4" s="60"/>
      <c r="K4" s="60"/>
      <c r="L4" s="60"/>
      <c r="M4" s="60"/>
      <c r="N4" s="60"/>
      <c r="O4" s="62" t="str">
        <f>IFERROR(VLOOKUP(TEXT(A4,"DD/MM/AAAA")&amp;"NE - SEPARAÇÃO - Pedidos B2C",BASE!$A:$D,4,0),"")</f>
        <v/>
      </c>
      <c r="P4" s="60"/>
      <c r="Q4" s="60"/>
      <c r="R4" s="60"/>
      <c r="S4" s="60"/>
      <c r="T4" s="60"/>
      <c r="U4" s="60"/>
      <c r="V4" s="60"/>
      <c r="W4" s="60"/>
      <c r="X4" s="60"/>
      <c r="Y4" s="60"/>
      <c r="Z4" s="63" t="str">
        <f>IFERROR(VLOOKUP(TEXT(A4,"DD/MM/AAAA")&amp;"NE - SEPARAÇÃO - Pedidos B2B",BASE!$A:$D,4,0),"")</f>
        <v/>
      </c>
      <c r="AA4" s="60"/>
      <c r="AB4" s="60"/>
      <c r="AC4" s="60"/>
      <c r="AD4" s="63" t="str">
        <f>IFERROR(VLOOKUP(TEXT(A4,"DD/MM/AAAA")&amp;"NE - EXPEDICAO - Abastecimento Boutiques",BASE!$A:$D,4,0),"")</f>
        <v/>
      </c>
      <c r="AE4" s="145"/>
      <c r="AF4" s="145"/>
      <c r="AG4" s="60"/>
      <c r="AH4" s="60"/>
      <c r="AI4" s="63" t="str">
        <f>IFERROR(VLOOKUP(TEXT(A4,"DD/MM/AAAA")&amp;"NE - EXPEDICAO - Custo Unitário por pallet separado Outros CDs",BASE!$A:$D,4,0),"")</f>
        <v/>
      </c>
      <c r="AJ4" s="60"/>
      <c r="AK4" s="60"/>
      <c r="AL4" s="63" t="str">
        <f>IFERROR(VLOOKUP(TEXT(A4,"DD/MM/AAAA")&amp;"NE - SEPARAÇÃO - Trade Acessórios",BASE!$A:$D,4,0),"")</f>
        <v/>
      </c>
      <c r="AM4" s="63" t="str">
        <f>IFERROR(VLOOKUP(TEXT(A4,"DD/MM/AAAA")&amp;"NE - SEPARAÇÃO - Trade Café",BASE!$A:$D,4,0),"")</f>
        <v/>
      </c>
      <c r="AN4" s="63" t="str">
        <f>IFERROR(VLOOKUP(TEXT(A4,"DD/MM/AAAA")&amp;"NE - SEPARAÇÃO - Trade maquinas",BASE!$A:$D,4,0),"")</f>
        <v/>
      </c>
      <c r="AO4" s="63">
        <f>SUM(AL4:AN4)</f>
        <v>0</v>
      </c>
      <c r="AP4" s="60"/>
      <c r="AQ4" s="60"/>
      <c r="AR4" s="63" t="str">
        <f>IFERROR(VLOOKUP(TEXT(A4,"DD/MM/AAAA")&amp;"NE - SEPARAÇÃO - Custo Unitário por pallet separado (Agents B2B / POSM Trade)",BASE!$A:$D,4,0),"")</f>
        <v/>
      </c>
      <c r="AS4" s="60"/>
      <c r="AT4" s="60"/>
      <c r="AU4" s="60"/>
      <c r="AV4" s="60"/>
      <c r="AW4" s="60"/>
      <c r="AX4" s="60"/>
      <c r="AY4" s="60"/>
      <c r="AZ4" s="60"/>
      <c r="BA4" s="60"/>
      <c r="BB4" s="60"/>
      <c r="BC4" s="60"/>
      <c r="BD4" s="60"/>
      <c r="BE4" s="60"/>
      <c r="BF4" s="87"/>
      <c r="BG4" s="60"/>
      <c r="BH4" s="60"/>
      <c r="BI4" s="60"/>
      <c r="BJ4" s="60"/>
      <c r="BK4" s="60"/>
      <c r="BL4" s="60"/>
      <c r="BM4" s="60"/>
      <c r="BN4" s="61"/>
    </row>
    <row r="5" spans="1:72" s="1" customFormat="1" hidden="1" x14ac:dyDescent="0.25">
      <c r="A5" s="69">
        <v>44317</v>
      </c>
      <c r="B5" s="50"/>
      <c r="C5" s="50"/>
      <c r="D5" s="50"/>
      <c r="E5" s="50"/>
      <c r="F5" s="51">
        <v>0</v>
      </c>
      <c r="G5" s="3">
        <f>SUM(H5:J5)</f>
        <v>0</v>
      </c>
      <c r="H5" s="50"/>
      <c r="I5" s="50"/>
      <c r="J5" s="50"/>
      <c r="K5" s="52"/>
      <c r="L5" s="56">
        <v>3344.6117940243003</v>
      </c>
      <c r="M5" s="50">
        <v>2884</v>
      </c>
      <c r="N5" s="50">
        <v>2015</v>
      </c>
      <c r="O5" s="49" t="str">
        <f>IFERROR(VLOOKUP(TEXT(A5,"DD/MM/AAAA")&amp;"NE - SEPARAÇÃO - Pedidos B2C",BASE!$A:$D,4,0),"")</f>
        <v/>
      </c>
      <c r="P5" s="50"/>
      <c r="Q5" s="53"/>
      <c r="R5" s="68"/>
      <c r="S5" s="68"/>
      <c r="T5" s="67"/>
      <c r="U5" s="67"/>
      <c r="V5" s="67"/>
      <c r="W5" s="57">
        <v>65.519645309999632</v>
      </c>
      <c r="X5" s="50">
        <v>77</v>
      </c>
      <c r="Y5" s="50">
        <v>12</v>
      </c>
      <c r="Z5" s="49" t="str">
        <f>IFERROR(VLOOKUP(TEXT(A5,"DD/MM/AAAA")&amp;"NE - SEPARAÇÃO - Pedidos B2B",BASE!$A:$D,4,0),"")</f>
        <v/>
      </c>
      <c r="AA5" s="50"/>
      <c r="AB5" s="53"/>
      <c r="AC5" s="58">
        <v>0</v>
      </c>
      <c r="AD5" s="49" t="str">
        <f>IFERROR(VLOOKUP(TEXT(A5,"DD/MM/AAAA")&amp;"NE - EXPEDICAO - Abastecimento Boutiques",BASE!$A:$D,4,0),"")</f>
        <v/>
      </c>
      <c r="AE5" s="115"/>
      <c r="AF5" s="115"/>
      <c r="AG5" s="53"/>
      <c r="AH5" s="58">
        <v>0</v>
      </c>
      <c r="AI5" s="5" t="str">
        <f>IFERROR(VLOOKUP(TEXT(A5,"DD/MM/AAAA")&amp;"NE - EXPEDICAO - Custo Unitário por pallet separado Outros CDs",BASE!$A:$D,4,0),"")</f>
        <v/>
      </c>
      <c r="AJ5" s="70"/>
      <c r="AK5" s="50">
        <v>0</v>
      </c>
      <c r="AL5" s="49" t="str">
        <f>IFERROR(VLOOKUP(TEXT(A5,"DD/MM/AAAA")&amp;"NE - SEPARAÇÃO - Trade Acessórios",BASE!$A:$D,4,0),"")</f>
        <v/>
      </c>
      <c r="AM5" s="12" t="str">
        <f>IFERROR(VLOOKUP(TEXT(A5,"DD/MM/AAAA")&amp;"NE - SEPARAÇÃO - Trade Café",BASE!$A:$D,4,0),"")</f>
        <v/>
      </c>
      <c r="AN5" s="49" t="str">
        <f>IFERROR(VLOOKUP(TEXT(A5,"DD/MM/AAAA")&amp;"NE - SEPARAÇÃO - Trade maquinas",BASE!$A:$D,4,0),"")</f>
        <v/>
      </c>
      <c r="AO5" s="49">
        <f t="shared" ref="AO5:AO35" si="0">SUM(AL5:AN5)</f>
        <v>0</v>
      </c>
      <c r="AP5" s="53"/>
      <c r="AQ5" s="50">
        <v>0</v>
      </c>
      <c r="AR5" s="12" t="str">
        <f>IFERROR(VLOOKUP(TEXT(A5,"DD/MM/AAAA")&amp;"NE - SEPARAÇÃO - Custo Unitário por pallet separado (Agents B2B / POSM Trade)",BASE!$A:$D,4,0),"")</f>
        <v/>
      </c>
      <c r="AS5" s="53"/>
      <c r="AT5" s="50">
        <v>0</v>
      </c>
      <c r="AU5" s="50">
        <v>300</v>
      </c>
      <c r="AV5" s="53"/>
      <c r="AW5" s="50">
        <v>0</v>
      </c>
      <c r="AX5" s="50"/>
      <c r="AY5" s="53"/>
      <c r="AZ5" s="50">
        <v>0</v>
      </c>
      <c r="BA5" s="50"/>
      <c r="BB5" s="53"/>
      <c r="BC5" s="50">
        <v>0</v>
      </c>
      <c r="BD5" s="50"/>
      <c r="BE5" s="53"/>
      <c r="BF5" s="50">
        <v>0</v>
      </c>
      <c r="BG5" s="50"/>
      <c r="BH5" s="53"/>
      <c r="BI5" s="50"/>
      <c r="BJ5" s="50"/>
      <c r="BK5" s="53"/>
      <c r="BL5" s="2">
        <v>0</v>
      </c>
      <c r="BM5" s="50"/>
      <c r="BN5" s="53"/>
      <c r="BT5" s="69"/>
    </row>
    <row r="6" spans="1:72" s="1" customFormat="1" hidden="1" x14ac:dyDescent="0.25">
      <c r="A6" s="69">
        <v>44318</v>
      </c>
      <c r="B6" s="50"/>
      <c r="C6" s="50"/>
      <c r="D6" s="50"/>
      <c r="E6" s="50"/>
      <c r="F6" s="51">
        <v>49.425807637913245</v>
      </c>
      <c r="G6" s="3">
        <f>SUM(H6:J6)</f>
        <v>0</v>
      </c>
      <c r="H6" s="50"/>
      <c r="I6" s="50"/>
      <c r="J6" s="50"/>
      <c r="K6" s="52"/>
      <c r="L6" s="56">
        <v>3392</v>
      </c>
      <c r="M6" s="50">
        <v>2389</v>
      </c>
      <c r="N6" s="50">
        <v>2825</v>
      </c>
      <c r="O6" s="49" t="str">
        <f>IFERROR(VLOOKUP(TEXT(A6,"DD/MM/AAAA")&amp;"NE - SEPARAÇÃO - Pedidos B2C",BASE!$A:$D,4,0),"")</f>
        <v/>
      </c>
      <c r="P6" s="50"/>
      <c r="Q6" s="53"/>
      <c r="R6" s="68"/>
      <c r="S6" s="68"/>
      <c r="T6" s="67"/>
      <c r="U6" s="67"/>
      <c r="V6" s="67"/>
      <c r="W6" s="57">
        <v>66.440976264197076</v>
      </c>
      <c r="X6" s="50">
        <v>3</v>
      </c>
      <c r="Y6" s="50">
        <v>63</v>
      </c>
      <c r="Z6" s="49" t="str">
        <f>IFERROR(VLOOKUP(TEXT(A6,"DD/MM/AAAA")&amp;"NE - SEPARAÇÃO - Pedidos B2B",BASE!$A:$D,4,0),"")</f>
        <v/>
      </c>
      <c r="AA6" s="50"/>
      <c r="AB6" s="53"/>
      <c r="AC6" s="58">
        <v>7</v>
      </c>
      <c r="AD6" s="49" t="str">
        <f>IFERROR(VLOOKUP(TEXT(A6,"DD/MM/AAAA")&amp;"NE - EXPEDICAO - Abastecimento Boutiques",BASE!$A:$D,4,0),"")</f>
        <v/>
      </c>
      <c r="AE6" s="49"/>
      <c r="AF6" s="49"/>
      <c r="AG6" s="5"/>
      <c r="AH6" s="58">
        <v>13</v>
      </c>
      <c r="AI6" s="5" t="str">
        <f>IFERROR(VLOOKUP(TEXT(A6,"DD/MM/AAAA")&amp;"NE - EXPEDICAO - Custo Unitário por pallet separado Outros CDs",BASE!$A:$D,4,0),"")</f>
        <v/>
      </c>
      <c r="AJ6" s="16"/>
      <c r="AK6" s="2">
        <v>680</v>
      </c>
      <c r="AL6" s="49" t="str">
        <f>IFERROR(VLOOKUP(TEXT(A6,"DD/MM/AAAA")&amp;"NE - SEPARAÇÃO - Trade Acessórios",BASE!$A:$D,4,0),"")</f>
        <v/>
      </c>
      <c r="AM6" s="12" t="str">
        <f>IFERROR(VLOOKUP(TEXT(A6,"DD/MM/AAAA")&amp;"NE - SEPARAÇÃO - Trade Café",BASE!$A:$D,4,0),"")</f>
        <v/>
      </c>
      <c r="AN6" s="49" t="str">
        <f>IFERROR(VLOOKUP(TEXT(A6,"DD/MM/AAAA")&amp;"NE - SEPARAÇÃO - Trade maquinas",BASE!$A:$D,4,0),"")</f>
        <v/>
      </c>
      <c r="AO6" s="49">
        <f t="shared" si="0"/>
        <v>0</v>
      </c>
      <c r="AP6" s="5"/>
      <c r="AQ6" s="2">
        <v>2</v>
      </c>
      <c r="AR6" s="12" t="str">
        <f>IFERROR(VLOOKUP(TEXT(A6,"DD/MM/AAAA")&amp;"NE - SEPARAÇÃO - Custo Unitário por pallet separado (Agents B2B / POSM Trade)",BASE!$A:$D,4,0),"")</f>
        <v/>
      </c>
      <c r="AS6" s="5"/>
      <c r="AT6" s="2">
        <v>959.30769230769226</v>
      </c>
      <c r="AU6" s="2">
        <v>389</v>
      </c>
      <c r="AV6" s="5"/>
      <c r="AW6" s="2">
        <v>1829.8565909451304</v>
      </c>
      <c r="AX6" s="2"/>
      <c r="AY6" s="5"/>
      <c r="AZ6" s="2">
        <v>122</v>
      </c>
      <c r="BA6" s="2"/>
      <c r="BB6" s="5"/>
      <c r="BC6" s="2">
        <v>7</v>
      </c>
      <c r="BD6" s="2">
        <v>92</v>
      </c>
      <c r="BE6" s="5"/>
      <c r="BF6" s="2">
        <v>498</v>
      </c>
      <c r="BG6" s="2"/>
      <c r="BH6" s="5"/>
      <c r="BI6" s="2"/>
      <c r="BJ6" s="2"/>
      <c r="BK6" s="5"/>
      <c r="BL6" s="2"/>
      <c r="BM6" s="2"/>
      <c r="BN6" s="5"/>
    </row>
    <row r="7" spans="1:72" s="1" customFormat="1" hidden="1" x14ac:dyDescent="0.25">
      <c r="A7" s="69">
        <v>44319</v>
      </c>
      <c r="B7" s="50"/>
      <c r="C7" s="50"/>
      <c r="D7" s="50"/>
      <c r="E7" s="50"/>
      <c r="F7" s="51">
        <v>49.425807637913245</v>
      </c>
      <c r="G7" s="3">
        <f>SUM(H7:J7)</f>
        <v>91</v>
      </c>
      <c r="H7" s="50">
        <v>17</v>
      </c>
      <c r="I7" s="50">
        <v>25</v>
      </c>
      <c r="J7" s="50">
        <v>49</v>
      </c>
      <c r="K7" s="52"/>
      <c r="L7" s="56">
        <v>6540</v>
      </c>
      <c r="M7" s="50">
        <v>5226</v>
      </c>
      <c r="N7" s="50">
        <v>4560</v>
      </c>
      <c r="O7" s="49" t="str">
        <f>IFERROR(VLOOKUP(TEXT(A7,"DD/MM/AAAA")&amp;"NE - SEPARAÇÃO - Pedidos B2C",BASE!$A:$D,4,0),"")</f>
        <v/>
      </c>
      <c r="P7" s="50">
        <v>4792</v>
      </c>
      <c r="Q7" s="53"/>
      <c r="R7" s="68"/>
      <c r="S7" s="68"/>
      <c r="T7" s="67"/>
      <c r="U7" s="67"/>
      <c r="V7" s="67"/>
      <c r="W7" s="57">
        <v>127</v>
      </c>
      <c r="X7" s="50">
        <v>120</v>
      </c>
      <c r="Y7" s="50">
        <v>89</v>
      </c>
      <c r="Z7" s="49" t="str">
        <f>IFERROR(VLOOKUP(TEXT(A7,"DD/MM/AAAA")&amp;"NE - SEPARAÇÃO - Pedidos B2B",BASE!$A:$D,4,0),"")</f>
        <v/>
      </c>
      <c r="AA7" s="50">
        <v>80</v>
      </c>
      <c r="AB7" s="53"/>
      <c r="AC7" s="58">
        <v>13</v>
      </c>
      <c r="AD7" s="49" t="str">
        <f>IFERROR(VLOOKUP(TEXT(A7,"DD/MM/AAAA")&amp;"NE - EXPEDICAO - Abastecimento Boutiques",BASE!$A:$D,4,0),"")</f>
        <v/>
      </c>
      <c r="AE7" s="49"/>
      <c r="AF7" s="49"/>
      <c r="AG7" s="5"/>
      <c r="AH7" s="58">
        <v>25</v>
      </c>
      <c r="AI7" s="5" t="str">
        <f>IFERROR(VLOOKUP(TEXT(A7,"DD/MM/AAAA")&amp;"NE - EXPEDICAO - Custo Unitário por pallet separado Outros CDs",BASE!$A:$D,4,0),"")</f>
        <v/>
      </c>
      <c r="AJ7" s="16"/>
      <c r="AK7" s="2">
        <v>1212</v>
      </c>
      <c r="AL7" s="49" t="str">
        <f>IFERROR(VLOOKUP(TEXT(A7,"DD/MM/AAAA")&amp;"NE - SEPARAÇÃO - Trade Acessórios",BASE!$A:$D,4,0),"")</f>
        <v/>
      </c>
      <c r="AM7" s="12" t="str">
        <f>IFERROR(VLOOKUP(TEXT(A7,"DD/MM/AAAA")&amp;"NE - SEPARAÇÃO - Trade Café",BASE!$A:$D,4,0),"")</f>
        <v/>
      </c>
      <c r="AN7" s="49" t="str">
        <f>IFERROR(VLOOKUP(TEXT(A7,"DD/MM/AAAA")&amp;"NE - SEPARAÇÃO - Trade maquinas",BASE!$A:$D,4,0),"")</f>
        <v/>
      </c>
      <c r="AO7" s="49">
        <f t="shared" si="0"/>
        <v>0</v>
      </c>
      <c r="AP7" s="5"/>
      <c r="AQ7" s="2">
        <v>3</v>
      </c>
      <c r="AR7" s="12" t="str">
        <f>IFERROR(VLOOKUP(TEXT(A7,"DD/MM/AAAA")&amp;"NE - SEPARAÇÃO - Custo Unitário por pallet separado (Agents B2B / POSM Trade)",BASE!$A:$D,4,0),"")</f>
        <v/>
      </c>
      <c r="AS7" s="5"/>
      <c r="AT7" s="2">
        <v>959.30769230769226</v>
      </c>
      <c r="AU7" s="2">
        <v>8793</v>
      </c>
      <c r="AV7" s="5"/>
      <c r="AW7" s="2">
        <v>1829.8565909451304</v>
      </c>
      <c r="AX7" s="2">
        <v>468</v>
      </c>
      <c r="AY7" s="5"/>
      <c r="AZ7" s="2">
        <v>122</v>
      </c>
      <c r="BA7" s="2">
        <v>108</v>
      </c>
      <c r="BB7" s="5"/>
      <c r="BC7" s="2">
        <v>7</v>
      </c>
      <c r="BD7" s="2"/>
      <c r="BE7" s="5"/>
      <c r="BF7" s="2">
        <v>498</v>
      </c>
      <c r="BG7" s="2"/>
      <c r="BH7" s="5"/>
      <c r="BI7" s="2"/>
      <c r="BJ7" s="2">
        <v>3</v>
      </c>
      <c r="BK7" s="5"/>
      <c r="BL7" s="2">
        <f>57/21</f>
        <v>2.7142857142857144</v>
      </c>
      <c r="BM7" s="2"/>
      <c r="BN7" s="5"/>
    </row>
    <row r="8" spans="1:72" s="1" customFormat="1" hidden="1" x14ac:dyDescent="0.25">
      <c r="A8" s="69">
        <v>44320</v>
      </c>
      <c r="B8" s="50"/>
      <c r="C8" s="50"/>
      <c r="D8" s="50"/>
      <c r="E8" s="50"/>
      <c r="F8" s="51">
        <v>49.425807637913245</v>
      </c>
      <c r="G8" s="3">
        <f t="shared" ref="G8:G35" si="1">SUM(H8:J8)</f>
        <v>120</v>
      </c>
      <c r="H8" s="50">
        <v>73</v>
      </c>
      <c r="I8" s="50">
        <v>3</v>
      </c>
      <c r="J8" s="50">
        <v>44</v>
      </c>
      <c r="K8" s="52"/>
      <c r="L8" s="56">
        <v>5689</v>
      </c>
      <c r="M8" s="50">
        <v>4373</v>
      </c>
      <c r="N8" s="50">
        <v>5129</v>
      </c>
      <c r="O8" s="49" t="str">
        <f>IFERROR(VLOOKUP(TEXT(A8,"DD/MM/AAAA")&amp;"NE - SEPARAÇÃO - Pedidos B2C",BASE!$A:$D,4,0),"")</f>
        <v/>
      </c>
      <c r="P8" s="50">
        <v>3806</v>
      </c>
      <c r="Q8" s="53"/>
      <c r="R8" s="68"/>
      <c r="S8" s="68"/>
      <c r="T8" s="67"/>
      <c r="U8" s="67"/>
      <c r="V8" s="67"/>
      <c r="W8" s="57">
        <v>111.66326795750783</v>
      </c>
      <c r="X8" s="50">
        <v>225</v>
      </c>
      <c r="Y8" s="50">
        <v>182</v>
      </c>
      <c r="Z8" s="49" t="str">
        <f>IFERROR(VLOOKUP(TEXT(A8,"DD/MM/AAAA")&amp;"NE - SEPARAÇÃO - Pedidos B2B",BASE!$A:$D,4,0),"")</f>
        <v/>
      </c>
      <c r="AA8" s="50">
        <v>11</v>
      </c>
      <c r="AB8" s="53"/>
      <c r="AC8" s="58">
        <v>12</v>
      </c>
      <c r="AD8" s="49" t="str">
        <f>IFERROR(VLOOKUP(TEXT(A8,"DD/MM/AAAA")&amp;"NE - EXPEDICAO - Abastecimento Boutiques",BASE!$A:$D,4,0),"")</f>
        <v/>
      </c>
      <c r="AE8" s="49"/>
      <c r="AF8" s="49"/>
      <c r="AG8" s="5"/>
      <c r="AH8" s="58">
        <v>24</v>
      </c>
      <c r="AI8" s="5" t="str">
        <f>IFERROR(VLOOKUP(TEXT(A8,"DD/MM/AAAA")&amp;"NE - EXPEDICAO - Custo Unitário por pallet separado Outros CDs",BASE!$A:$D,4,0),"")</f>
        <v/>
      </c>
      <c r="AJ8" s="16"/>
      <c r="AK8" s="2">
        <v>1100</v>
      </c>
      <c r="AL8" s="49" t="str">
        <f>IFERROR(VLOOKUP(TEXT(A8,"DD/MM/AAAA")&amp;"NE - SEPARAÇÃO - Trade Acessórios",BASE!$A:$D,4,0),"")</f>
        <v/>
      </c>
      <c r="AM8" s="12" t="str">
        <f>IFERROR(VLOOKUP(TEXT(A8,"DD/MM/AAAA")&amp;"NE - SEPARAÇÃO - Trade Café",BASE!$A:$D,4,0),"")</f>
        <v/>
      </c>
      <c r="AN8" s="49" t="str">
        <f>IFERROR(VLOOKUP(TEXT(A8,"DD/MM/AAAA")&amp;"NE - SEPARAÇÃO - Trade maquinas",BASE!$A:$D,4,0),"")</f>
        <v/>
      </c>
      <c r="AO8" s="49">
        <f t="shared" si="0"/>
        <v>0</v>
      </c>
      <c r="AP8" s="5"/>
      <c r="AQ8" s="2">
        <v>1.7740575380084955</v>
      </c>
      <c r="AR8" s="12" t="str">
        <f>IFERROR(VLOOKUP(TEXT(A8,"DD/MM/AAAA")&amp;"NE - SEPARAÇÃO - Custo Unitário por pallet separado (Agents B2B / POSM Trade)",BASE!$A:$D,4,0),"")</f>
        <v/>
      </c>
      <c r="AS8" s="5"/>
      <c r="AT8" s="2">
        <v>959.30769230769226</v>
      </c>
      <c r="AU8" s="2">
        <v>1800</v>
      </c>
      <c r="AV8" s="5"/>
      <c r="AW8" s="2">
        <v>1829.8565909451304</v>
      </c>
      <c r="AX8" s="2"/>
      <c r="AY8" s="5"/>
      <c r="AZ8" s="2">
        <v>122</v>
      </c>
      <c r="BA8" s="2"/>
      <c r="BB8" s="5"/>
      <c r="BC8" s="2">
        <v>7</v>
      </c>
      <c r="BD8" s="2"/>
      <c r="BE8" s="5"/>
      <c r="BF8" s="2">
        <v>498</v>
      </c>
      <c r="BG8" s="2"/>
      <c r="BH8" s="5"/>
      <c r="BI8" s="2"/>
      <c r="BJ8" s="2">
        <v>74</v>
      </c>
      <c r="BK8" s="5"/>
      <c r="BL8" s="2">
        <f>57/21</f>
        <v>2.7142857142857144</v>
      </c>
      <c r="BM8">
        <v>4</v>
      </c>
      <c r="BN8" s="5"/>
    </row>
    <row r="9" spans="1:72" s="1" customFormat="1" hidden="1" x14ac:dyDescent="0.25">
      <c r="A9" s="69">
        <v>44321</v>
      </c>
      <c r="B9" s="50"/>
      <c r="C9" s="50"/>
      <c r="D9" s="50"/>
      <c r="E9" s="50"/>
      <c r="F9" s="51">
        <v>49.425807637913245</v>
      </c>
      <c r="G9" s="3">
        <f t="shared" si="1"/>
        <v>106</v>
      </c>
      <c r="H9" s="50">
        <v>22</v>
      </c>
      <c r="I9" s="50">
        <v>0</v>
      </c>
      <c r="J9" s="50">
        <v>84</v>
      </c>
      <c r="K9" s="52"/>
      <c r="L9" s="56">
        <v>5318</v>
      </c>
      <c r="M9" s="50">
        <v>3921</v>
      </c>
      <c r="N9" s="50">
        <v>3801</v>
      </c>
      <c r="O9" s="49" t="str">
        <f>IFERROR(VLOOKUP(TEXT(A9,"DD/MM/AAAA")&amp;"NE - SEPARAÇÃO - Pedidos B2C",BASE!$A:$D,4,0),"")</f>
        <v/>
      </c>
      <c r="P9" s="50">
        <v>5375</v>
      </c>
      <c r="Q9" s="53"/>
      <c r="R9" s="68"/>
      <c r="S9" s="68"/>
      <c r="T9" s="67"/>
      <c r="U9" s="67"/>
      <c r="V9" s="67"/>
      <c r="W9" s="57">
        <v>104.34589397674384</v>
      </c>
      <c r="X9" s="50">
        <v>148</v>
      </c>
      <c r="Y9" s="50">
        <v>151</v>
      </c>
      <c r="Z9" s="49" t="str">
        <f>IFERROR(VLOOKUP(TEXT(A9,"DD/MM/AAAA")&amp;"NE - SEPARAÇÃO - Pedidos B2B",BASE!$A:$D,4,0),"")</f>
        <v/>
      </c>
      <c r="AA9" s="50">
        <v>94</v>
      </c>
      <c r="AB9" s="53"/>
      <c r="AC9" s="58">
        <v>10</v>
      </c>
      <c r="AD9" s="49" t="str">
        <f>IFERROR(VLOOKUP(TEXT(A9,"DD/MM/AAAA")&amp;"NE - EXPEDICAO - Abastecimento Boutiques",BASE!$A:$D,4,0),"")</f>
        <v/>
      </c>
      <c r="AE9" s="49"/>
      <c r="AF9" s="49"/>
      <c r="AG9" s="5"/>
      <c r="AH9" s="58">
        <v>19</v>
      </c>
      <c r="AI9" s="5" t="str">
        <f>IFERROR(VLOOKUP(TEXT(A9,"DD/MM/AAAA")&amp;"NE - EXPEDICAO - Custo Unitário por pallet separado Outros CDs",BASE!$A:$D,4,0),"")</f>
        <v/>
      </c>
      <c r="AJ9" s="16"/>
      <c r="AK9" s="2">
        <v>1007</v>
      </c>
      <c r="AL9" s="49" t="str">
        <f>IFERROR(VLOOKUP(TEXT(A9,"DD/MM/AAAA")&amp;"NE - SEPARAÇÃO - Trade Acessórios",BASE!$A:$D,4,0),"")</f>
        <v/>
      </c>
      <c r="AM9" s="12" t="str">
        <f>IFERROR(VLOOKUP(TEXT(A9,"DD/MM/AAAA")&amp;"NE - SEPARAÇÃO - Trade Café",BASE!$A:$D,4,0),"")</f>
        <v/>
      </c>
      <c r="AN9" s="49" t="str">
        <f>IFERROR(VLOOKUP(TEXT(A9,"DD/MM/AAAA")&amp;"NE - SEPARAÇÃO - Trade maquinas",BASE!$A:$D,4,0),"")</f>
        <v/>
      </c>
      <c r="AO9" s="49">
        <f t="shared" si="0"/>
        <v>0</v>
      </c>
      <c r="AP9" s="5"/>
      <c r="AQ9" s="2">
        <v>1.6578022760369264</v>
      </c>
      <c r="AR9" s="12" t="str">
        <f>IFERROR(VLOOKUP(TEXT(A9,"DD/MM/AAAA")&amp;"NE - SEPARAÇÃO - Custo Unitário por pallet separado (Agents B2B / POSM Trade)",BASE!$A:$D,4,0),"")</f>
        <v/>
      </c>
      <c r="AS9" s="5"/>
      <c r="AT9" s="2">
        <v>959.30769230769226</v>
      </c>
      <c r="AU9" s="2">
        <v>1900</v>
      </c>
      <c r="AV9" s="5"/>
      <c r="AW9" s="2">
        <v>1829.8565909451304</v>
      </c>
      <c r="AX9" s="2"/>
      <c r="AY9" s="5"/>
      <c r="AZ9" s="2">
        <v>122</v>
      </c>
      <c r="BA9" s="2"/>
      <c r="BB9" s="5"/>
      <c r="BC9" s="2">
        <v>7</v>
      </c>
      <c r="BD9" s="2"/>
      <c r="BE9" s="5"/>
      <c r="BF9" s="2">
        <v>498</v>
      </c>
      <c r="BG9" s="2"/>
      <c r="BH9" s="5"/>
      <c r="BI9" s="2"/>
      <c r="BJ9" s="2">
        <v>57</v>
      </c>
      <c r="BK9" s="5"/>
      <c r="BL9" s="2">
        <f>57/21</f>
        <v>2.7142857142857144</v>
      </c>
      <c r="BM9">
        <v>10</v>
      </c>
      <c r="BN9" s="5"/>
    </row>
    <row r="10" spans="1:72" s="1" customFormat="1" hidden="1" x14ac:dyDescent="0.25">
      <c r="A10" s="69">
        <v>44322</v>
      </c>
      <c r="B10" s="50"/>
      <c r="C10" s="50"/>
      <c r="D10" s="50"/>
      <c r="E10" s="50"/>
      <c r="F10" s="51">
        <v>49.425807637913245</v>
      </c>
      <c r="G10" s="3">
        <f t="shared" si="1"/>
        <v>99</v>
      </c>
      <c r="H10" s="50">
        <v>74</v>
      </c>
      <c r="I10" s="50">
        <v>1</v>
      </c>
      <c r="J10" s="50">
        <v>24</v>
      </c>
      <c r="K10" s="52"/>
      <c r="L10" s="56">
        <v>5056</v>
      </c>
      <c r="M10" s="50">
        <v>4443</v>
      </c>
      <c r="N10" s="50">
        <v>4284</v>
      </c>
      <c r="O10" s="49" t="str">
        <f>IFERROR(VLOOKUP(TEXT(A10,"DD/MM/AAAA")&amp;"NE - SEPARAÇÃO - Pedidos B2C",BASE!$A:$D,4,0),"")</f>
        <v/>
      </c>
      <c r="P10" s="50">
        <v>3918</v>
      </c>
      <c r="Q10" s="53"/>
      <c r="R10" s="68"/>
      <c r="S10" s="68"/>
      <c r="T10" s="67"/>
      <c r="U10" s="67"/>
      <c r="V10" s="67"/>
      <c r="W10" s="57">
        <v>99.196594463064912</v>
      </c>
      <c r="X10" s="50">
        <v>105</v>
      </c>
      <c r="Y10" s="50">
        <v>146</v>
      </c>
      <c r="Z10" s="49" t="str">
        <f>IFERROR(VLOOKUP(TEXT(A10,"DD/MM/AAAA")&amp;"NE - SEPARAÇÃO - Pedidos B2B",BASE!$A:$D,4,0),"")</f>
        <v/>
      </c>
      <c r="AA10" s="50">
        <v>25</v>
      </c>
      <c r="AB10" s="53"/>
      <c r="AC10" s="58">
        <v>10</v>
      </c>
      <c r="AD10" s="49" t="str">
        <f>IFERROR(VLOOKUP(TEXT(A10,"DD/MM/AAAA")&amp;"NE - EXPEDICAO - Abastecimento Boutiques",BASE!$A:$D,4,0),"")</f>
        <v/>
      </c>
      <c r="AE10" s="49"/>
      <c r="AF10" s="49"/>
      <c r="AG10" s="5"/>
      <c r="AH10" s="58">
        <v>22</v>
      </c>
      <c r="AI10" s="5" t="str">
        <f>IFERROR(VLOOKUP(TEXT(A10,"DD/MM/AAAA")&amp;"NE - EXPEDICAO - Custo Unitário por pallet separado Outros CDs",BASE!$A:$D,4,0),"")</f>
        <v/>
      </c>
      <c r="AJ10" s="16"/>
      <c r="AK10" s="2">
        <v>960</v>
      </c>
      <c r="AL10" s="49" t="str">
        <f>IFERROR(VLOOKUP(TEXT(A10,"DD/MM/AAAA")&amp;"NE - SEPARAÇÃO - Trade Acessórios",BASE!$A:$D,4,0),"")</f>
        <v/>
      </c>
      <c r="AM10" s="12" t="str">
        <f>IFERROR(VLOOKUP(TEXT(A10,"DD/MM/AAAA")&amp;"NE - SEPARAÇÃO - Trade Café",BASE!$A:$D,4,0),"")</f>
        <v/>
      </c>
      <c r="AN10" s="49" t="str">
        <f>IFERROR(VLOOKUP(TEXT(A10,"DD/MM/AAAA")&amp;"NE - SEPARAÇÃO - Trade maquinas",BASE!$A:$D,4,0),"")</f>
        <v/>
      </c>
      <c r="AO10" s="49">
        <f t="shared" si="0"/>
        <v>0</v>
      </c>
      <c r="AP10" s="5"/>
      <c r="AQ10" s="2">
        <v>1.5759924402260861</v>
      </c>
      <c r="AR10" s="12" t="str">
        <f>IFERROR(VLOOKUP(TEXT(A10,"DD/MM/AAAA")&amp;"NE - SEPARAÇÃO - Custo Unitário por pallet separado (Agents B2B / POSM Trade)",BASE!$A:$D,4,0),"")</f>
        <v/>
      </c>
      <c r="AS10" s="5"/>
      <c r="AT10" s="2">
        <v>959.30769230769226</v>
      </c>
      <c r="AU10" s="2">
        <v>674</v>
      </c>
      <c r="AV10" s="5"/>
      <c r="AW10" s="2">
        <v>1829.8565909451304</v>
      </c>
      <c r="AX10" s="2">
        <v>2690</v>
      </c>
      <c r="AY10" s="5"/>
      <c r="AZ10" s="2">
        <v>122</v>
      </c>
      <c r="BA10" s="2"/>
      <c r="BB10" s="5"/>
      <c r="BC10" s="2">
        <v>7</v>
      </c>
      <c r="BD10" s="2"/>
      <c r="BE10" s="5"/>
      <c r="BF10" s="2">
        <v>498</v>
      </c>
      <c r="BG10" s="2"/>
      <c r="BH10" s="5"/>
      <c r="BI10" s="2"/>
      <c r="BJ10" s="2">
        <v>147</v>
      </c>
      <c r="BK10" s="5"/>
      <c r="BL10" s="2">
        <f>57/21</f>
        <v>2.7142857142857144</v>
      </c>
      <c r="BM10" s="2">
        <v>3</v>
      </c>
      <c r="BN10" s="5"/>
    </row>
    <row r="11" spans="1:72" s="1" customFormat="1" hidden="1" x14ac:dyDescent="0.25">
      <c r="A11" s="69">
        <v>44323</v>
      </c>
      <c r="B11" s="50"/>
      <c r="C11" s="50"/>
      <c r="D11" s="50"/>
      <c r="E11" s="50"/>
      <c r="F11" s="51">
        <v>49.425807637913245</v>
      </c>
      <c r="G11" s="3">
        <f t="shared" si="1"/>
        <v>109</v>
      </c>
      <c r="H11" s="50">
        <v>82</v>
      </c>
      <c r="I11" s="50">
        <v>3</v>
      </c>
      <c r="J11" s="50">
        <v>24</v>
      </c>
      <c r="K11" s="52"/>
      <c r="L11" s="56">
        <v>5697</v>
      </c>
      <c r="M11" s="50">
        <v>4493</v>
      </c>
      <c r="N11" s="50">
        <v>4520</v>
      </c>
      <c r="O11" s="49" t="str">
        <f>IFERROR(VLOOKUP(TEXT(A11,"DD/MM/AAAA")&amp;"NE - SEPARAÇÃO - Pedidos B2C",BASE!$A:$D,4,0),"")</f>
        <v/>
      </c>
      <c r="P11" s="50">
        <v>4293</v>
      </c>
      <c r="Q11" s="53"/>
      <c r="R11" s="68"/>
      <c r="S11" s="68"/>
      <c r="T11" s="67"/>
      <c r="U11" s="67"/>
      <c r="V11" s="67"/>
      <c r="W11" s="57">
        <v>114</v>
      </c>
      <c r="X11" s="50">
        <v>105</v>
      </c>
      <c r="Y11" s="50">
        <v>114</v>
      </c>
      <c r="Z11" s="49" t="str">
        <f>IFERROR(VLOOKUP(TEXT(A11,"DD/MM/AAAA")&amp;"NE - SEPARAÇÃO - Pedidos B2B",BASE!$A:$D,4,0),"")</f>
        <v/>
      </c>
      <c r="AA11" s="50">
        <v>437</v>
      </c>
      <c r="AB11" s="53"/>
      <c r="AC11" s="58">
        <v>9.7090665773124893</v>
      </c>
      <c r="AD11" s="49" t="str">
        <f>IFERROR(VLOOKUP(TEXT(A11,"DD/MM/AAAA")&amp;"NE - EXPEDICAO - Abastecimento Boutiques",BASE!$A:$D,4,0),"")</f>
        <v/>
      </c>
      <c r="AE11" s="49"/>
      <c r="AF11" s="49"/>
      <c r="AG11" s="5"/>
      <c r="AH11" s="58">
        <v>23</v>
      </c>
      <c r="AI11" s="5" t="str">
        <f>IFERROR(VLOOKUP(TEXT(A11,"DD/MM/AAAA")&amp;"NE - EXPEDICAO - Custo Unitário por pallet separado Outros CDs",BASE!$A:$D,4,0),"")</f>
        <v/>
      </c>
      <c r="AJ11" s="16"/>
      <c r="AK11" s="2">
        <v>1075</v>
      </c>
      <c r="AL11" s="49" t="str">
        <f>IFERROR(VLOOKUP(TEXT(A11,"DD/MM/AAAA")&amp;"NE - SEPARAÇÃO - Trade Acessórios",BASE!$A:$D,4,0),"")</f>
        <v/>
      </c>
      <c r="AM11" s="12" t="str">
        <f>IFERROR(VLOOKUP(TEXT(A11,"DD/MM/AAAA")&amp;"NE - SEPARAÇÃO - Trade Café",BASE!$A:$D,4,0),"")</f>
        <v/>
      </c>
      <c r="AN11" s="49" t="str">
        <f>IFERROR(VLOOKUP(TEXT(A11,"DD/MM/AAAA")&amp;"NE - SEPARAÇÃO - Trade maquinas",BASE!$A:$D,4,0),"")</f>
        <v/>
      </c>
      <c r="AO11" s="49">
        <f t="shared" si="0"/>
        <v>0</v>
      </c>
      <c r="AP11" s="5"/>
      <c r="AQ11" s="2">
        <v>1.7765526077635621</v>
      </c>
      <c r="AR11" s="12" t="str">
        <f>IFERROR(VLOOKUP(TEXT(A11,"DD/MM/AAAA")&amp;"NE - SEPARAÇÃO - Custo Unitário por pallet separado (Agents B2B / POSM Trade)",BASE!$A:$D,4,0),"")</f>
        <v/>
      </c>
      <c r="AS11" s="5"/>
      <c r="AT11" s="2">
        <v>959.30769230769226</v>
      </c>
      <c r="AU11" s="2">
        <v>1008</v>
      </c>
      <c r="AV11" s="5"/>
      <c r="AW11" s="2">
        <v>1829.8565909451304</v>
      </c>
      <c r="AX11" s="2"/>
      <c r="AY11" s="5"/>
      <c r="AZ11" s="2">
        <v>122</v>
      </c>
      <c r="BA11" s="2">
        <v>500</v>
      </c>
      <c r="BB11" s="5"/>
      <c r="BC11" s="2">
        <v>7</v>
      </c>
      <c r="BD11" s="2"/>
      <c r="BE11" s="5"/>
      <c r="BF11" s="2">
        <v>498</v>
      </c>
      <c r="BG11" s="2"/>
      <c r="BH11" s="5"/>
      <c r="BI11" s="2"/>
      <c r="BJ11" s="2">
        <v>36</v>
      </c>
      <c r="BK11" s="5"/>
      <c r="BL11" s="2">
        <f>57/21</f>
        <v>2.7142857142857144</v>
      </c>
      <c r="BM11" s="2">
        <v>3</v>
      </c>
      <c r="BN11" s="5"/>
    </row>
    <row r="12" spans="1:72" s="1" customFormat="1" hidden="1" x14ac:dyDescent="0.25">
      <c r="A12" s="69">
        <v>44324</v>
      </c>
      <c r="B12" s="50"/>
      <c r="C12" s="50"/>
      <c r="D12" s="50"/>
      <c r="E12" s="50"/>
      <c r="F12" s="51">
        <v>0</v>
      </c>
      <c r="G12" s="3">
        <f t="shared" si="1"/>
        <v>0</v>
      </c>
      <c r="H12" s="50"/>
      <c r="I12" s="50"/>
      <c r="J12" s="50"/>
      <c r="K12" s="52"/>
      <c r="L12" s="56">
        <v>3058</v>
      </c>
      <c r="M12" s="50">
        <v>3227</v>
      </c>
      <c r="N12" s="50">
        <v>3551</v>
      </c>
      <c r="O12" s="49" t="str">
        <f>IFERROR(VLOOKUP(TEXT(A12,"DD/MM/AAAA")&amp;"NE - SEPARAÇÃO - Pedidos B2C",BASE!$A:$D,4,0),"")</f>
        <v/>
      </c>
      <c r="P12" s="50">
        <v>3533</v>
      </c>
      <c r="Q12" s="53"/>
      <c r="R12" s="68"/>
      <c r="S12" s="68"/>
      <c r="T12" s="67"/>
      <c r="U12" s="67"/>
      <c r="V12" s="67"/>
      <c r="W12" s="57">
        <v>64</v>
      </c>
      <c r="X12" s="50">
        <v>20</v>
      </c>
      <c r="Y12" s="50">
        <v>45</v>
      </c>
      <c r="Z12" s="49" t="str">
        <f>IFERROR(VLOOKUP(TEXT(A12,"DD/MM/AAAA")&amp;"NE - SEPARAÇÃO - Pedidos B2B",BASE!$A:$D,4,0),"")</f>
        <v/>
      </c>
      <c r="AA12" s="50">
        <v>16</v>
      </c>
      <c r="AB12" s="53"/>
      <c r="AC12" s="58">
        <v>0</v>
      </c>
      <c r="AD12" s="49" t="str">
        <f>IFERROR(VLOOKUP(TEXT(A12,"DD/MM/AAAA")&amp;"NE - EXPEDICAO - Abastecimento Boutiques",BASE!$A:$D,4,0),"")</f>
        <v/>
      </c>
      <c r="AE12" s="49"/>
      <c r="AF12" s="49"/>
      <c r="AG12" s="5"/>
      <c r="AH12" s="58">
        <v>0</v>
      </c>
      <c r="AI12" s="5" t="str">
        <f>IFERROR(VLOOKUP(TEXT(A12,"DD/MM/AAAA")&amp;"NE - EXPEDICAO - Custo Unitário por pallet separado Outros CDs",BASE!$A:$D,4,0),"")</f>
        <v/>
      </c>
      <c r="AJ12" s="16"/>
      <c r="AK12" s="2">
        <v>0</v>
      </c>
      <c r="AL12" s="49" t="str">
        <f>IFERROR(VLOOKUP(TEXT(A12,"DD/MM/AAAA")&amp;"NE - SEPARAÇÃO - Trade Acessórios",BASE!$A:$D,4,0),"")</f>
        <v/>
      </c>
      <c r="AM12" s="12" t="str">
        <f>IFERROR(VLOOKUP(TEXT(A12,"DD/MM/AAAA")&amp;"NE - SEPARAÇÃO - Trade Café",BASE!$A:$D,4,0),"")</f>
        <v/>
      </c>
      <c r="AN12" s="49" t="str">
        <f>IFERROR(VLOOKUP(TEXT(A12,"DD/MM/AAAA")&amp;"NE - SEPARAÇÃO - Trade maquinas",BASE!$A:$D,4,0),"")</f>
        <v/>
      </c>
      <c r="AO12" s="49">
        <f t="shared" si="0"/>
        <v>0</v>
      </c>
      <c r="AP12" s="5"/>
      <c r="AQ12" s="2">
        <v>0</v>
      </c>
      <c r="AR12" s="12" t="str">
        <f>IFERROR(VLOOKUP(TEXT(A12,"DD/MM/AAAA")&amp;"NE - SEPARAÇÃO - Custo Unitário por pallet separado (Agents B2B / POSM Trade)",BASE!$A:$D,4,0),"")</f>
        <v/>
      </c>
      <c r="AS12" s="5"/>
      <c r="AT12" s="2">
        <v>0</v>
      </c>
      <c r="AU12" s="2">
        <v>660</v>
      </c>
      <c r="AV12" s="5"/>
      <c r="AW12" s="2">
        <v>0</v>
      </c>
      <c r="AX12" s="2"/>
      <c r="AY12" s="5"/>
      <c r="AZ12" s="2">
        <v>0</v>
      </c>
      <c r="BA12" s="2"/>
      <c r="BB12" s="5"/>
      <c r="BC12" s="2">
        <v>0</v>
      </c>
      <c r="BD12" s="2"/>
      <c r="BE12" s="5"/>
      <c r="BF12" s="2">
        <v>0</v>
      </c>
      <c r="BG12" s="2"/>
      <c r="BH12" s="5"/>
      <c r="BI12" s="2"/>
      <c r="BJ12" s="2"/>
      <c r="BK12" s="5"/>
      <c r="BL12" s="2"/>
      <c r="BM12" s="2"/>
      <c r="BN12" s="5"/>
    </row>
    <row r="13" spans="1:72" s="1" customFormat="1" hidden="1" x14ac:dyDescent="0.25">
      <c r="A13" s="69">
        <v>44325</v>
      </c>
      <c r="B13" s="50"/>
      <c r="C13" s="50"/>
      <c r="D13" s="50"/>
      <c r="E13" s="50"/>
      <c r="F13" s="51">
        <v>49.425807637913245</v>
      </c>
      <c r="G13" s="3">
        <f t="shared" si="1"/>
        <v>0</v>
      </c>
      <c r="H13" s="50"/>
      <c r="I13" s="50"/>
      <c r="J13" s="50"/>
      <c r="K13" s="52"/>
      <c r="L13" s="56">
        <v>3104</v>
      </c>
      <c r="M13" s="50">
        <v>2266</v>
      </c>
      <c r="N13" s="50">
        <v>473</v>
      </c>
      <c r="O13" s="49" t="str">
        <f>IFERROR(VLOOKUP(TEXT(A13,"DD/MM/AAAA")&amp;"NE - SEPARAÇÃO - Pedidos B2C",BASE!$A:$D,4,0),"")</f>
        <v/>
      </c>
      <c r="P13" s="50"/>
      <c r="Q13" s="53"/>
      <c r="R13" s="68"/>
      <c r="S13" s="68"/>
      <c r="T13" s="67"/>
      <c r="U13" s="67"/>
      <c r="V13" s="67"/>
      <c r="W13" s="57">
        <v>60.766218666273588</v>
      </c>
      <c r="X13" s="50"/>
      <c r="Y13" s="50"/>
      <c r="Z13" s="49" t="str">
        <f>IFERROR(VLOOKUP(TEXT(A13,"DD/MM/AAAA")&amp;"NE - SEPARAÇÃO - Pedidos B2B",BASE!$A:$D,4,0),"")</f>
        <v/>
      </c>
      <c r="AA13" s="50"/>
      <c r="AB13" s="53"/>
      <c r="AC13" s="58">
        <v>6</v>
      </c>
      <c r="AD13" s="49" t="str">
        <f>IFERROR(VLOOKUP(TEXT(A13,"DD/MM/AAAA")&amp;"NE - EXPEDICAO - Abastecimento Boutiques",BASE!$A:$D,4,0),"")</f>
        <v/>
      </c>
      <c r="AE13" s="49"/>
      <c r="AF13" s="49"/>
      <c r="AG13" s="5"/>
      <c r="AH13" s="58">
        <v>13</v>
      </c>
      <c r="AI13" s="5" t="str">
        <f>IFERROR(VLOOKUP(TEXT(A13,"DD/MM/AAAA")&amp;"NE - EXPEDICAO - Custo Unitário por pallet separado Outros CDs",BASE!$A:$D,4,0),"")</f>
        <v/>
      </c>
      <c r="AJ13" s="16"/>
      <c r="AK13" s="2">
        <v>645</v>
      </c>
      <c r="AL13" s="49" t="str">
        <f>IFERROR(VLOOKUP(TEXT(A13,"DD/MM/AAAA")&amp;"NE - SEPARAÇÃO - Trade Acessórios",BASE!$A:$D,4,0),"")</f>
        <v/>
      </c>
      <c r="AM13" s="12" t="str">
        <f>IFERROR(VLOOKUP(TEXT(A13,"DD/MM/AAAA")&amp;"NE - SEPARAÇÃO - Trade Café",BASE!$A:$D,4,0),"")</f>
        <v/>
      </c>
      <c r="AN13" s="49" t="str">
        <f>IFERROR(VLOOKUP(TEXT(A13,"DD/MM/AAAA")&amp;"NE - SEPARAÇÃO - Trade maquinas",BASE!$A:$D,4,0),"")</f>
        <v/>
      </c>
      <c r="AO13" s="49">
        <f t="shared" si="0"/>
        <v>0</v>
      </c>
      <c r="AP13" s="5"/>
      <c r="AQ13" s="2">
        <v>0.9654273088460773</v>
      </c>
      <c r="AR13" s="12" t="str">
        <f>IFERROR(VLOOKUP(TEXT(A13,"DD/MM/AAAA")&amp;"NE - SEPARAÇÃO - Custo Unitário por pallet separado (Agents B2B / POSM Trade)",BASE!$A:$D,4,0),"")</f>
        <v/>
      </c>
      <c r="AS13" s="5"/>
      <c r="AT13" s="2">
        <v>959.30769230769226</v>
      </c>
      <c r="AU13" s="2"/>
      <c r="AV13" s="5"/>
      <c r="AW13" s="2">
        <v>1829.8565909451304</v>
      </c>
      <c r="AX13" s="2"/>
      <c r="AY13" s="5"/>
      <c r="AZ13" s="2">
        <v>122</v>
      </c>
      <c r="BA13" s="2"/>
      <c r="BB13" s="5"/>
      <c r="BC13" s="2">
        <v>7</v>
      </c>
      <c r="BD13" s="2"/>
      <c r="BE13" s="5"/>
      <c r="BF13" s="2">
        <v>498</v>
      </c>
      <c r="BG13" s="2"/>
      <c r="BH13" s="5"/>
      <c r="BI13" s="2"/>
      <c r="BJ13" s="2"/>
      <c r="BK13" s="5"/>
      <c r="BL13" s="2"/>
      <c r="BM13" s="2"/>
      <c r="BN13" s="5"/>
    </row>
    <row r="14" spans="1:72" s="1" customFormat="1" hidden="1" x14ac:dyDescent="0.25">
      <c r="A14" s="69">
        <v>44326</v>
      </c>
      <c r="B14" s="50"/>
      <c r="C14" s="50"/>
      <c r="D14" s="50"/>
      <c r="E14" s="50"/>
      <c r="F14" s="51">
        <v>49.425807637913245</v>
      </c>
      <c r="G14" s="3">
        <f t="shared" si="1"/>
        <v>148</v>
      </c>
      <c r="H14" s="50">
        <v>140</v>
      </c>
      <c r="I14" s="50">
        <v>8</v>
      </c>
      <c r="J14" s="50">
        <v>0</v>
      </c>
      <c r="K14" s="52"/>
      <c r="L14" s="56">
        <v>5522</v>
      </c>
      <c r="M14" s="50">
        <v>4624</v>
      </c>
      <c r="N14" s="50">
        <v>6481</v>
      </c>
      <c r="O14" s="49" t="str">
        <f>IFERROR(VLOOKUP(TEXT(A14,"DD/MM/AAAA")&amp;"NE - SEPARAÇÃO - Pedidos B2C",BASE!$A:$D,4,0),"")</f>
        <v/>
      </c>
      <c r="P14" s="50">
        <v>4751</v>
      </c>
      <c r="Q14" s="53"/>
      <c r="R14" s="68"/>
      <c r="S14" s="68"/>
      <c r="T14" s="67"/>
      <c r="U14" s="67"/>
      <c r="V14" s="67"/>
      <c r="W14" s="57">
        <v>108.35967863168239</v>
      </c>
      <c r="X14" s="50">
        <v>213</v>
      </c>
      <c r="Y14" s="50">
        <v>118</v>
      </c>
      <c r="Z14" s="49" t="str">
        <f>IFERROR(VLOOKUP(TEXT(A14,"DD/MM/AAAA")&amp;"NE - SEPARAÇÃO - Pedidos B2B",BASE!$A:$D,4,0),"")</f>
        <v/>
      </c>
      <c r="AA14" s="50">
        <v>6</v>
      </c>
      <c r="AB14" s="53"/>
      <c r="AC14" s="58">
        <v>10</v>
      </c>
      <c r="AD14" s="49" t="str">
        <f>IFERROR(VLOOKUP(TEXT(A14,"DD/MM/AAAA")&amp;"NE - EXPEDICAO - Abastecimento Boutiques",BASE!$A:$D,4,0),"")</f>
        <v/>
      </c>
      <c r="AE14" s="49"/>
      <c r="AF14" s="49"/>
      <c r="AG14" s="5"/>
      <c r="AH14" s="58">
        <v>21</v>
      </c>
      <c r="AI14" s="5" t="str">
        <f>IFERROR(VLOOKUP(TEXT(A14,"DD/MM/AAAA")&amp;"NE - EXPEDICAO - Custo Unitário por pallet separado Outros CDs",BASE!$A:$D,4,0),"")</f>
        <v/>
      </c>
      <c r="AJ14" s="16"/>
      <c r="AK14" s="2">
        <v>1039</v>
      </c>
      <c r="AL14" s="49" t="str">
        <f>IFERROR(VLOOKUP(TEXT(A14,"DD/MM/AAAA")&amp;"NE - SEPARAÇÃO - Trade Acessórios",BASE!$A:$D,4,0),"")</f>
        <v/>
      </c>
      <c r="AM14" s="12" t="str">
        <f>IFERROR(VLOOKUP(TEXT(A14,"DD/MM/AAAA")&amp;"NE - SEPARAÇÃO - Trade Café",BASE!$A:$D,4,0),"")</f>
        <v/>
      </c>
      <c r="AN14" s="49" t="str">
        <f>IFERROR(VLOOKUP(TEXT(A14,"DD/MM/AAAA")&amp;"NE - SEPARAÇÃO - Trade maquinas",BASE!$A:$D,4,0),"")</f>
        <v/>
      </c>
      <c r="AO14" s="49">
        <f t="shared" si="0"/>
        <v>0</v>
      </c>
      <c r="AP14" s="5"/>
      <c r="AQ14" s="2">
        <v>1.7215715446002131</v>
      </c>
      <c r="AR14" s="12" t="str">
        <f>IFERROR(VLOOKUP(TEXT(A14,"DD/MM/AAAA")&amp;"NE - SEPARAÇÃO - Custo Unitário por pallet separado (Agents B2B / POSM Trade)",BASE!$A:$D,4,0),"")</f>
        <v/>
      </c>
      <c r="AS14" s="5"/>
      <c r="AT14" s="2">
        <v>959.30769230769226</v>
      </c>
      <c r="AU14" s="2">
        <v>48</v>
      </c>
      <c r="AV14" s="5"/>
      <c r="AW14" s="2">
        <v>1829.8565909451304</v>
      </c>
      <c r="AX14" s="2"/>
      <c r="AY14" s="5"/>
      <c r="AZ14" s="2">
        <v>122</v>
      </c>
      <c r="BA14" s="2"/>
      <c r="BB14" s="5"/>
      <c r="BC14" s="2">
        <v>7</v>
      </c>
      <c r="BD14" s="2"/>
      <c r="BE14" s="5"/>
      <c r="BF14" s="2">
        <v>498</v>
      </c>
      <c r="BG14" s="2"/>
      <c r="BH14" s="5"/>
      <c r="BI14" s="2"/>
      <c r="BJ14" s="2">
        <v>90</v>
      </c>
      <c r="BK14" s="5"/>
      <c r="BL14" s="2">
        <f>57/21</f>
        <v>2.7142857142857144</v>
      </c>
      <c r="BM14" s="1">
        <v>5</v>
      </c>
      <c r="BN14" s="5"/>
    </row>
    <row r="15" spans="1:72" s="1" customFormat="1" hidden="1" x14ac:dyDescent="0.25">
      <c r="A15" s="69">
        <v>44327</v>
      </c>
      <c r="B15" s="50"/>
      <c r="C15" s="50"/>
      <c r="D15" s="50"/>
      <c r="E15" s="50"/>
      <c r="F15" s="51">
        <v>49.425807637913245</v>
      </c>
      <c r="G15" s="3">
        <f t="shared" si="1"/>
        <v>125</v>
      </c>
      <c r="H15" s="50">
        <v>81</v>
      </c>
      <c r="I15" s="50">
        <v>2</v>
      </c>
      <c r="J15" s="50">
        <v>42</v>
      </c>
      <c r="K15" s="52"/>
      <c r="L15" s="56">
        <v>5010</v>
      </c>
      <c r="M15" s="50">
        <v>4524</v>
      </c>
      <c r="N15" s="50">
        <v>4326</v>
      </c>
      <c r="O15" s="49" t="str">
        <f>IFERROR(VLOOKUP(TEXT(A15,"DD/MM/AAAA")&amp;"NE - SEPARAÇÃO - Pedidos B2C",BASE!$A:$D,4,0),"")</f>
        <v/>
      </c>
      <c r="P15" s="50">
        <v>6490</v>
      </c>
      <c r="Q15" s="53"/>
      <c r="R15" s="68"/>
      <c r="S15" s="68"/>
      <c r="T15" s="67"/>
      <c r="U15" s="67"/>
      <c r="V15" s="67"/>
      <c r="W15" s="57">
        <v>98.28496584804401</v>
      </c>
      <c r="X15" s="50">
        <v>157</v>
      </c>
      <c r="Y15" s="50">
        <v>208</v>
      </c>
      <c r="Z15" s="49" t="str">
        <f>IFERROR(VLOOKUP(TEXT(A15,"DD/MM/AAAA")&amp;"NE - SEPARAÇÃO - Pedidos B2B",BASE!$A:$D,4,0),"")</f>
        <v/>
      </c>
      <c r="AA15" s="50">
        <v>346</v>
      </c>
      <c r="AB15" s="53"/>
      <c r="AC15" s="58">
        <v>10</v>
      </c>
      <c r="AD15" s="49" t="str">
        <f>IFERROR(VLOOKUP(TEXT(A15,"DD/MM/AAAA")&amp;"NE - EXPEDICAO - Abastecimento Boutiques",BASE!$A:$D,4,0),"")</f>
        <v/>
      </c>
      <c r="AE15" s="49"/>
      <c r="AF15" s="49"/>
      <c r="AG15" s="5"/>
      <c r="AH15" s="58">
        <v>20</v>
      </c>
      <c r="AI15" s="5" t="str">
        <f>IFERROR(VLOOKUP(TEXT(A15,"DD/MM/AAAA")&amp;"NE - EXPEDICAO - Custo Unitário por pallet separado Outros CDs",BASE!$A:$D,4,0),"")</f>
        <v/>
      </c>
      <c r="AJ15" s="16"/>
      <c r="AK15" s="2">
        <v>930</v>
      </c>
      <c r="AL15" s="49" t="str">
        <f>IFERROR(VLOOKUP(TEXT(A15,"DD/MM/AAAA")&amp;"NE - SEPARAÇÃO - Trade Acessórios",BASE!$A:$D,4,0),"")</f>
        <v/>
      </c>
      <c r="AM15" s="12" t="str">
        <f>IFERROR(VLOOKUP(TEXT(A15,"DD/MM/AAAA")&amp;"NE - SEPARAÇÃO - Trade Café",BASE!$A:$D,4,0),"")</f>
        <v/>
      </c>
      <c r="AN15" s="49" t="str">
        <f>IFERROR(VLOOKUP(TEXT(A15,"DD/MM/AAAA")&amp;"NE - SEPARAÇÃO - Trade maquinas",BASE!$A:$D,4,0),"")</f>
        <v/>
      </c>
      <c r="AO15" s="49">
        <f t="shared" si="0"/>
        <v>0</v>
      </c>
      <c r="AP15" s="5"/>
      <c r="AQ15" s="2">
        <v>1.5615088804492265</v>
      </c>
      <c r="AR15" s="12" t="str">
        <f>IFERROR(VLOOKUP(TEXT(A15,"DD/MM/AAAA")&amp;"NE - SEPARAÇÃO - Custo Unitário por pallet separado (Agents B2B / POSM Trade)",BASE!$A:$D,4,0),"")</f>
        <v/>
      </c>
      <c r="AS15" s="5"/>
      <c r="AT15" s="2">
        <v>959.30769230769226</v>
      </c>
      <c r="AU15" s="2">
        <v>360</v>
      </c>
      <c r="AV15" s="5"/>
      <c r="AW15" s="2">
        <v>1829.8565909451304</v>
      </c>
      <c r="AX15" s="2"/>
      <c r="AY15" s="5"/>
      <c r="AZ15" s="2">
        <v>122</v>
      </c>
      <c r="BA15" s="2"/>
      <c r="BB15" s="5"/>
      <c r="BC15" s="2">
        <v>7</v>
      </c>
      <c r="BD15" s="2"/>
      <c r="BE15" s="5"/>
      <c r="BF15" s="2">
        <v>498</v>
      </c>
      <c r="BG15" s="2"/>
      <c r="BH15" s="5"/>
      <c r="BI15" s="2"/>
      <c r="BJ15" s="2">
        <v>86</v>
      </c>
      <c r="BK15" s="5"/>
      <c r="BL15" s="2">
        <f>57/21</f>
        <v>2.7142857142857144</v>
      </c>
      <c r="BM15" s="1">
        <v>5</v>
      </c>
      <c r="BN15" s="5"/>
    </row>
    <row r="16" spans="1:72" s="1" customFormat="1" hidden="1" x14ac:dyDescent="0.25">
      <c r="A16" s="69">
        <v>44328</v>
      </c>
      <c r="B16" s="50"/>
      <c r="C16" s="50"/>
      <c r="D16" s="50"/>
      <c r="E16" s="50"/>
      <c r="F16" s="51">
        <v>49.425807637913245</v>
      </c>
      <c r="G16" s="3">
        <f t="shared" si="1"/>
        <v>79</v>
      </c>
      <c r="H16" s="50">
        <v>55</v>
      </c>
      <c r="I16" s="50">
        <v>0</v>
      </c>
      <c r="J16" s="50">
        <v>24</v>
      </c>
      <c r="K16" s="52"/>
      <c r="L16" s="56">
        <v>4783</v>
      </c>
      <c r="M16" s="50">
        <v>3936</v>
      </c>
      <c r="N16" s="50">
        <v>4232</v>
      </c>
      <c r="O16" s="49" t="str">
        <f>IFERROR(VLOOKUP(TEXT(A16,"DD/MM/AAAA")&amp;"NE - SEPARAÇÃO - Pedidos B2C",BASE!$A:$D,4,0),"")</f>
        <v/>
      </c>
      <c r="P16" s="50">
        <v>6497</v>
      </c>
      <c r="Q16" s="53"/>
      <c r="R16" s="68"/>
      <c r="S16" s="68"/>
      <c r="T16" s="67"/>
      <c r="U16" s="67"/>
      <c r="V16" s="67"/>
      <c r="W16" s="57">
        <v>93.813747541561625</v>
      </c>
      <c r="X16" s="50">
        <v>87</v>
      </c>
      <c r="Y16" s="50">
        <v>94</v>
      </c>
      <c r="Z16" s="49" t="str">
        <f>IFERROR(VLOOKUP(TEXT(A16,"DD/MM/AAAA")&amp;"NE - SEPARAÇÃO - Pedidos B2B",BASE!$A:$D,4,0),"")</f>
        <v/>
      </c>
      <c r="AA16" s="50">
        <v>93</v>
      </c>
      <c r="AB16" s="53"/>
      <c r="AC16" s="58">
        <v>9</v>
      </c>
      <c r="AD16" s="49" t="str">
        <f>IFERROR(VLOOKUP(TEXT(A16,"DD/MM/AAAA")&amp;"NE - EXPEDICAO - Abastecimento Boutiques",BASE!$A:$D,4,0),"")</f>
        <v/>
      </c>
      <c r="AE16" s="49"/>
      <c r="AF16" s="49"/>
      <c r="AG16" s="5"/>
      <c r="AH16" s="58">
        <v>19</v>
      </c>
      <c r="AI16" s="5" t="str">
        <f>IFERROR(VLOOKUP(TEXT(A16,"DD/MM/AAAA")&amp;"NE - EXPEDICAO - Custo Unitário por pallet separado Outros CDs",BASE!$A:$D,4,0),"")</f>
        <v/>
      </c>
      <c r="AJ16" s="16"/>
      <c r="AK16" s="2">
        <v>900</v>
      </c>
      <c r="AL16" s="49" t="str">
        <f>IFERROR(VLOOKUP(TEXT(A16,"DD/MM/AAAA")&amp;"NE - SEPARAÇÃO - Trade Acessórios",BASE!$A:$D,4,0),"")</f>
        <v/>
      </c>
      <c r="AM16" s="12" t="str">
        <f>IFERROR(VLOOKUP(TEXT(A16,"DD/MM/AAAA")&amp;"NE - SEPARAÇÃO - Trade Café",BASE!$A:$D,4,0),"")</f>
        <v/>
      </c>
      <c r="AN16" s="49" t="str">
        <f>IFERROR(VLOOKUP(TEXT(A16,"DD/MM/AAAA")&amp;"NE - SEPARAÇÃO - Trade maquinas",BASE!$A:$D,4,0),"")</f>
        <v/>
      </c>
      <c r="AO16" s="49">
        <f t="shared" si="0"/>
        <v>0</v>
      </c>
      <c r="AP16" s="5"/>
      <c r="AQ16" s="2">
        <v>1.4904721045623237</v>
      </c>
      <c r="AR16" s="12" t="str">
        <f>IFERROR(VLOOKUP(TEXT(A16,"DD/MM/AAAA")&amp;"NE - SEPARAÇÃO - Custo Unitário por pallet separado (Agents B2B / POSM Trade)",BASE!$A:$D,4,0),"")</f>
        <v/>
      </c>
      <c r="AS16" s="5"/>
      <c r="AT16" s="2">
        <v>959.30769230769226</v>
      </c>
      <c r="AU16" s="2">
        <v>13</v>
      </c>
      <c r="AV16" s="5"/>
      <c r="AW16" s="2">
        <v>1829.8565909451304</v>
      </c>
      <c r="AX16" s="2"/>
      <c r="AY16" s="5"/>
      <c r="AZ16" s="2">
        <v>122</v>
      </c>
      <c r="BA16" s="2"/>
      <c r="BB16" s="5"/>
      <c r="BC16" s="2">
        <v>7</v>
      </c>
      <c r="BD16" s="2"/>
      <c r="BE16" s="5"/>
      <c r="BF16" s="2">
        <v>498</v>
      </c>
      <c r="BG16" s="2"/>
      <c r="BH16" s="5"/>
      <c r="BI16" s="2"/>
      <c r="BJ16" s="2">
        <v>57</v>
      </c>
      <c r="BK16" s="5"/>
      <c r="BL16" s="2">
        <f>57/21</f>
        <v>2.7142857142857144</v>
      </c>
      <c r="BM16" s="2">
        <v>13</v>
      </c>
      <c r="BN16" s="5"/>
    </row>
    <row r="17" spans="1:66" s="1" customFormat="1" hidden="1" x14ac:dyDescent="0.25">
      <c r="A17" s="69">
        <v>44329</v>
      </c>
      <c r="B17" s="50"/>
      <c r="C17" s="50"/>
      <c r="D17" s="50"/>
      <c r="E17" s="50"/>
      <c r="F17" s="51">
        <v>49.425807637913245</v>
      </c>
      <c r="G17" s="3">
        <f t="shared" si="1"/>
        <v>100</v>
      </c>
      <c r="H17" s="50">
        <v>26</v>
      </c>
      <c r="I17" s="50">
        <v>26</v>
      </c>
      <c r="J17" s="50">
        <v>48</v>
      </c>
      <c r="K17" s="52"/>
      <c r="L17" s="56">
        <v>4749</v>
      </c>
      <c r="M17" s="50">
        <v>4109</v>
      </c>
      <c r="N17" s="50">
        <v>4017</v>
      </c>
      <c r="O17" s="49" t="str">
        <f>IFERROR(VLOOKUP(TEXT(A17,"DD/MM/AAAA")&amp;"NE - SEPARAÇÃO - Pedidos B2C",BASE!$A:$D,4,0),"")</f>
        <v/>
      </c>
      <c r="P17" s="50">
        <v>1859</v>
      </c>
      <c r="Q17" s="53"/>
      <c r="R17" s="68"/>
      <c r="S17" s="68"/>
      <c r="T17" s="67"/>
      <c r="U17" s="67"/>
      <c r="V17" s="67"/>
      <c r="W17" s="57">
        <v>94</v>
      </c>
      <c r="X17" s="50">
        <v>198</v>
      </c>
      <c r="Y17" s="50">
        <v>173</v>
      </c>
      <c r="Z17" s="49" t="str">
        <f>IFERROR(VLOOKUP(TEXT(A17,"DD/MM/AAAA")&amp;"NE - SEPARAÇÃO - Pedidos B2B",BASE!$A:$D,4,0),"")</f>
        <v/>
      </c>
      <c r="AA17" s="50">
        <v>87</v>
      </c>
      <c r="AB17" s="53"/>
      <c r="AC17" s="58">
        <v>9</v>
      </c>
      <c r="AD17" s="49" t="str">
        <f>IFERROR(VLOOKUP(TEXT(A17,"DD/MM/AAAA")&amp;"NE - EXPEDICAO - Abastecimento Boutiques",BASE!$A:$D,4,0),"")</f>
        <v/>
      </c>
      <c r="AE17" s="49"/>
      <c r="AF17" s="49"/>
      <c r="AG17" s="5"/>
      <c r="AH17" s="58">
        <v>17</v>
      </c>
      <c r="AI17" s="5" t="str">
        <f>IFERROR(VLOOKUP(TEXT(A17,"DD/MM/AAAA")&amp;"NE - EXPEDICAO - Custo Unitário por pallet separado Outros CDs",BASE!$A:$D,4,0),"")</f>
        <v/>
      </c>
      <c r="AJ17" s="16"/>
      <c r="AK17" s="2">
        <v>807.60137991230806</v>
      </c>
      <c r="AL17" s="49" t="str">
        <f>IFERROR(VLOOKUP(TEXT(A17,"DD/MM/AAAA")&amp;"NE - SEPARAÇÃO - Trade Acessórios",BASE!$A:$D,4,0),"")</f>
        <v/>
      </c>
      <c r="AM17" s="12" t="str">
        <f>IFERROR(VLOOKUP(TEXT(A17,"DD/MM/AAAA")&amp;"NE - SEPARAÇÃO - Trade Café",BASE!$A:$D,4,0),"")</f>
        <v/>
      </c>
      <c r="AN17" s="49" t="str">
        <f>IFERROR(VLOOKUP(TEXT(A17,"DD/MM/AAAA")&amp;"NE - SEPARAÇÃO - Trade maquinas",BASE!$A:$D,4,0),"")</f>
        <v/>
      </c>
      <c r="AO17" s="49">
        <f t="shared" si="0"/>
        <v>0</v>
      </c>
      <c r="AP17" s="5"/>
      <c r="AQ17" s="2">
        <v>1.4801255911907898</v>
      </c>
      <c r="AR17" s="12" t="str">
        <f>IFERROR(VLOOKUP(TEXT(A17,"DD/MM/AAAA")&amp;"NE - SEPARAÇÃO - Custo Unitário por pallet separado (Agents B2B / POSM Trade)",BASE!$A:$D,4,0),"")</f>
        <v/>
      </c>
      <c r="AS17" s="5"/>
      <c r="AT17" s="2">
        <v>959.30769230769226</v>
      </c>
      <c r="AU17" s="2">
        <v>76</v>
      </c>
      <c r="AV17" s="5"/>
      <c r="AW17" s="2">
        <v>1829.8565909451304</v>
      </c>
      <c r="AX17" s="2"/>
      <c r="AY17" s="5"/>
      <c r="AZ17" s="2">
        <v>122</v>
      </c>
      <c r="BA17" s="2"/>
      <c r="BB17" s="5"/>
      <c r="BC17" s="2">
        <v>7</v>
      </c>
      <c r="BD17" s="2"/>
      <c r="BE17" s="5"/>
      <c r="BF17" s="2">
        <v>498</v>
      </c>
      <c r="BG17" s="2"/>
      <c r="BH17" s="5"/>
      <c r="BI17" s="2"/>
      <c r="BJ17" s="2">
        <v>59</v>
      </c>
      <c r="BK17" s="5"/>
      <c r="BL17" s="2">
        <f>57/21</f>
        <v>2.7142857142857144</v>
      </c>
      <c r="BM17" s="2">
        <v>16</v>
      </c>
      <c r="BN17" s="5"/>
    </row>
    <row r="18" spans="1:66" s="1" customFormat="1" hidden="1" x14ac:dyDescent="0.25">
      <c r="A18" s="69">
        <v>44330</v>
      </c>
      <c r="B18" s="50"/>
      <c r="C18" s="50"/>
      <c r="D18" s="50"/>
      <c r="E18" s="50"/>
      <c r="F18" s="51">
        <v>49.425807637913245</v>
      </c>
      <c r="G18" s="3">
        <f t="shared" si="1"/>
        <v>77</v>
      </c>
      <c r="H18" s="50">
        <v>27</v>
      </c>
      <c r="I18" s="50">
        <v>50</v>
      </c>
      <c r="J18" s="50">
        <v>0</v>
      </c>
      <c r="K18" s="52"/>
      <c r="L18" s="56">
        <v>4065</v>
      </c>
      <c r="M18" s="50">
        <v>2855</v>
      </c>
      <c r="N18" s="50">
        <v>3057</v>
      </c>
      <c r="O18" s="49" t="str">
        <f>IFERROR(VLOOKUP(TEXT(A18,"DD/MM/AAAA")&amp;"NE - SEPARAÇÃO - Pedidos B2C",BASE!$A:$D,4,0),"")</f>
        <v/>
      </c>
      <c r="P18" s="50">
        <v>3900</v>
      </c>
      <c r="Q18" s="53"/>
      <c r="R18" s="68"/>
      <c r="S18" s="68"/>
      <c r="T18" s="67"/>
      <c r="U18" s="67"/>
      <c r="V18" s="67"/>
      <c r="W18" s="57">
        <v>79.69517731738992</v>
      </c>
      <c r="X18" s="50"/>
      <c r="Y18" s="50">
        <v>115</v>
      </c>
      <c r="Z18" s="49" t="str">
        <f>IFERROR(VLOOKUP(TEXT(A18,"DD/MM/AAAA")&amp;"NE - SEPARAÇÃO - Pedidos B2B",BASE!$A:$D,4,0),"")</f>
        <v/>
      </c>
      <c r="AA18" s="50"/>
      <c r="AB18" s="53"/>
      <c r="AC18" s="58">
        <v>8</v>
      </c>
      <c r="AD18" s="49" t="str">
        <f>IFERROR(VLOOKUP(TEXT(A18,"DD/MM/AAAA")&amp;"NE - EXPEDICAO - Abastecimento Boutiques",BASE!$A:$D,4,0),"")</f>
        <v/>
      </c>
      <c r="AE18" s="49"/>
      <c r="AF18" s="49"/>
      <c r="AG18" s="5"/>
      <c r="AH18" s="58">
        <v>14</v>
      </c>
      <c r="AI18" s="5" t="str">
        <f>IFERROR(VLOOKUP(TEXT(A18,"DD/MM/AAAA")&amp;"NE - EXPEDICAO - Custo Unitário por pallet separado Outros CDs",BASE!$A:$D,4,0),"")</f>
        <v/>
      </c>
      <c r="AJ18" s="16"/>
      <c r="AK18" s="2">
        <v>691.14568697777611</v>
      </c>
      <c r="AL18" s="49" t="str">
        <f>IFERROR(VLOOKUP(TEXT(A18,"DD/MM/AAAA")&amp;"NE - SEPARAÇÃO - Trade Acessórios",BASE!$A:$D,4,0),"")</f>
        <v/>
      </c>
      <c r="AM18" s="12" t="str">
        <f>IFERROR(VLOOKUP(TEXT(A18,"DD/MM/AAAA")&amp;"NE - SEPARAÇÃO - Trade Café",BASE!$A:$D,4,0),"")</f>
        <v/>
      </c>
      <c r="AN18" s="49" t="str">
        <f>IFERROR(VLOOKUP(TEXT(A18,"DD/MM/AAAA")&amp;"NE - SEPARAÇÃO - Trade maquinas",BASE!$A:$D,4,0),"")</f>
        <v/>
      </c>
      <c r="AO18" s="49">
        <f t="shared" si="0"/>
        <v>0</v>
      </c>
      <c r="AP18" s="5"/>
      <c r="AQ18" s="2">
        <v>1.2661623884824977</v>
      </c>
      <c r="AR18" s="12" t="str">
        <f>IFERROR(VLOOKUP(TEXT(A18,"DD/MM/AAAA")&amp;"NE - SEPARAÇÃO - Custo Unitário por pallet separado (Agents B2B / POSM Trade)",BASE!$A:$D,4,0),"")</f>
        <v/>
      </c>
      <c r="AS18" s="5"/>
      <c r="AT18" s="2">
        <v>959.30769230769226</v>
      </c>
      <c r="AU18" s="2">
        <v>9</v>
      </c>
      <c r="AV18" s="5"/>
      <c r="AW18" s="2">
        <v>1829.8565909451304</v>
      </c>
      <c r="AX18" s="2">
        <v>22817</v>
      </c>
      <c r="AY18" s="5"/>
      <c r="AZ18" s="2">
        <v>122</v>
      </c>
      <c r="BA18" s="2">
        <v>415</v>
      </c>
      <c r="BB18" s="5"/>
      <c r="BC18" s="2">
        <v>7</v>
      </c>
      <c r="BD18" s="2"/>
      <c r="BE18" s="5"/>
      <c r="BF18" s="2">
        <v>498</v>
      </c>
      <c r="BG18" s="2"/>
      <c r="BH18" s="5"/>
      <c r="BI18" s="2"/>
      <c r="BJ18" s="2">
        <v>33</v>
      </c>
      <c r="BK18" s="5"/>
      <c r="BL18" s="2">
        <f>57/21</f>
        <v>2.7142857142857144</v>
      </c>
      <c r="BM18" s="2">
        <v>3</v>
      </c>
      <c r="BN18" s="5"/>
    </row>
    <row r="19" spans="1:66" s="1" customFormat="1" hidden="1" x14ac:dyDescent="0.25">
      <c r="A19" s="69">
        <v>44331</v>
      </c>
      <c r="B19" s="50"/>
      <c r="C19" s="50"/>
      <c r="D19" s="50"/>
      <c r="E19" s="50"/>
      <c r="F19" s="51">
        <v>0</v>
      </c>
      <c r="G19" s="3">
        <f t="shared" si="1"/>
        <v>0</v>
      </c>
      <c r="H19" s="50"/>
      <c r="I19" s="50"/>
      <c r="J19" s="50"/>
      <c r="K19" s="52"/>
      <c r="L19" s="56">
        <v>2770</v>
      </c>
      <c r="M19" s="50">
        <v>2080</v>
      </c>
      <c r="N19" s="50"/>
      <c r="O19" s="49" t="str">
        <f>IFERROR(VLOOKUP(TEXT(A19,"DD/MM/AAAA")&amp;"NE - SEPARAÇÃO - Pedidos B2C",BASE!$A:$D,4,0),"")</f>
        <v/>
      </c>
      <c r="P19" s="50"/>
      <c r="Q19" s="53"/>
      <c r="R19" s="68"/>
      <c r="S19" s="68"/>
      <c r="T19" s="67"/>
      <c r="U19" s="67"/>
      <c r="V19" s="67"/>
      <c r="W19" s="57">
        <v>54.195562726303358</v>
      </c>
      <c r="X19" s="50">
        <v>78</v>
      </c>
      <c r="Y19" s="50">
        <v>115</v>
      </c>
      <c r="Z19" s="49" t="str">
        <f>IFERROR(VLOOKUP(TEXT(A19,"DD/MM/AAAA")&amp;"NE - SEPARAÇÃO - Pedidos B2B",BASE!$A:$D,4,0),"")</f>
        <v/>
      </c>
      <c r="AA19" s="50">
        <v>18</v>
      </c>
      <c r="AB19" s="53"/>
      <c r="AC19" s="58">
        <v>0</v>
      </c>
      <c r="AD19" s="49" t="str">
        <f>IFERROR(VLOOKUP(TEXT(A19,"DD/MM/AAAA")&amp;"NE - EXPEDICAO - Abastecimento Boutiques",BASE!$A:$D,4,0),"")</f>
        <v/>
      </c>
      <c r="AE19" s="49"/>
      <c r="AF19" s="49"/>
      <c r="AG19" s="5"/>
      <c r="AH19" s="58">
        <v>0</v>
      </c>
      <c r="AI19" s="5" t="str">
        <f>IFERROR(VLOOKUP(TEXT(A19,"DD/MM/AAAA")&amp;"NE - EXPEDICAO - Custo Unitário por pallet separado Outros CDs",BASE!$A:$D,4,0),"")</f>
        <v/>
      </c>
      <c r="AJ19" s="16"/>
      <c r="AK19" s="2">
        <v>0</v>
      </c>
      <c r="AL19" s="49" t="str">
        <f>IFERROR(VLOOKUP(TEXT(A19,"DD/MM/AAAA")&amp;"NE - SEPARAÇÃO - Trade Acessórios",BASE!$A:$D,4,0),"")</f>
        <v/>
      </c>
      <c r="AM19" s="12" t="str">
        <f>IFERROR(VLOOKUP(TEXT(A19,"DD/MM/AAAA")&amp;"NE - SEPARAÇÃO - Trade Café",BASE!$A:$D,4,0),"")</f>
        <v/>
      </c>
      <c r="AN19" s="49" t="str">
        <f>IFERROR(VLOOKUP(TEXT(A19,"DD/MM/AAAA")&amp;"NE - SEPARAÇÃO - Trade maquinas",BASE!$A:$D,4,0),"")</f>
        <v/>
      </c>
      <c r="AO19" s="49">
        <f t="shared" si="0"/>
        <v>0</v>
      </c>
      <c r="AP19" s="5"/>
      <c r="AQ19" s="2">
        <v>0</v>
      </c>
      <c r="AR19" s="12" t="str">
        <f>IFERROR(VLOOKUP(TEXT(A19,"DD/MM/AAAA")&amp;"NE - SEPARAÇÃO - Custo Unitário por pallet separado (Agents B2B / POSM Trade)",BASE!$A:$D,4,0),"")</f>
        <v/>
      </c>
      <c r="AS19" s="5"/>
      <c r="AT19" s="2">
        <v>0</v>
      </c>
      <c r="AU19" s="2"/>
      <c r="AV19" s="5"/>
      <c r="AW19" s="2">
        <v>0</v>
      </c>
      <c r="AX19" s="2"/>
      <c r="AY19" s="5"/>
      <c r="AZ19" s="2">
        <v>0</v>
      </c>
      <c r="BA19" s="2"/>
      <c r="BB19" s="5"/>
      <c r="BC19" s="2">
        <v>0</v>
      </c>
      <c r="BD19" s="2"/>
      <c r="BE19" s="5"/>
      <c r="BF19" s="2">
        <v>0</v>
      </c>
      <c r="BG19" s="2"/>
      <c r="BH19" s="5"/>
      <c r="BI19" s="2"/>
      <c r="BJ19" s="2"/>
      <c r="BK19" s="5"/>
      <c r="BL19" s="2"/>
      <c r="BM19" s="2"/>
      <c r="BN19" s="5"/>
    </row>
    <row r="20" spans="1:66" s="1" customFormat="1" hidden="1" x14ac:dyDescent="0.25">
      <c r="A20" s="69">
        <v>44332</v>
      </c>
      <c r="B20" s="50"/>
      <c r="C20" s="50"/>
      <c r="D20" s="50"/>
      <c r="E20" s="50"/>
      <c r="F20" s="51">
        <v>49.425807637913245</v>
      </c>
      <c r="G20" s="3">
        <f t="shared" si="1"/>
        <v>0</v>
      </c>
      <c r="H20" s="50"/>
      <c r="I20" s="50"/>
      <c r="J20" s="50"/>
      <c r="K20" s="52"/>
      <c r="L20" s="56">
        <v>2831</v>
      </c>
      <c r="M20" s="50">
        <v>2129</v>
      </c>
      <c r="N20" s="50">
        <v>3938</v>
      </c>
      <c r="O20" s="49" t="str">
        <f>IFERROR(VLOOKUP(TEXT(A20,"DD/MM/AAAA")&amp;"NE - SEPARAÇÃO - Pedidos B2C",BASE!$A:$D,4,0),"")</f>
        <v/>
      </c>
      <c r="P20" s="50">
        <v>897</v>
      </c>
      <c r="Q20" s="53"/>
      <c r="R20" s="68"/>
      <c r="S20" s="68"/>
      <c r="T20" s="67"/>
      <c r="U20" s="67"/>
      <c r="V20" s="67"/>
      <c r="W20" s="57">
        <v>55.392243824394299</v>
      </c>
      <c r="X20" s="50">
        <v>40</v>
      </c>
      <c r="Y20" s="50">
        <v>63</v>
      </c>
      <c r="Z20" s="49" t="str">
        <f>IFERROR(VLOOKUP(TEXT(A20,"DD/MM/AAAA")&amp;"NE - SEPARAÇÃO - Pedidos B2B",BASE!$A:$D,4,0),"")</f>
        <v/>
      </c>
      <c r="AA20" s="50">
        <v>49</v>
      </c>
      <c r="AB20" s="53"/>
      <c r="AC20" s="58">
        <v>6</v>
      </c>
      <c r="AD20" s="49" t="str">
        <f>IFERROR(VLOOKUP(TEXT(A20,"DD/MM/AAAA")&amp;"NE - EXPEDICAO - Abastecimento Boutiques",BASE!$A:$D,4,0),"")</f>
        <v/>
      </c>
      <c r="AE20" s="49"/>
      <c r="AF20" s="49"/>
      <c r="AG20" s="5"/>
      <c r="AH20" s="58">
        <v>10</v>
      </c>
      <c r="AI20" s="5" t="str">
        <f>IFERROR(VLOOKUP(TEXT(A20,"DD/MM/AAAA")&amp;"NE - EXPEDICAO - Custo Unitário por pallet separado Outros CDs",BASE!$A:$D,4,0),"")</f>
        <v/>
      </c>
      <c r="AJ20" s="16"/>
      <c r="AK20" s="2">
        <v>581</v>
      </c>
      <c r="AL20" s="49" t="str">
        <f>IFERROR(VLOOKUP(TEXT(A20,"DD/MM/AAAA")&amp;"NE - SEPARAÇÃO - Trade Acessórios",BASE!$A:$D,4,0),"")</f>
        <v/>
      </c>
      <c r="AM20" s="12" t="str">
        <f>IFERROR(VLOOKUP(TEXT(A20,"DD/MM/AAAA")&amp;"NE - SEPARAÇÃO - Trade Café",BASE!$A:$D,4,0),"")</f>
        <v/>
      </c>
      <c r="AN20" s="49" t="str">
        <f>IFERROR(VLOOKUP(TEXT(A20,"DD/MM/AAAA")&amp;"NE - SEPARAÇÃO - Trade maquinas",BASE!$A:$D,4,0),"")</f>
        <v/>
      </c>
      <c r="AO20" s="49">
        <f t="shared" si="0"/>
        <v>0</v>
      </c>
      <c r="AP20" s="5"/>
      <c r="AQ20" s="2">
        <v>2</v>
      </c>
      <c r="AR20" s="12" t="str">
        <f>IFERROR(VLOOKUP(TEXT(A20,"DD/MM/AAAA")&amp;"NE - SEPARAÇÃO - Custo Unitário por pallet separado (Agents B2B / POSM Trade)",BASE!$A:$D,4,0),"")</f>
        <v/>
      </c>
      <c r="AS20" s="5"/>
      <c r="AT20" s="2">
        <v>959.30769230769226</v>
      </c>
      <c r="AU20" s="2">
        <v>246</v>
      </c>
      <c r="AV20" s="5"/>
      <c r="AW20" s="2">
        <v>1829.8565909451304</v>
      </c>
      <c r="AX20" s="2"/>
      <c r="AY20" s="5"/>
      <c r="AZ20" s="2">
        <v>122</v>
      </c>
      <c r="BA20" s="2"/>
      <c r="BB20" s="5"/>
      <c r="BC20" s="2">
        <v>7</v>
      </c>
      <c r="BD20" s="2"/>
      <c r="BE20" s="5"/>
      <c r="BF20" s="2">
        <v>498</v>
      </c>
      <c r="BG20" s="2"/>
      <c r="BH20" s="5"/>
      <c r="BI20" s="2"/>
      <c r="BJ20" s="2"/>
      <c r="BK20" s="5"/>
      <c r="BL20" s="2"/>
      <c r="BM20" s="2"/>
      <c r="BN20" s="5"/>
    </row>
    <row r="21" spans="1:66" s="1" customFormat="1" hidden="1" x14ac:dyDescent="0.25">
      <c r="A21" s="69">
        <v>44333</v>
      </c>
      <c r="B21" s="50"/>
      <c r="C21" s="50"/>
      <c r="D21" s="50"/>
      <c r="E21" s="50"/>
      <c r="F21" s="51">
        <v>49.425807637913245</v>
      </c>
      <c r="G21" s="3">
        <f t="shared" si="1"/>
        <v>89</v>
      </c>
      <c r="H21" s="50">
        <v>15</v>
      </c>
      <c r="I21" s="50">
        <v>2</v>
      </c>
      <c r="J21" s="50">
        <v>72</v>
      </c>
      <c r="K21" s="52"/>
      <c r="L21" s="56">
        <v>5057</v>
      </c>
      <c r="M21" s="50">
        <v>5071</v>
      </c>
      <c r="N21" s="50">
        <v>4117</v>
      </c>
      <c r="O21" s="49" t="str">
        <f>IFERROR(VLOOKUP(TEXT(A21,"DD/MM/AAAA")&amp;"NE - SEPARAÇÃO - Pedidos B2C",BASE!$A:$D,4,0),"")</f>
        <v/>
      </c>
      <c r="P21" s="50">
        <v>5322</v>
      </c>
      <c r="Q21" s="53"/>
      <c r="R21" s="68"/>
      <c r="S21" s="68"/>
      <c r="T21" s="67"/>
      <c r="U21" s="67"/>
      <c r="V21" s="67"/>
      <c r="W21" s="57">
        <v>99.212352186086875</v>
      </c>
      <c r="X21" s="50">
        <v>139</v>
      </c>
      <c r="Y21" s="50">
        <v>104</v>
      </c>
      <c r="Z21" s="49" t="str">
        <f>IFERROR(VLOOKUP(TEXT(A21,"DD/MM/AAAA")&amp;"NE - SEPARAÇÃO - Pedidos B2B",BASE!$A:$D,4,0),"")</f>
        <v/>
      </c>
      <c r="AA21" s="50">
        <v>217</v>
      </c>
      <c r="AB21" s="53"/>
      <c r="AC21" s="58">
        <v>10</v>
      </c>
      <c r="AD21" s="49" t="str">
        <f>IFERROR(VLOOKUP(TEXT(A21,"DD/MM/AAAA")&amp;"NE - EXPEDICAO - Abastecimento Boutiques",BASE!$A:$D,4,0),"")</f>
        <v/>
      </c>
      <c r="AE21" s="49"/>
      <c r="AF21" s="49"/>
      <c r="AG21" s="5"/>
      <c r="AH21" s="58">
        <v>16.715504957981956</v>
      </c>
      <c r="AI21" s="5" t="str">
        <f>IFERROR(VLOOKUP(TEXT(A21,"DD/MM/AAAA")&amp;"NE - EXPEDICAO - Custo Unitário por pallet separado Outros CDs",BASE!$A:$D,4,0),"")</f>
        <v/>
      </c>
      <c r="AJ21" s="16"/>
      <c r="AK21" s="2">
        <v>960</v>
      </c>
      <c r="AL21" s="49" t="str">
        <f>IFERROR(VLOOKUP(TEXT(A21,"DD/MM/AAAA")&amp;"NE - SEPARAÇÃO - Trade Acessórios",BASE!$A:$D,4,0),"")</f>
        <v/>
      </c>
      <c r="AM21" s="12" t="str">
        <f>IFERROR(VLOOKUP(TEXT(A21,"DD/MM/AAAA")&amp;"NE - SEPARAÇÃO - Trade Café",BASE!$A:$D,4,0),"")</f>
        <v/>
      </c>
      <c r="AN21" s="49" t="str">
        <f>IFERROR(VLOOKUP(TEXT(A21,"DD/MM/AAAA")&amp;"NE - SEPARAÇÃO - Trade maquinas",BASE!$A:$D,4,0),"")</f>
        <v/>
      </c>
      <c r="AO21" s="49">
        <f t="shared" si="0"/>
        <v>0</v>
      </c>
      <c r="AP21" s="5"/>
      <c r="AQ21" s="2">
        <v>1.5762427920904039</v>
      </c>
      <c r="AR21" s="12" t="str">
        <f>IFERROR(VLOOKUP(TEXT(A21,"DD/MM/AAAA")&amp;"NE - SEPARAÇÃO - Custo Unitário por pallet separado (Agents B2B / POSM Trade)",BASE!$A:$D,4,0),"")</f>
        <v/>
      </c>
      <c r="AS21" s="5"/>
      <c r="AT21" s="2">
        <v>959.30769230769226</v>
      </c>
      <c r="AU21" s="2">
        <v>635</v>
      </c>
      <c r="AV21" s="5"/>
      <c r="AW21" s="2">
        <v>1829.8565909451304</v>
      </c>
      <c r="AX21" s="2"/>
      <c r="AY21" s="5"/>
      <c r="AZ21" s="2">
        <v>122</v>
      </c>
      <c r="BA21" s="2"/>
      <c r="BB21" s="5"/>
      <c r="BC21" s="2">
        <v>7</v>
      </c>
      <c r="BD21" s="2"/>
      <c r="BE21" s="5"/>
      <c r="BF21" s="2">
        <v>498</v>
      </c>
      <c r="BG21" s="2"/>
      <c r="BH21" s="5"/>
      <c r="BI21" s="2"/>
      <c r="BJ21" s="2">
        <v>81</v>
      </c>
      <c r="BK21" s="5"/>
      <c r="BL21" s="2">
        <f>57/21</f>
        <v>2.7142857142857144</v>
      </c>
      <c r="BM21" s="2">
        <v>25</v>
      </c>
      <c r="BN21" s="5"/>
    </row>
    <row r="22" spans="1:66" s="1" customFormat="1" hidden="1" x14ac:dyDescent="0.25">
      <c r="A22" s="69">
        <v>44334</v>
      </c>
      <c r="B22" s="50"/>
      <c r="C22" s="50"/>
      <c r="D22" s="50"/>
      <c r="E22" s="50"/>
      <c r="F22" s="51">
        <v>49.425807637913245</v>
      </c>
      <c r="G22" s="3">
        <f t="shared" si="1"/>
        <v>98</v>
      </c>
      <c r="H22" s="50">
        <v>65</v>
      </c>
      <c r="I22" s="50">
        <v>9</v>
      </c>
      <c r="J22" s="50">
        <v>24</v>
      </c>
      <c r="K22" s="52"/>
      <c r="L22" s="56">
        <v>5638</v>
      </c>
      <c r="M22" s="50">
        <v>4068</v>
      </c>
      <c r="N22" s="50">
        <v>4246</v>
      </c>
      <c r="O22" s="49" t="str">
        <f>IFERROR(VLOOKUP(TEXT(A22,"DD/MM/AAAA")&amp;"NE - SEPARAÇÃO - Pedidos B2C",BASE!$A:$D,4,0),"")</f>
        <v/>
      </c>
      <c r="P22" s="50">
        <v>3105</v>
      </c>
      <c r="Q22" s="53"/>
      <c r="R22" s="68"/>
      <c r="S22" s="68"/>
      <c r="T22" s="67"/>
      <c r="U22" s="67"/>
      <c r="V22" s="67"/>
      <c r="W22" s="57">
        <v>110.66078113475807</v>
      </c>
      <c r="X22" s="50">
        <v>192</v>
      </c>
      <c r="Y22" s="50">
        <v>202</v>
      </c>
      <c r="Z22" s="49" t="str">
        <f>IFERROR(VLOOKUP(TEXT(A22,"DD/MM/AAAA")&amp;"NE - SEPARAÇÃO - Pedidos B2B",BASE!$A:$D,4,0),"")</f>
        <v/>
      </c>
      <c r="AA22" s="50">
        <v>75</v>
      </c>
      <c r="AB22" s="53"/>
      <c r="AC22" s="58">
        <v>10</v>
      </c>
      <c r="AD22" s="49" t="str">
        <f>IFERROR(VLOOKUP(TEXT(A22,"DD/MM/AAAA")&amp;"NE - EXPEDICAO - Abastecimento Boutiques",BASE!$A:$D,4,0),"")</f>
        <v/>
      </c>
      <c r="AE22" s="49"/>
      <c r="AF22" s="49"/>
      <c r="AG22" s="5"/>
      <c r="AH22" s="58">
        <v>18.644360253073469</v>
      </c>
      <c r="AI22" s="5" t="str">
        <f>IFERROR(VLOOKUP(TEXT(A22,"DD/MM/AAAA")&amp;"NE - EXPEDICAO - Custo Unitário por pallet separado Outros CDs",BASE!$A:$D,4,0),"")</f>
        <v/>
      </c>
      <c r="AJ22" s="16"/>
      <c r="AK22" s="2">
        <v>1060</v>
      </c>
      <c r="AL22" s="49" t="str">
        <f>IFERROR(VLOOKUP(TEXT(A22,"DD/MM/AAAA")&amp;"NE - SEPARAÇÃO - Trade Acessórios",BASE!$A:$D,4,0),"")</f>
        <v/>
      </c>
      <c r="AM22" s="12" t="str">
        <f>IFERROR(VLOOKUP(TEXT(A22,"DD/MM/AAAA")&amp;"NE - SEPARAÇÃO - Trade Café",BASE!$A:$D,4,0),"")</f>
        <v/>
      </c>
      <c r="AN22" s="49" t="str">
        <f>IFERROR(VLOOKUP(TEXT(A22,"DD/MM/AAAA")&amp;"NE - SEPARAÇÃO - Trade maquinas",BASE!$A:$D,4,0),"")</f>
        <v/>
      </c>
      <c r="AO22" s="49">
        <f t="shared" si="0"/>
        <v>0</v>
      </c>
      <c r="AP22" s="5"/>
      <c r="AQ22" s="2">
        <v>1.7581304624608751</v>
      </c>
      <c r="AR22" s="12" t="str">
        <f>IFERROR(VLOOKUP(TEXT(A22,"DD/MM/AAAA")&amp;"NE - SEPARAÇÃO - Custo Unitário por pallet separado (Agents B2B / POSM Trade)",BASE!$A:$D,4,0),"")</f>
        <v/>
      </c>
      <c r="AS22" s="5"/>
      <c r="AT22" s="2">
        <v>959.30769230769226</v>
      </c>
      <c r="AU22" s="2">
        <v>3607</v>
      </c>
      <c r="AV22" s="5"/>
      <c r="AW22" s="2">
        <v>1829.8565909451304</v>
      </c>
      <c r="AX22" s="2"/>
      <c r="AY22" s="5"/>
      <c r="AZ22" s="2">
        <v>122</v>
      </c>
      <c r="BA22" s="2"/>
      <c r="BB22" s="5"/>
      <c r="BC22" s="2">
        <v>7</v>
      </c>
      <c r="BD22" s="2"/>
      <c r="BE22" s="5"/>
      <c r="BF22" s="2">
        <v>498</v>
      </c>
      <c r="BG22" s="2">
        <v>1598</v>
      </c>
      <c r="BH22" s="5"/>
      <c r="BI22" s="2"/>
      <c r="BJ22" s="2">
        <v>159</v>
      </c>
      <c r="BK22" s="5"/>
      <c r="BL22" s="2">
        <f>57/21</f>
        <v>2.7142857142857144</v>
      </c>
      <c r="BM22" s="2"/>
      <c r="BN22" s="5"/>
    </row>
    <row r="23" spans="1:66" s="1" customFormat="1" hidden="1" x14ac:dyDescent="0.25">
      <c r="A23" s="69">
        <v>44335</v>
      </c>
      <c r="B23" s="50"/>
      <c r="C23" s="50"/>
      <c r="D23" s="50"/>
      <c r="E23" s="50"/>
      <c r="F23" s="51">
        <v>49.425807637913245</v>
      </c>
      <c r="G23" s="3">
        <f t="shared" si="1"/>
        <v>51</v>
      </c>
      <c r="H23" s="50">
        <v>50</v>
      </c>
      <c r="I23" s="50">
        <v>1</v>
      </c>
      <c r="J23" s="50">
        <v>0</v>
      </c>
      <c r="K23" s="52"/>
      <c r="L23" s="56">
        <v>4737</v>
      </c>
      <c r="M23" s="50">
        <v>3460</v>
      </c>
      <c r="N23" s="50">
        <v>4140</v>
      </c>
      <c r="O23" s="49" t="str">
        <f>IFERROR(VLOOKUP(TEXT(A23,"DD/MM/AAAA")&amp;"NE - SEPARAÇÃO - Pedidos B2C",BASE!$A:$D,4,0),"")</f>
        <v/>
      </c>
      <c r="P23" s="50"/>
      <c r="Q23" s="53"/>
      <c r="R23" s="68"/>
      <c r="S23" s="68"/>
      <c r="T23" s="67"/>
      <c r="U23" s="67"/>
      <c r="V23" s="67"/>
      <c r="W23" s="57">
        <v>92.921876972062535</v>
      </c>
      <c r="X23" s="50">
        <v>140</v>
      </c>
      <c r="Y23" s="50">
        <v>126</v>
      </c>
      <c r="Z23" s="49" t="str">
        <f>IFERROR(VLOOKUP(TEXT(A23,"DD/MM/AAAA")&amp;"NE - SEPARAÇÃO - Pedidos B2B",BASE!$A:$D,4,0),"")</f>
        <v/>
      </c>
      <c r="AA23" s="50"/>
      <c r="AB23" s="53"/>
      <c r="AC23" s="58">
        <v>8.0681645634605772</v>
      </c>
      <c r="AD23" s="49" t="str">
        <f>IFERROR(VLOOKUP(TEXT(A23,"DD/MM/AAAA")&amp;"NE - EXPEDICAO - Abastecimento Boutiques",BASE!$A:$D,4,0),"")</f>
        <v/>
      </c>
      <c r="AE23" s="49"/>
      <c r="AF23" s="49"/>
      <c r="AG23" s="5"/>
      <c r="AH23" s="58">
        <v>15.655672514629886</v>
      </c>
      <c r="AI23" s="5" t="str">
        <f>IFERROR(VLOOKUP(TEXT(A23,"DD/MM/AAAA")&amp;"NE - EXPEDICAO - Custo Unitário por pallet separado Outros CDs",BASE!$A:$D,4,0),"")</f>
        <v/>
      </c>
      <c r="AJ23" s="16"/>
      <c r="AK23" s="2">
        <v>900</v>
      </c>
      <c r="AL23" s="49" t="str">
        <f>IFERROR(VLOOKUP(TEXT(A23,"DD/MM/AAAA")&amp;"NE - SEPARAÇÃO - Trade Acessórios",BASE!$A:$D,4,0),"")</f>
        <v/>
      </c>
      <c r="AM23" s="12" t="str">
        <f>IFERROR(VLOOKUP(TEXT(A23,"DD/MM/AAAA")&amp;"NE - SEPARAÇÃO - Trade Café",BASE!$A:$D,4,0),"")</f>
        <v/>
      </c>
      <c r="AN23" s="49" t="str">
        <f>IFERROR(VLOOKUP(TEXT(A23,"DD/MM/AAAA")&amp;"NE - SEPARAÇÃO - Trade maquinas",BASE!$A:$D,4,0),"")</f>
        <v/>
      </c>
      <c r="AO23" s="49">
        <f t="shared" si="0"/>
        <v>0</v>
      </c>
      <c r="AP23" s="5"/>
      <c r="AQ23" s="2">
        <v>1.4763024520374675</v>
      </c>
      <c r="AR23" s="12" t="str">
        <f>IFERROR(VLOOKUP(TEXT(A23,"DD/MM/AAAA")&amp;"NE - SEPARAÇÃO - Custo Unitário por pallet separado (Agents B2B / POSM Trade)",BASE!$A:$D,4,0),"")</f>
        <v/>
      </c>
      <c r="AS23" s="5"/>
      <c r="AT23" s="2">
        <v>959.30769230769226</v>
      </c>
      <c r="AU23" s="2">
        <v>542</v>
      </c>
      <c r="AV23" s="5"/>
      <c r="AW23" s="2">
        <v>1829.8565909451304</v>
      </c>
      <c r="AX23" s="2"/>
      <c r="AY23" s="5"/>
      <c r="AZ23" s="2">
        <v>122</v>
      </c>
      <c r="BA23" s="2"/>
      <c r="BB23" s="5"/>
      <c r="BC23" s="2">
        <v>7</v>
      </c>
      <c r="BD23" s="2"/>
      <c r="BE23" s="5"/>
      <c r="BF23" s="2">
        <v>498</v>
      </c>
      <c r="BG23" s="2"/>
      <c r="BH23" s="5"/>
      <c r="BI23" s="2"/>
      <c r="BJ23" s="2">
        <v>49</v>
      </c>
      <c r="BK23" s="5"/>
      <c r="BL23" s="2">
        <f>57/21</f>
        <v>2.7142857142857144</v>
      </c>
      <c r="BM23" s="2"/>
      <c r="BN23" s="5"/>
    </row>
    <row r="24" spans="1:66" s="1" customFormat="1" hidden="1" x14ac:dyDescent="0.25">
      <c r="A24" s="69">
        <v>44336</v>
      </c>
      <c r="B24" s="50"/>
      <c r="C24" s="50"/>
      <c r="D24" s="50"/>
      <c r="E24" s="50"/>
      <c r="F24" s="51">
        <v>49.425807637913245</v>
      </c>
      <c r="G24" s="3">
        <f t="shared" si="1"/>
        <v>1</v>
      </c>
      <c r="H24" s="50">
        <v>1</v>
      </c>
      <c r="I24" s="50">
        <v>0</v>
      </c>
      <c r="J24" s="50">
        <v>0</v>
      </c>
      <c r="K24" s="52"/>
      <c r="L24" s="56">
        <v>4622</v>
      </c>
      <c r="M24" s="50">
        <v>3646</v>
      </c>
      <c r="N24" s="50">
        <v>3616</v>
      </c>
      <c r="O24" s="49" t="str">
        <f>IFERROR(VLOOKUP(TEXT(A24,"DD/MM/AAAA")&amp;"NE - SEPARAÇÃO - Pedidos B2C",BASE!$A:$D,4,0),"")</f>
        <v/>
      </c>
      <c r="P24" s="50">
        <v>545</v>
      </c>
      <c r="Q24" s="53"/>
      <c r="R24" s="68"/>
      <c r="S24" s="68"/>
      <c r="T24" s="67"/>
      <c r="U24" s="67"/>
      <c r="V24" s="67"/>
      <c r="W24" s="57">
        <v>92</v>
      </c>
      <c r="X24" s="50">
        <v>132</v>
      </c>
      <c r="Y24" s="50">
        <v>124</v>
      </c>
      <c r="Z24" s="49" t="str">
        <f>IFERROR(VLOOKUP(TEXT(A24,"DD/MM/AAAA")&amp;"NE - SEPARAÇÃO - Pedidos B2B",BASE!$A:$D,4,0),"")</f>
        <v/>
      </c>
      <c r="AA24" s="50">
        <v>49</v>
      </c>
      <c r="AB24" s="53"/>
      <c r="AC24" s="58">
        <v>7.8718879109554276</v>
      </c>
      <c r="AD24" s="49" t="str">
        <f>IFERROR(VLOOKUP(TEXT(A24,"DD/MM/AAAA")&amp;"NE - EXPEDICAO - Abastecimento Boutiques",BASE!$A:$D,4,0),"")</f>
        <v/>
      </c>
      <c r="AE24" s="49"/>
      <c r="AF24" s="49"/>
      <c r="AG24" s="5"/>
      <c r="AH24" s="58">
        <v>15.274812286790105</v>
      </c>
      <c r="AI24" s="5" t="str">
        <f>IFERROR(VLOOKUP(TEXT(A24,"DD/MM/AAAA")&amp;"NE - EXPEDICAO - Custo Unitário por pallet separado Outros CDs",BASE!$A:$D,4,0),"")</f>
        <v/>
      </c>
      <c r="AJ24" s="16"/>
      <c r="AK24" s="2">
        <v>854</v>
      </c>
      <c r="AL24" s="49" t="str">
        <f>IFERROR(VLOOKUP(TEXT(A24,"DD/MM/AAAA")&amp;"NE - SEPARAÇÃO - Trade Acessórios",BASE!$A:$D,4,0),"")</f>
        <v/>
      </c>
      <c r="AM24" s="12" t="str">
        <f>IFERROR(VLOOKUP(TEXT(A24,"DD/MM/AAAA")&amp;"NE - SEPARAÇÃO - Trade Café",BASE!$A:$D,4,0),"")</f>
        <v/>
      </c>
      <c r="AN24" s="49" t="str">
        <f>IFERROR(VLOOKUP(TEXT(A24,"DD/MM/AAAA")&amp;"NE - SEPARAÇÃO - Trade maquinas",BASE!$A:$D,4,0),"")</f>
        <v/>
      </c>
      <c r="AO24" s="49">
        <f t="shared" si="0"/>
        <v>0</v>
      </c>
      <c r="AP24" s="5"/>
      <c r="AQ24" s="2">
        <v>1.4403880007280143</v>
      </c>
      <c r="AR24" s="12" t="str">
        <f>IFERROR(VLOOKUP(TEXT(A24,"DD/MM/AAAA")&amp;"NE - SEPARAÇÃO - Custo Unitário por pallet separado (Agents B2B / POSM Trade)",BASE!$A:$D,4,0),"")</f>
        <v/>
      </c>
      <c r="AS24" s="5"/>
      <c r="AT24" s="2">
        <v>959.30769230769226</v>
      </c>
      <c r="AU24" s="2">
        <v>1697</v>
      </c>
      <c r="AV24" s="5"/>
      <c r="AW24" s="2">
        <v>1829.8565909451304</v>
      </c>
      <c r="AX24" s="2">
        <v>1845</v>
      </c>
      <c r="AY24" s="5"/>
      <c r="AZ24" s="2">
        <v>122</v>
      </c>
      <c r="BA24" s="2">
        <v>516</v>
      </c>
      <c r="BB24" s="5"/>
      <c r="BC24" s="2">
        <v>7</v>
      </c>
      <c r="BD24" s="2"/>
      <c r="BE24" s="5"/>
      <c r="BF24" s="2">
        <v>498</v>
      </c>
      <c r="BG24" s="2"/>
      <c r="BH24" s="5"/>
      <c r="BI24" s="2"/>
      <c r="BJ24" s="2">
        <v>110</v>
      </c>
      <c r="BK24" s="5"/>
      <c r="BL24" s="2">
        <f>57/21</f>
        <v>2.7142857142857144</v>
      </c>
      <c r="BM24" s="2">
        <v>3</v>
      </c>
      <c r="BN24" s="5"/>
    </row>
    <row r="25" spans="1:66" s="1" customFormat="1" hidden="1" x14ac:dyDescent="0.25">
      <c r="A25" s="69">
        <v>44337</v>
      </c>
      <c r="B25" s="50"/>
      <c r="C25" s="50"/>
      <c r="D25" s="50"/>
      <c r="E25" s="50"/>
      <c r="F25" s="51">
        <v>49.425807637913245</v>
      </c>
      <c r="G25" s="3">
        <f t="shared" si="1"/>
        <v>50</v>
      </c>
      <c r="H25" s="50">
        <v>26</v>
      </c>
      <c r="I25" s="50">
        <v>0</v>
      </c>
      <c r="J25" s="50">
        <v>24</v>
      </c>
      <c r="K25" s="52"/>
      <c r="L25" s="56">
        <v>4367</v>
      </c>
      <c r="M25" s="50">
        <v>3102</v>
      </c>
      <c r="N25" s="50">
        <v>3574</v>
      </c>
      <c r="O25" s="49" t="str">
        <f>IFERROR(VLOOKUP(TEXT(A25,"DD/MM/AAAA")&amp;"NE - SEPARAÇÃO - Pedidos B2C",BASE!$A:$D,4,0),"")</f>
        <v/>
      </c>
      <c r="P25" s="50">
        <v>8491</v>
      </c>
      <c r="Q25" s="53"/>
      <c r="R25" s="68"/>
      <c r="S25" s="68"/>
      <c r="T25" s="67"/>
      <c r="U25" s="67"/>
      <c r="V25" s="67"/>
      <c r="W25" s="57">
        <v>85.625091296372929</v>
      </c>
      <c r="X25" s="50">
        <v>94</v>
      </c>
      <c r="Y25" s="50">
        <v>129</v>
      </c>
      <c r="Z25" s="49" t="str">
        <f>IFERROR(VLOOKUP(TEXT(A25,"DD/MM/AAAA")&amp;"NE - SEPARAÇÃO - Pedidos B2B",BASE!$A:$D,4,0),"")</f>
        <v/>
      </c>
      <c r="AA25" s="50">
        <v>227</v>
      </c>
      <c r="AB25" s="53"/>
      <c r="AC25" s="58">
        <v>7.4346036676398262</v>
      </c>
      <c r="AD25" s="49" t="str">
        <f>IFERROR(VLOOKUP(TEXT(A25,"DD/MM/AAAA")&amp;"NE - EXPEDICAO - Abastecimento Boutiques",BASE!$A:$D,4,0),"")</f>
        <v/>
      </c>
      <c r="AE25" s="49"/>
      <c r="AF25" s="49"/>
      <c r="AG25" s="5"/>
      <c r="AH25" s="58">
        <v>14.426294776356428</v>
      </c>
      <c r="AI25" s="5" t="str">
        <f>IFERROR(VLOOKUP(TEXT(A25,"DD/MM/AAAA")&amp;"NE - EXPEDICAO - Custo Unitário por pallet separado Outros CDs",BASE!$A:$D,4,0),"")</f>
        <v/>
      </c>
      <c r="AJ25" s="16"/>
      <c r="AK25" s="2">
        <v>845</v>
      </c>
      <c r="AL25" s="49" t="str">
        <f>IFERROR(VLOOKUP(TEXT(A25,"DD/MM/AAAA")&amp;"NE - SEPARAÇÃO - Trade Acessórios",BASE!$A:$D,4,0),"")</f>
        <v/>
      </c>
      <c r="AM25" s="12" t="str">
        <f>IFERROR(VLOOKUP(TEXT(A25,"DD/MM/AAAA")&amp;"NE - SEPARAÇÃO - Trade Café",BASE!$A:$D,4,0),"")</f>
        <v/>
      </c>
      <c r="AN25" s="49" t="str">
        <f>IFERROR(VLOOKUP(TEXT(A25,"DD/MM/AAAA")&amp;"NE - SEPARAÇÃO - Trade maquinas",BASE!$A:$D,4,0),"")</f>
        <v/>
      </c>
      <c r="AO25" s="49">
        <f t="shared" si="0"/>
        <v>0</v>
      </c>
      <c r="AP25" s="5"/>
      <c r="AQ25" s="2">
        <v>1.3603742881213299</v>
      </c>
      <c r="AR25" s="12" t="str">
        <f>IFERROR(VLOOKUP(TEXT(A25,"DD/MM/AAAA")&amp;"NE - SEPARAÇÃO - Custo Unitário por pallet separado (Agents B2B / POSM Trade)",BASE!$A:$D,4,0),"")</f>
        <v/>
      </c>
      <c r="AS25" s="5"/>
      <c r="AT25" s="2">
        <v>959.30769230769226</v>
      </c>
      <c r="AU25" s="2"/>
      <c r="AV25" s="5"/>
      <c r="AW25" s="2">
        <v>1829.8565909451304</v>
      </c>
      <c r="AX25" s="2"/>
      <c r="AY25" s="5"/>
      <c r="AZ25" s="2">
        <v>122</v>
      </c>
      <c r="BA25" s="2">
        <v>300</v>
      </c>
      <c r="BB25" s="5"/>
      <c r="BC25" s="2">
        <v>7</v>
      </c>
      <c r="BD25" s="2"/>
      <c r="BE25" s="5"/>
      <c r="BF25" s="2">
        <v>498</v>
      </c>
      <c r="BG25" s="2">
        <v>1800</v>
      </c>
      <c r="BH25" s="5"/>
      <c r="BI25" s="2"/>
      <c r="BJ25" s="2">
        <v>39</v>
      </c>
      <c r="BK25" s="5"/>
      <c r="BL25" s="2">
        <f>57/21</f>
        <v>2.7142857142857144</v>
      </c>
      <c r="BM25" s="2">
        <v>12</v>
      </c>
      <c r="BN25" s="5"/>
    </row>
    <row r="26" spans="1:66" s="1" customFormat="1" hidden="1" x14ac:dyDescent="0.25">
      <c r="A26" s="69">
        <v>44338</v>
      </c>
      <c r="B26" s="50"/>
      <c r="C26" s="50"/>
      <c r="D26" s="50"/>
      <c r="E26" s="50"/>
      <c r="F26" s="51">
        <v>0</v>
      </c>
      <c r="G26" s="3">
        <f t="shared" si="1"/>
        <v>0</v>
      </c>
      <c r="H26" s="50"/>
      <c r="I26" s="50"/>
      <c r="J26" s="50">
        <v>0</v>
      </c>
      <c r="K26" s="52"/>
      <c r="L26" s="56">
        <v>2612</v>
      </c>
      <c r="M26" s="50">
        <v>2149</v>
      </c>
      <c r="N26" s="50"/>
      <c r="O26" s="49" t="str">
        <f>IFERROR(VLOOKUP(TEXT(A26,"DD/MM/AAAA")&amp;"NE - SEPARAÇÃO - Pedidos B2C",BASE!$A:$D,4,0),"")</f>
        <v/>
      </c>
      <c r="P26" s="50"/>
      <c r="Q26" s="53"/>
      <c r="R26" s="68"/>
      <c r="S26" s="68"/>
      <c r="T26" s="67"/>
      <c r="U26" s="67"/>
      <c r="V26" s="67"/>
      <c r="W26" s="57">
        <v>51.096863233108621</v>
      </c>
      <c r="X26" s="50"/>
      <c r="Y26" s="50"/>
      <c r="Z26" s="49" t="str">
        <f>IFERROR(VLOOKUP(TEXT(A26,"DD/MM/AAAA")&amp;"NE - SEPARAÇÃO - Pedidos B2B",BASE!$A:$D,4,0),"")</f>
        <v/>
      </c>
      <c r="AA26" s="50"/>
      <c r="AB26" s="53"/>
      <c r="AC26" s="58">
        <v>0</v>
      </c>
      <c r="AD26" s="49" t="str">
        <f>IFERROR(VLOOKUP(TEXT(A26,"DD/MM/AAAA")&amp;"NE - EXPEDICAO - Abastecimento Boutiques",BASE!$A:$D,4,0),"")</f>
        <v/>
      </c>
      <c r="AE26" s="49"/>
      <c r="AF26" s="49"/>
      <c r="AG26" s="5"/>
      <c r="AH26" s="58">
        <v>0</v>
      </c>
      <c r="AI26" s="5" t="str">
        <f>IFERROR(VLOOKUP(TEXT(A26,"DD/MM/AAAA")&amp;"NE - EXPEDICAO - Custo Unitário por pallet separado Outros CDs",BASE!$A:$D,4,0),"")</f>
        <v/>
      </c>
      <c r="AJ26" s="16"/>
      <c r="AK26" s="2">
        <v>0</v>
      </c>
      <c r="AL26" s="49" t="str">
        <f>IFERROR(VLOOKUP(TEXT(A26,"DD/MM/AAAA")&amp;"NE - SEPARAÇÃO - Trade Acessórios",BASE!$A:$D,4,0),"")</f>
        <v/>
      </c>
      <c r="AM26" s="12" t="str">
        <f>IFERROR(VLOOKUP(TEXT(A26,"DD/MM/AAAA")&amp;"NE - SEPARAÇÃO - Trade Café",BASE!$A:$D,4,0),"")</f>
        <v/>
      </c>
      <c r="AN26" s="49" t="str">
        <f>IFERROR(VLOOKUP(TEXT(A26,"DD/MM/AAAA")&amp;"NE - SEPARAÇÃO - Trade maquinas",BASE!$A:$D,4,0),"")</f>
        <v/>
      </c>
      <c r="AO26" s="49">
        <f t="shared" si="0"/>
        <v>0</v>
      </c>
      <c r="AP26" s="5"/>
      <c r="AQ26" s="2">
        <v>0</v>
      </c>
      <c r="AR26" s="12" t="str">
        <f>IFERROR(VLOOKUP(TEXT(A26,"DD/MM/AAAA")&amp;"NE - SEPARAÇÃO - Custo Unitário por pallet separado (Agents B2B / POSM Trade)",BASE!$A:$D,4,0),"")</f>
        <v/>
      </c>
      <c r="AS26" s="5"/>
      <c r="AT26" s="2">
        <v>0</v>
      </c>
      <c r="AU26" s="2"/>
      <c r="AV26" s="5"/>
      <c r="AW26" s="2">
        <v>0</v>
      </c>
      <c r="AX26" s="2"/>
      <c r="AY26" s="5"/>
      <c r="AZ26" s="2">
        <v>0</v>
      </c>
      <c r="BA26" s="2"/>
      <c r="BB26" s="5"/>
      <c r="BC26" s="2">
        <v>0</v>
      </c>
      <c r="BD26" s="2"/>
      <c r="BE26" s="5"/>
      <c r="BF26" s="2">
        <v>0</v>
      </c>
      <c r="BG26" s="2"/>
      <c r="BH26" s="5"/>
      <c r="BI26" s="2"/>
      <c r="BJ26" s="2"/>
      <c r="BK26" s="5"/>
      <c r="BL26" s="2"/>
      <c r="BM26" s="2"/>
      <c r="BN26" s="5"/>
    </row>
    <row r="27" spans="1:66" s="1" customFormat="1" hidden="1" x14ac:dyDescent="0.25">
      <c r="A27" s="69">
        <v>44339</v>
      </c>
      <c r="B27" s="50"/>
      <c r="C27" s="50"/>
      <c r="D27" s="50"/>
      <c r="E27" s="50"/>
      <c r="F27" s="51">
        <v>49.425807637913245</v>
      </c>
      <c r="G27" s="3">
        <f t="shared" si="1"/>
        <v>1</v>
      </c>
      <c r="H27" s="50">
        <v>1</v>
      </c>
      <c r="I27" s="50">
        <v>0</v>
      </c>
      <c r="J27" s="50">
        <v>0</v>
      </c>
      <c r="K27" s="52"/>
      <c r="L27" s="56">
        <v>2812</v>
      </c>
      <c r="M27" s="50">
        <v>2275</v>
      </c>
      <c r="N27" s="50">
        <v>4254</v>
      </c>
      <c r="O27" s="49" t="str">
        <f>IFERROR(VLOOKUP(TEXT(A27,"DD/MM/AAAA")&amp;"NE - SEPARAÇÃO - Pedidos B2C",BASE!$A:$D,4,0),"")</f>
        <v/>
      </c>
      <c r="P27" s="50"/>
      <c r="Q27" s="53"/>
      <c r="R27" s="68"/>
      <c r="S27" s="68"/>
      <c r="T27" s="67"/>
      <c r="U27" s="67"/>
      <c r="V27" s="67"/>
      <c r="W27" s="57">
        <v>55.034935002443724</v>
      </c>
      <c r="X27" s="50">
        <v>42</v>
      </c>
      <c r="Y27" s="50">
        <v>52</v>
      </c>
      <c r="Z27" s="49" t="str">
        <f>IFERROR(VLOOKUP(TEXT(A27,"DD/MM/AAAA")&amp;"NE - SEPARAÇÃO - Pedidos B2B",BASE!$A:$D,4,0),"")</f>
        <v/>
      </c>
      <c r="AA27" s="50"/>
      <c r="AB27" s="53"/>
      <c r="AC27" s="58">
        <v>6</v>
      </c>
      <c r="AD27" s="49" t="str">
        <f>IFERROR(VLOOKUP(TEXT(A27,"DD/MM/AAAA")&amp;"NE - EXPEDICAO - Abastecimento Boutiques",BASE!$A:$D,4,0),"")</f>
        <v/>
      </c>
      <c r="AE27" s="49"/>
      <c r="AF27" s="49"/>
      <c r="AG27" s="5"/>
      <c r="AH27" s="58">
        <v>10</v>
      </c>
      <c r="AI27" s="5" t="str">
        <f>IFERROR(VLOOKUP(TEXT(A27,"DD/MM/AAAA")&amp;"NE - EXPEDICAO - Custo Unitário por pallet separado Outros CDs",BASE!$A:$D,4,0),"")</f>
        <v/>
      </c>
      <c r="AJ27" s="16"/>
      <c r="AK27" s="2">
        <v>678</v>
      </c>
      <c r="AL27" s="49" t="str">
        <f>IFERROR(VLOOKUP(TEXT(A27,"DD/MM/AAAA")&amp;"NE - SEPARAÇÃO - Trade Acessórios",BASE!$A:$D,4,0),"")</f>
        <v/>
      </c>
      <c r="AM27" s="12" t="str">
        <f>IFERROR(VLOOKUP(TEXT(A27,"DD/MM/AAAA")&amp;"NE - SEPARAÇÃO - Trade Café",BASE!$A:$D,4,0),"")</f>
        <v/>
      </c>
      <c r="AN27" s="49" t="str">
        <f>IFERROR(VLOOKUP(TEXT(A27,"DD/MM/AAAA")&amp;"NE - SEPARAÇÃO - Trade maquinas",BASE!$A:$D,4,0),"")</f>
        <v/>
      </c>
      <c r="AO27" s="49">
        <f t="shared" si="0"/>
        <v>0</v>
      </c>
      <c r="AP27" s="5"/>
      <c r="AQ27" s="2">
        <v>2</v>
      </c>
      <c r="AR27" s="12" t="str">
        <f>IFERROR(VLOOKUP(TEXT(A27,"DD/MM/AAAA")&amp;"NE - SEPARAÇÃO - Custo Unitário por pallet separado (Agents B2B / POSM Trade)",BASE!$A:$D,4,0),"")</f>
        <v/>
      </c>
      <c r="AS27" s="5"/>
      <c r="AT27" s="2">
        <v>959.30769230769226</v>
      </c>
      <c r="AU27" s="2">
        <v>436</v>
      </c>
      <c r="AV27" s="5"/>
      <c r="AW27" s="2">
        <v>1829.8565909451304</v>
      </c>
      <c r="AX27" s="2"/>
      <c r="AY27" s="5"/>
      <c r="AZ27" s="2">
        <v>121</v>
      </c>
      <c r="BA27" s="2"/>
      <c r="BB27" s="5"/>
      <c r="BC27" s="2">
        <v>7</v>
      </c>
      <c r="BD27" s="2"/>
      <c r="BE27" s="5"/>
      <c r="BF27" s="2">
        <v>497</v>
      </c>
      <c r="BG27" s="2"/>
      <c r="BH27" s="5"/>
      <c r="BI27" s="2"/>
      <c r="BJ27" s="2"/>
      <c r="BK27" s="5"/>
      <c r="BL27" s="2"/>
      <c r="BM27" s="2"/>
      <c r="BN27" s="5"/>
    </row>
    <row r="28" spans="1:66" s="1" customFormat="1" hidden="1" x14ac:dyDescent="0.25">
      <c r="A28" s="69">
        <v>44340</v>
      </c>
      <c r="B28" s="50"/>
      <c r="C28" s="50"/>
      <c r="D28" s="50"/>
      <c r="E28" s="50"/>
      <c r="F28" s="51">
        <v>49.425807637913245</v>
      </c>
      <c r="G28" s="3">
        <f t="shared" si="1"/>
        <v>104</v>
      </c>
      <c r="H28" s="50">
        <v>29</v>
      </c>
      <c r="I28" s="50">
        <v>26</v>
      </c>
      <c r="J28" s="50">
        <v>49</v>
      </c>
      <c r="K28" s="52"/>
      <c r="L28" s="56">
        <v>4730</v>
      </c>
      <c r="M28" s="50">
        <v>4580</v>
      </c>
      <c r="N28" s="50">
        <v>4506</v>
      </c>
      <c r="O28" s="49" t="str">
        <f>IFERROR(VLOOKUP(TEXT(A28,"DD/MM/AAAA")&amp;"NE - SEPARAÇÃO - Pedidos B2C",BASE!$A:$D,4,0),"")</f>
        <v/>
      </c>
      <c r="P28" s="50">
        <v>15278</v>
      </c>
      <c r="Q28" s="53"/>
      <c r="R28" s="68"/>
      <c r="S28" s="68"/>
      <c r="T28" s="67"/>
      <c r="U28" s="67"/>
      <c r="V28" s="67"/>
      <c r="W28" s="57">
        <v>92.773513205338205</v>
      </c>
      <c r="X28" s="50">
        <v>181</v>
      </c>
      <c r="Y28" s="50">
        <v>107</v>
      </c>
      <c r="Z28" s="49" t="str">
        <f>IFERROR(VLOOKUP(TEXT(A28,"DD/MM/AAAA")&amp;"NE - SEPARAÇÃO - Pedidos B2B",BASE!$A:$D,4,0),"")</f>
        <v/>
      </c>
      <c r="AA28" s="50">
        <v>480</v>
      </c>
      <c r="AB28" s="53"/>
      <c r="AC28" s="58">
        <v>9</v>
      </c>
      <c r="AD28" s="49" t="str">
        <f>IFERROR(VLOOKUP(TEXT(A28,"DD/MM/AAAA")&amp;"NE - EXPEDICAO - Abastecimento Boutiques",BASE!$A:$D,4,0),"")</f>
        <v/>
      </c>
      <c r="AE28" s="49"/>
      <c r="AF28" s="49"/>
      <c r="AG28" s="5"/>
      <c r="AH28" s="58">
        <v>18</v>
      </c>
      <c r="AI28" s="5" t="str">
        <f>IFERROR(VLOOKUP(TEXT(A28,"DD/MM/AAAA")&amp;"NE - EXPEDICAO - Custo Unitário por pallet separado Outros CDs",BASE!$A:$D,4,0),"")</f>
        <v/>
      </c>
      <c r="AJ28" s="16"/>
      <c r="AK28" s="2">
        <v>1004</v>
      </c>
      <c r="AL28" s="49" t="str">
        <f>IFERROR(VLOOKUP(TEXT(A28,"DD/MM/AAAA")&amp;"NE - SEPARAÇÃO - Trade Acessórios",BASE!$A:$D,4,0),"")</f>
        <v/>
      </c>
      <c r="AM28" s="12" t="str">
        <f>IFERROR(VLOOKUP(TEXT(A28,"DD/MM/AAAA")&amp;"NE - SEPARAÇÃO - Trade Café",BASE!$A:$D,4,0),"")</f>
        <v/>
      </c>
      <c r="AN28" s="49" t="str">
        <f>IFERROR(VLOOKUP(TEXT(A28,"DD/MM/AAAA")&amp;"NE - SEPARAÇÃO - Trade maquinas",BASE!$A:$D,4,0),"")</f>
        <v/>
      </c>
      <c r="AO28" s="49">
        <f t="shared" si="0"/>
        <v>0</v>
      </c>
      <c r="AP28" s="5"/>
      <c r="AQ28" s="2">
        <v>1.473945312903542</v>
      </c>
      <c r="AR28" s="12" t="str">
        <f>IFERROR(VLOOKUP(TEXT(A28,"DD/MM/AAAA")&amp;"NE - SEPARAÇÃO - Custo Unitário por pallet separado (Agents B2B / POSM Trade)",BASE!$A:$D,4,0),"")</f>
        <v/>
      </c>
      <c r="AS28" s="5"/>
      <c r="AT28" s="2">
        <v>959.30769230769226</v>
      </c>
      <c r="AU28" s="2">
        <v>1450</v>
      </c>
      <c r="AV28" s="5"/>
      <c r="AW28" s="2">
        <v>1829.8565909451304</v>
      </c>
      <c r="AX28" s="2"/>
      <c r="AY28" s="5"/>
      <c r="AZ28" s="2">
        <v>121</v>
      </c>
      <c r="BA28" s="2">
        <v>100</v>
      </c>
      <c r="BB28" s="5"/>
      <c r="BC28" s="2">
        <v>6</v>
      </c>
      <c r="BD28" s="2"/>
      <c r="BE28" s="5"/>
      <c r="BF28" s="2">
        <v>497</v>
      </c>
      <c r="BG28" s="2"/>
      <c r="BH28" s="5"/>
      <c r="BI28" s="2"/>
      <c r="BJ28" s="2">
        <v>53</v>
      </c>
      <c r="BK28" s="5"/>
      <c r="BL28" s="2">
        <f>57/21</f>
        <v>2.7142857142857144</v>
      </c>
      <c r="BM28" s="2">
        <v>1</v>
      </c>
      <c r="BN28" s="5"/>
    </row>
    <row r="29" spans="1:66" s="1" customFormat="1" hidden="1" x14ac:dyDescent="0.25">
      <c r="A29" s="69">
        <v>44341</v>
      </c>
      <c r="B29" s="50"/>
      <c r="C29" s="50"/>
      <c r="D29" s="50"/>
      <c r="E29" s="50"/>
      <c r="F29" s="51">
        <v>49.425807637913245</v>
      </c>
      <c r="G29" s="3">
        <f t="shared" si="1"/>
        <v>59</v>
      </c>
      <c r="H29" s="50">
        <v>9</v>
      </c>
      <c r="I29" s="50">
        <v>2</v>
      </c>
      <c r="J29" s="50">
        <v>48</v>
      </c>
      <c r="K29" s="52"/>
      <c r="L29" s="56">
        <v>4744</v>
      </c>
      <c r="M29" s="50">
        <v>3737</v>
      </c>
      <c r="N29" s="50">
        <v>3976</v>
      </c>
      <c r="O29" s="49" t="str">
        <f>IFERROR(VLOOKUP(TEXT(A29,"DD/MM/AAAA")&amp;"NE - SEPARAÇÃO - Pedidos B2C",BASE!$A:$D,4,0),"")</f>
        <v/>
      </c>
      <c r="P29" s="50"/>
      <c r="Q29" s="53"/>
      <c r="R29" s="68"/>
      <c r="S29" s="68"/>
      <c r="T29" s="67"/>
      <c r="U29" s="67"/>
      <c r="V29" s="67"/>
      <c r="W29" s="57">
        <v>93.010503434861533</v>
      </c>
      <c r="X29" s="50">
        <v>146</v>
      </c>
      <c r="Y29" s="50">
        <v>206</v>
      </c>
      <c r="Z29" s="49" t="str">
        <f>IFERROR(VLOOKUP(TEXT(A29,"DD/MM/AAAA")&amp;"NE - SEPARAÇÃO - Pedidos B2B",BASE!$A:$D,4,0),"")</f>
        <v/>
      </c>
      <c r="AA29" s="50"/>
      <c r="AB29" s="53"/>
      <c r="AC29" s="58">
        <v>9</v>
      </c>
      <c r="AD29" s="49" t="str">
        <f>IFERROR(VLOOKUP(TEXT(A29,"DD/MM/AAAA")&amp;"NE - EXPEDICAO - Abastecimento Boutiques",BASE!$A:$D,4,0),"")</f>
        <v/>
      </c>
      <c r="AE29" s="49"/>
      <c r="AF29" s="49"/>
      <c r="AG29" s="5"/>
      <c r="AH29" s="58">
        <v>18</v>
      </c>
      <c r="AI29" s="5" t="str">
        <f>IFERROR(VLOOKUP(TEXT(A29,"DD/MM/AAAA")&amp;"NE - EXPEDICAO - Custo Unitário por pallet separado Outros CDs",BASE!$A:$D,4,0),"")</f>
        <v/>
      </c>
      <c r="AJ29" s="16"/>
      <c r="AK29" s="2">
        <v>1005</v>
      </c>
      <c r="AL29" s="49" t="str">
        <f>IFERROR(VLOOKUP(TEXT(A29,"DD/MM/AAAA")&amp;"NE - SEPARAÇÃO - Trade Acessórios",BASE!$A:$D,4,0),"")</f>
        <v/>
      </c>
      <c r="AM29" s="12" t="str">
        <f>IFERROR(VLOOKUP(TEXT(A29,"DD/MM/AAAA")&amp;"NE - SEPARAÇÃO - Trade Café",BASE!$A:$D,4,0),"")</f>
        <v/>
      </c>
      <c r="AN29" s="49" t="str">
        <f>IFERROR(VLOOKUP(TEXT(A29,"DD/MM/AAAA")&amp;"NE - SEPARAÇÃO - Trade maquinas",BASE!$A:$D,4,0),"")</f>
        <v/>
      </c>
      <c r="AO29" s="49">
        <f t="shared" si="0"/>
        <v>0</v>
      </c>
      <c r="AP29" s="5"/>
      <c r="AQ29" s="2">
        <v>1.4777105108133886</v>
      </c>
      <c r="AR29" s="12" t="str">
        <f>IFERROR(VLOOKUP(TEXT(A29,"DD/MM/AAAA")&amp;"NE - SEPARAÇÃO - Custo Unitário por pallet separado (Agents B2B / POSM Trade)",BASE!$A:$D,4,0),"")</f>
        <v/>
      </c>
      <c r="AS29" s="5"/>
      <c r="AT29" s="2">
        <v>959.30769230769226</v>
      </c>
      <c r="AU29" s="2">
        <v>275</v>
      </c>
      <c r="AV29" s="5"/>
      <c r="AW29" s="2">
        <v>1829.8565909451304</v>
      </c>
      <c r="AX29" s="2">
        <v>2500</v>
      </c>
      <c r="AY29" s="5"/>
      <c r="AZ29" s="2">
        <v>121</v>
      </c>
      <c r="BA29" s="2">
        <v>400</v>
      </c>
      <c r="BB29" s="5"/>
      <c r="BC29" s="2">
        <v>6</v>
      </c>
      <c r="BD29" s="2"/>
      <c r="BE29" s="5"/>
      <c r="BF29" s="2">
        <v>497</v>
      </c>
      <c r="BG29" s="2">
        <v>2080</v>
      </c>
      <c r="BH29" s="5"/>
      <c r="BI29" s="2"/>
      <c r="BJ29" s="2">
        <v>85</v>
      </c>
      <c r="BK29" s="5"/>
      <c r="BL29" s="2">
        <f>57/21</f>
        <v>2.7142857142857144</v>
      </c>
      <c r="BM29" s="2">
        <v>8</v>
      </c>
      <c r="BN29" s="5"/>
    </row>
    <row r="30" spans="1:66" s="1" customFormat="1" hidden="1" x14ac:dyDescent="0.25">
      <c r="A30" s="69">
        <v>44342</v>
      </c>
      <c r="B30" s="50"/>
      <c r="C30" s="50"/>
      <c r="D30" s="50"/>
      <c r="E30" s="50"/>
      <c r="F30" s="51">
        <v>49.425807637913245</v>
      </c>
      <c r="G30" s="3">
        <f t="shared" si="1"/>
        <v>1</v>
      </c>
      <c r="H30" s="50">
        <v>0</v>
      </c>
      <c r="I30" s="50">
        <v>1</v>
      </c>
      <c r="J30" s="50">
        <v>0</v>
      </c>
      <c r="K30" s="52"/>
      <c r="L30" s="56">
        <v>4563</v>
      </c>
      <c r="M30" s="50">
        <v>3484</v>
      </c>
      <c r="N30" s="50">
        <v>3446</v>
      </c>
      <c r="O30" s="49" t="str">
        <f>IFERROR(VLOOKUP(TEXT(A30,"DD/MM/AAAA")&amp;"NE - SEPARAÇÃO - Pedidos B2C",BASE!$A:$D,4,0),"")</f>
        <v/>
      </c>
      <c r="P30" s="50">
        <v>1993</v>
      </c>
      <c r="Q30" s="53"/>
      <c r="R30" s="68"/>
      <c r="S30" s="68"/>
      <c r="T30" s="67"/>
      <c r="U30" s="67"/>
      <c r="V30" s="67"/>
      <c r="W30" s="57">
        <v>90</v>
      </c>
      <c r="X30" s="50">
        <v>139</v>
      </c>
      <c r="Y30" s="50">
        <v>109</v>
      </c>
      <c r="Z30" s="49" t="str">
        <f>IFERROR(VLOOKUP(TEXT(A30,"DD/MM/AAAA")&amp;"NE - SEPARAÇÃO - Pedidos B2B",BASE!$A:$D,4,0),"")</f>
        <v/>
      </c>
      <c r="AA30" s="50">
        <v>63</v>
      </c>
      <c r="AB30" s="53"/>
      <c r="AC30" s="58">
        <v>9</v>
      </c>
      <c r="AD30" s="49" t="str">
        <f>IFERROR(VLOOKUP(TEXT(A30,"DD/MM/AAAA")&amp;"NE - EXPEDICAO - Abastecimento Boutiques",BASE!$A:$D,4,0),"")</f>
        <v/>
      </c>
      <c r="AE30" s="49"/>
      <c r="AF30" s="49"/>
      <c r="AG30" s="5"/>
      <c r="AH30" s="58">
        <v>17</v>
      </c>
      <c r="AI30" s="5" t="str">
        <f>IFERROR(VLOOKUP(TEXT(A30,"DD/MM/AAAA")&amp;"NE - EXPEDICAO - Custo Unitário por pallet separado Outros CDs",BASE!$A:$D,4,0),"")</f>
        <v/>
      </c>
      <c r="AJ30" s="16"/>
      <c r="AK30" s="2">
        <v>997</v>
      </c>
      <c r="AL30" s="49" t="str">
        <f>IFERROR(VLOOKUP(TEXT(A30,"DD/MM/AAAA")&amp;"NE - SEPARAÇÃO - Trade Acessórios",BASE!$A:$D,4,0),"")</f>
        <v/>
      </c>
      <c r="AM30" s="12" t="str">
        <f>IFERROR(VLOOKUP(TEXT(A30,"DD/MM/AAAA")&amp;"NE - SEPARAÇÃO - Trade Café",BASE!$A:$D,4,0),"")</f>
        <v/>
      </c>
      <c r="AN30" s="49" t="str">
        <f>IFERROR(VLOOKUP(TEXT(A30,"DD/MM/AAAA")&amp;"NE - SEPARAÇÃO - Trade maquinas",BASE!$A:$D,4,0),"")</f>
        <v/>
      </c>
      <c r="AO30" s="49">
        <f t="shared" si="0"/>
        <v>0</v>
      </c>
      <c r="AP30" s="5"/>
      <c r="AQ30" s="2">
        <v>1.4206412472708461</v>
      </c>
      <c r="AR30" s="12" t="str">
        <f>IFERROR(VLOOKUP(TEXT(A30,"DD/MM/AAAA")&amp;"NE - SEPARAÇÃO - Custo Unitário por pallet separado (Agents B2B / POSM Trade)",BASE!$A:$D,4,0),"")</f>
        <v/>
      </c>
      <c r="AS30" s="5"/>
      <c r="AT30" s="2">
        <v>959.30769230769226</v>
      </c>
      <c r="AU30" s="2">
        <v>1540</v>
      </c>
      <c r="AV30" s="5"/>
      <c r="AW30" s="2">
        <v>1829.8565909451304</v>
      </c>
      <c r="AX30" s="2"/>
      <c r="AY30" s="5"/>
      <c r="AZ30" s="2">
        <v>121</v>
      </c>
      <c r="BA30" s="2"/>
      <c r="BB30" s="5"/>
      <c r="BC30" s="2">
        <v>6</v>
      </c>
      <c r="BD30" s="2"/>
      <c r="BE30" s="5"/>
      <c r="BF30" s="2">
        <v>497</v>
      </c>
      <c r="BG30" s="2"/>
      <c r="BH30" s="5"/>
      <c r="BI30" s="2"/>
      <c r="BJ30" s="2">
        <v>101</v>
      </c>
      <c r="BK30" s="5"/>
      <c r="BL30" s="2">
        <f>57/21</f>
        <v>2.7142857142857144</v>
      </c>
      <c r="BM30" s="2">
        <v>11</v>
      </c>
      <c r="BN30" s="5"/>
    </row>
    <row r="31" spans="1:66" s="1" customFormat="1" hidden="1" x14ac:dyDescent="0.25">
      <c r="A31" s="69">
        <v>44343</v>
      </c>
      <c r="B31" s="50"/>
      <c r="C31" s="50"/>
      <c r="D31" s="50"/>
      <c r="E31" s="50"/>
      <c r="F31" s="51">
        <v>49.425807637913245</v>
      </c>
      <c r="G31" s="3">
        <f t="shared" si="1"/>
        <v>2</v>
      </c>
      <c r="H31" s="50">
        <v>2</v>
      </c>
      <c r="I31" s="50">
        <v>0</v>
      </c>
      <c r="J31" s="50">
        <v>0</v>
      </c>
      <c r="K31" s="52"/>
      <c r="L31" s="56">
        <v>5019</v>
      </c>
      <c r="M31" s="50">
        <v>3406</v>
      </c>
      <c r="N31" s="50">
        <v>3294</v>
      </c>
      <c r="O31" s="49" t="str">
        <f>IFERROR(VLOOKUP(TEXT(A31,"DD/MM/AAAA")&amp;"NE - SEPARAÇÃO - Pedidos B2C",BASE!$A:$D,4,0),"")</f>
        <v/>
      </c>
      <c r="P31" s="50">
        <v>3975</v>
      </c>
      <c r="Q31" s="53"/>
      <c r="R31" s="68"/>
      <c r="S31" s="68"/>
      <c r="T31" s="67"/>
      <c r="U31" s="67"/>
      <c r="V31" s="67"/>
      <c r="W31" s="57">
        <v>99</v>
      </c>
      <c r="X31" s="50">
        <v>100</v>
      </c>
      <c r="Y31" s="50">
        <v>124</v>
      </c>
      <c r="Z31" s="49" t="str">
        <f>IFERROR(VLOOKUP(TEXT(A31,"DD/MM/AAAA")&amp;"NE - SEPARAÇÃO - Pedidos B2B",BASE!$A:$D,4,0),"")</f>
        <v/>
      </c>
      <c r="AA31" s="50">
        <v>194</v>
      </c>
      <c r="AB31" s="53"/>
      <c r="AC31" s="58">
        <v>10</v>
      </c>
      <c r="AD31" s="49" t="str">
        <f>IFERROR(VLOOKUP(TEXT(A31,"DD/MM/AAAA")&amp;"NE - EXPEDICAO - Abastecimento Boutiques",BASE!$A:$D,4,0),"")</f>
        <v/>
      </c>
      <c r="AE31" s="49"/>
      <c r="AF31" s="49"/>
      <c r="AG31" s="5"/>
      <c r="AH31" s="58">
        <v>19</v>
      </c>
      <c r="AI31" s="5" t="str">
        <f>IFERROR(VLOOKUP(TEXT(A31,"DD/MM/AAAA")&amp;"NE - EXPEDICAO - Custo Unitário por pallet separado Outros CDs",BASE!$A:$D,4,0),"")</f>
        <v/>
      </c>
      <c r="AJ31" s="16"/>
      <c r="AK31" s="2">
        <v>886</v>
      </c>
      <c r="AL31" s="49" t="str">
        <f>IFERROR(VLOOKUP(TEXT(A31,"DD/MM/AAAA")&amp;"NE - SEPARAÇÃO - Trade Acessórios",BASE!$A:$D,4,0),"")</f>
        <v/>
      </c>
      <c r="AM31" s="12" t="str">
        <f>IFERROR(VLOOKUP(TEXT(A31,"DD/MM/AAAA")&amp;"NE - SEPARAÇÃO - Trade Café",BASE!$A:$D,4,0),"")</f>
        <v/>
      </c>
      <c r="AN31" s="49" t="str">
        <f>IFERROR(VLOOKUP(TEXT(A31,"DD/MM/AAAA")&amp;"NE - SEPARAÇÃO - Trade maquinas",BASE!$A:$D,4,0),"")</f>
        <v/>
      </c>
      <c r="AO31" s="49">
        <f t="shared" si="0"/>
        <v>0</v>
      </c>
      <c r="AP31" s="5"/>
      <c r="AQ31" s="2">
        <v>1.5633527792227579</v>
      </c>
      <c r="AR31" s="12" t="str">
        <f>IFERROR(VLOOKUP(TEXT(A31,"DD/MM/AAAA")&amp;"NE - SEPARAÇÃO - Custo Unitário por pallet separado (Agents B2B / POSM Trade)",BASE!$A:$D,4,0),"")</f>
        <v/>
      </c>
      <c r="AS31" s="5"/>
      <c r="AT31" s="2">
        <v>959.30769230769226</v>
      </c>
      <c r="AU31" s="2">
        <v>666</v>
      </c>
      <c r="AV31" s="5"/>
      <c r="AW31" s="2">
        <v>1829.8565909451304</v>
      </c>
      <c r="AX31" s="2"/>
      <c r="AY31" s="5"/>
      <c r="AZ31" s="2">
        <v>121</v>
      </c>
      <c r="BA31" s="2">
        <v>75</v>
      </c>
      <c r="BB31" s="5"/>
      <c r="BC31" s="2">
        <v>7</v>
      </c>
      <c r="BD31" s="2"/>
      <c r="BE31" s="5"/>
      <c r="BF31" s="2">
        <v>497</v>
      </c>
      <c r="BG31" s="2"/>
      <c r="BH31" s="5"/>
      <c r="BI31" s="2"/>
      <c r="BJ31" s="2">
        <v>67</v>
      </c>
      <c r="BK31" s="5"/>
      <c r="BL31" s="2">
        <f>57/21</f>
        <v>2.7142857142857144</v>
      </c>
      <c r="BM31" s="2">
        <v>41</v>
      </c>
      <c r="BN31" s="5"/>
    </row>
    <row r="32" spans="1:66" s="1" customFormat="1" hidden="1" x14ac:dyDescent="0.25">
      <c r="A32" s="69">
        <v>44344</v>
      </c>
      <c r="B32" s="50"/>
      <c r="C32" s="50"/>
      <c r="D32" s="50"/>
      <c r="E32" s="50"/>
      <c r="F32" s="51">
        <v>49.425807637913245</v>
      </c>
      <c r="G32" s="3">
        <f t="shared" si="1"/>
        <v>130</v>
      </c>
      <c r="H32" s="50">
        <v>42</v>
      </c>
      <c r="I32" s="50">
        <v>0</v>
      </c>
      <c r="J32" s="50">
        <v>88</v>
      </c>
      <c r="K32" s="52"/>
      <c r="L32" s="56">
        <v>5803</v>
      </c>
      <c r="M32" s="50">
        <v>3094</v>
      </c>
      <c r="N32" s="50">
        <v>3249</v>
      </c>
      <c r="O32" s="49" t="str">
        <f>IFERROR(VLOOKUP(TEXT(A32,"DD/MM/AAAA")&amp;"NE - SEPARAÇÃO - Pedidos B2C",BASE!$A:$D,4,0),"")</f>
        <v/>
      </c>
      <c r="P32" s="50">
        <v>8324</v>
      </c>
      <c r="Q32" s="53"/>
      <c r="R32" s="68"/>
      <c r="S32" s="68"/>
      <c r="T32" s="67"/>
      <c r="U32" s="67"/>
      <c r="V32" s="67"/>
      <c r="W32" s="57">
        <v>115</v>
      </c>
      <c r="X32" s="50">
        <v>76</v>
      </c>
      <c r="Y32" s="50">
        <v>72</v>
      </c>
      <c r="Z32" s="49" t="str">
        <f>IFERROR(VLOOKUP(TEXT(A32,"DD/MM/AAAA")&amp;"NE - SEPARAÇÃO - Pedidos B2B",BASE!$A:$D,4,0),"")</f>
        <v/>
      </c>
      <c r="AA32" s="50">
        <v>253</v>
      </c>
      <c r="AB32" s="53"/>
      <c r="AC32" s="58">
        <v>11</v>
      </c>
      <c r="AD32" s="49" t="str">
        <f>IFERROR(VLOOKUP(TEXT(A32,"DD/MM/AAAA")&amp;"NE - EXPEDICAO - Abastecimento Boutiques",BASE!$A:$D,4,0),"")</f>
        <v/>
      </c>
      <c r="AE32" s="49"/>
      <c r="AF32" s="49"/>
      <c r="AG32" s="5"/>
      <c r="AH32" s="58">
        <v>21</v>
      </c>
      <c r="AI32" s="5" t="str">
        <f>IFERROR(VLOOKUP(TEXT(A32,"DD/MM/AAAA")&amp;"NE - EXPEDICAO - Custo Unitário por pallet separado Outros CDs",BASE!$A:$D,4,0),"")</f>
        <v/>
      </c>
      <c r="AJ32" s="16"/>
      <c r="AK32" s="2">
        <v>1085</v>
      </c>
      <c r="AL32" s="49" t="str">
        <f>IFERROR(VLOOKUP(TEXT(A32,"DD/MM/AAAA")&amp;"NE - SEPARAÇÃO - Trade Acessórios",BASE!$A:$D,4,0),"")</f>
        <v/>
      </c>
      <c r="AM32" s="12" t="str">
        <f>IFERROR(VLOOKUP(TEXT(A32,"DD/MM/AAAA")&amp;"NE - SEPARAÇÃO - Trade Café",BASE!$A:$D,4,0),"")</f>
        <v/>
      </c>
      <c r="AN32" s="49" t="str">
        <f>IFERROR(VLOOKUP(TEXT(A32,"DD/MM/AAAA")&amp;"NE - SEPARAÇÃO - Trade maquinas",BASE!$A:$D,4,0),"")</f>
        <v/>
      </c>
      <c r="AO32" s="49">
        <f t="shared" si="0"/>
        <v>0</v>
      </c>
      <c r="AP32" s="5"/>
      <c r="AQ32" s="2">
        <v>1.8097023963915464</v>
      </c>
      <c r="AR32" s="12" t="str">
        <f>IFERROR(VLOOKUP(TEXT(A32,"DD/MM/AAAA")&amp;"NE - SEPARAÇÃO - Custo Unitário por pallet separado (Agents B2B / POSM Trade)",BASE!$A:$D,4,0),"")</f>
        <v/>
      </c>
      <c r="AS32" s="5"/>
      <c r="AT32" s="2">
        <v>959.30769230769226</v>
      </c>
      <c r="AU32" s="2">
        <v>86</v>
      </c>
      <c r="AV32" s="5"/>
      <c r="AW32" s="2">
        <v>1829.8565909451304</v>
      </c>
      <c r="AX32" s="2"/>
      <c r="AY32" s="5"/>
      <c r="AZ32" s="2">
        <v>121</v>
      </c>
      <c r="BA32" s="2">
        <v>400</v>
      </c>
      <c r="BB32" s="5"/>
      <c r="BC32" s="2">
        <v>7</v>
      </c>
      <c r="BD32" s="2"/>
      <c r="BE32" s="5"/>
      <c r="BF32" s="2">
        <v>497</v>
      </c>
      <c r="BG32" s="2"/>
      <c r="BH32" s="5"/>
      <c r="BI32" s="2"/>
      <c r="BJ32" s="2">
        <v>73</v>
      </c>
      <c r="BK32" s="5"/>
      <c r="BL32" s="2">
        <f>57/21</f>
        <v>2.7142857142857144</v>
      </c>
      <c r="BM32" s="2">
        <v>6</v>
      </c>
      <c r="BN32" s="5"/>
    </row>
    <row r="33" spans="1:76" s="1" customFormat="1" hidden="1" x14ac:dyDescent="0.25">
      <c r="A33" s="69">
        <v>44345</v>
      </c>
      <c r="B33" s="50"/>
      <c r="C33" s="50"/>
      <c r="D33" s="50"/>
      <c r="E33" s="50"/>
      <c r="F33" s="51">
        <v>0</v>
      </c>
      <c r="G33" s="3">
        <f t="shared" si="1"/>
        <v>0</v>
      </c>
      <c r="H33" s="50"/>
      <c r="I33" s="50"/>
      <c r="J33" s="50"/>
      <c r="K33" s="52"/>
      <c r="L33" s="56">
        <v>3036</v>
      </c>
      <c r="M33" s="50">
        <v>2709</v>
      </c>
      <c r="N33" s="50">
        <v>392</v>
      </c>
      <c r="O33" s="49" t="str">
        <f>IFERROR(VLOOKUP(TEXT(A33,"DD/MM/AAAA")&amp;"NE - SEPARAÇÃO - Pedidos B2C",BASE!$A:$D,4,0),"")</f>
        <v/>
      </c>
      <c r="P33" s="50"/>
      <c r="Q33" s="53"/>
      <c r="R33" s="68"/>
      <c r="S33" s="68"/>
      <c r="T33" s="67"/>
      <c r="U33" s="67"/>
      <c r="V33" s="67"/>
      <c r="W33" s="57">
        <v>60</v>
      </c>
      <c r="X33" s="50"/>
      <c r="Y33" s="50"/>
      <c r="Z33" s="49" t="str">
        <f>IFERROR(VLOOKUP(TEXT(A33,"DD/MM/AAAA")&amp;"NE - SEPARAÇÃO - Pedidos B2B",BASE!$A:$D,4,0),"")</f>
        <v/>
      </c>
      <c r="AA33" s="50"/>
      <c r="AB33" s="53"/>
      <c r="AC33" s="58">
        <v>0</v>
      </c>
      <c r="AD33" s="49" t="str">
        <f>IFERROR(VLOOKUP(TEXT(A33,"DD/MM/AAAA")&amp;"NE - EXPEDICAO - Abastecimento Boutiques",BASE!$A:$D,4,0),"")</f>
        <v/>
      </c>
      <c r="AE33" s="49"/>
      <c r="AF33" s="49"/>
      <c r="AG33" s="5"/>
      <c r="AH33" s="58">
        <v>0</v>
      </c>
      <c r="AI33" s="5" t="str">
        <f>IFERROR(VLOOKUP(TEXT(A33,"DD/MM/AAAA")&amp;"NE - EXPEDICAO - Custo Unitário por pallet separado Outros CDs",BASE!$A:$D,4,0),"")</f>
        <v/>
      </c>
      <c r="AJ33" s="16"/>
      <c r="AK33" s="2">
        <v>0</v>
      </c>
      <c r="AL33" s="49" t="str">
        <f>IFERROR(VLOOKUP(TEXT(A33,"DD/MM/AAAA")&amp;"NE - SEPARAÇÃO - Trade Acessórios",BASE!$A:$D,4,0),"")</f>
        <v/>
      </c>
      <c r="AM33" s="12" t="str">
        <f>IFERROR(VLOOKUP(TEXT(A33,"DD/MM/AAAA")&amp;"NE - SEPARAÇÃO - Trade Café",BASE!$A:$D,4,0),"")</f>
        <v/>
      </c>
      <c r="AN33" s="49" t="str">
        <f>IFERROR(VLOOKUP(TEXT(A33,"DD/MM/AAAA")&amp;"NE - SEPARAÇÃO - Trade maquinas",BASE!$A:$D,4,0),"")</f>
        <v/>
      </c>
      <c r="AO33" s="49">
        <f t="shared" si="0"/>
        <v>0</v>
      </c>
      <c r="AP33" s="5"/>
      <c r="AQ33" s="2">
        <v>0</v>
      </c>
      <c r="AR33" s="12" t="str">
        <f>IFERROR(VLOOKUP(TEXT(A33,"DD/MM/AAAA")&amp;"NE - SEPARAÇÃO - Custo Unitário por pallet separado (Agents B2B / POSM Trade)",BASE!$A:$D,4,0),"")</f>
        <v/>
      </c>
      <c r="AS33" s="5"/>
      <c r="AT33" s="2">
        <v>0</v>
      </c>
      <c r="AU33" s="2"/>
      <c r="AV33" s="5"/>
      <c r="AW33" s="2">
        <v>0</v>
      </c>
      <c r="AX33" s="2"/>
      <c r="AY33" s="5"/>
      <c r="AZ33" s="2">
        <v>0</v>
      </c>
      <c r="BA33" s="2"/>
      <c r="BB33" s="5"/>
      <c r="BC33" s="2">
        <v>0</v>
      </c>
      <c r="BD33" s="2"/>
      <c r="BE33" s="5"/>
      <c r="BF33" s="2">
        <v>0</v>
      </c>
      <c r="BG33" s="2"/>
      <c r="BH33" s="5"/>
      <c r="BI33" s="2"/>
      <c r="BJ33" s="2"/>
      <c r="BK33" s="5"/>
      <c r="BL33" s="2"/>
      <c r="BM33" s="2"/>
      <c r="BN33" s="5"/>
    </row>
    <row r="34" spans="1:76" s="1" customFormat="1" hidden="1" x14ac:dyDescent="0.25">
      <c r="A34" s="69">
        <v>44346</v>
      </c>
      <c r="B34" s="50"/>
      <c r="C34" s="50"/>
      <c r="D34" s="50"/>
      <c r="E34" s="50"/>
      <c r="F34" s="51">
        <v>49.425807637913245</v>
      </c>
      <c r="G34" s="3">
        <f t="shared" si="1"/>
        <v>0</v>
      </c>
      <c r="H34" s="50"/>
      <c r="I34" s="50"/>
      <c r="J34" s="50"/>
      <c r="K34" s="52"/>
      <c r="L34" s="56">
        <v>3315</v>
      </c>
      <c r="M34" s="50">
        <v>1919</v>
      </c>
      <c r="N34" s="50">
        <v>4090</v>
      </c>
      <c r="O34" s="49" t="str">
        <f>IFERROR(VLOOKUP(TEXT(A34,"DD/MM/AAAA")&amp;"NE - SEPARAÇÃO - Pedidos B2C",BASE!$A:$D,4,0),"")</f>
        <v/>
      </c>
      <c r="P34" s="50">
        <v>12</v>
      </c>
      <c r="Q34" s="53"/>
      <c r="R34" s="68"/>
      <c r="S34" s="68"/>
      <c r="T34" s="67"/>
      <c r="U34" s="67"/>
      <c r="V34" s="67"/>
      <c r="W34" s="57">
        <v>64.919086741048147</v>
      </c>
      <c r="X34" s="50">
        <v>14</v>
      </c>
      <c r="Y34" s="50">
        <v>40</v>
      </c>
      <c r="Z34" s="49" t="str">
        <f>IFERROR(VLOOKUP(TEXT(A34,"DD/MM/AAAA")&amp;"NE - SEPARAÇÃO - Pedidos B2B",BASE!$A:$D,4,0),"")</f>
        <v/>
      </c>
      <c r="AA34" s="50"/>
      <c r="AB34" s="53"/>
      <c r="AC34" s="58">
        <v>7</v>
      </c>
      <c r="AD34" s="49" t="str">
        <f>IFERROR(VLOOKUP(TEXT(A34,"DD/MM/AAAA")&amp;"NE - EXPEDICAO - Abastecimento Boutiques",BASE!$A:$D,4,0),"")</f>
        <v/>
      </c>
      <c r="AE34" s="49"/>
      <c r="AF34" s="49"/>
      <c r="AG34" s="5"/>
      <c r="AH34" s="58">
        <v>12</v>
      </c>
      <c r="AI34" s="5" t="str">
        <f>IFERROR(VLOOKUP(TEXT(A34,"DD/MM/AAAA")&amp;"NE - EXPEDICAO - Custo Unitário por pallet separado Outros CDs",BASE!$A:$D,4,0),"")</f>
        <v/>
      </c>
      <c r="AJ34" s="16"/>
      <c r="AK34" s="2">
        <v>564</v>
      </c>
      <c r="AL34" s="49" t="str">
        <f>IFERROR(VLOOKUP(TEXT(A34,"DD/MM/AAAA")&amp;"NE - SEPARAÇÃO - Trade Acessórios",BASE!$A:$D,4,0),"")</f>
        <v/>
      </c>
      <c r="AM34" s="12" t="str">
        <f>IFERROR(VLOOKUP(TEXT(A34,"DD/MM/AAAA")&amp;"NE - SEPARAÇÃO - Trade Café",BASE!$A:$D,4,0),"")</f>
        <v/>
      </c>
      <c r="AN34" s="49" t="str">
        <f>IFERROR(VLOOKUP(TEXT(A34,"DD/MM/AAAA")&amp;"NE - SEPARAÇÃO - Trade maquinas",BASE!$A:$D,4,0),"")</f>
        <v/>
      </c>
      <c r="AO34" s="49">
        <f t="shared" si="0"/>
        <v>0</v>
      </c>
      <c r="AP34" s="5"/>
      <c r="AQ34" s="2">
        <v>2</v>
      </c>
      <c r="AR34" s="12" t="str">
        <f>IFERROR(VLOOKUP(TEXT(A34,"DD/MM/AAAA")&amp;"NE - SEPARAÇÃO - Custo Unitário por pallet separado (Agents B2B / POSM Trade)",BASE!$A:$D,4,0),"")</f>
        <v/>
      </c>
      <c r="AS34" s="5"/>
      <c r="AT34" s="2">
        <v>959.30769230769226</v>
      </c>
      <c r="AU34" s="2"/>
      <c r="AV34" s="5"/>
      <c r="AW34" s="2">
        <v>1829.8565909451304</v>
      </c>
      <c r="AX34" s="2"/>
      <c r="AY34" s="5"/>
      <c r="AZ34" s="2">
        <v>122</v>
      </c>
      <c r="BA34" s="2"/>
      <c r="BB34" s="5"/>
      <c r="BC34" s="2">
        <v>7</v>
      </c>
      <c r="BD34" s="2"/>
      <c r="BE34" s="5"/>
      <c r="BF34" s="2">
        <v>498</v>
      </c>
      <c r="BG34" s="2"/>
      <c r="BH34" s="5"/>
      <c r="BI34" s="2"/>
      <c r="BJ34" s="2"/>
      <c r="BK34" s="5"/>
      <c r="BL34" s="2"/>
      <c r="BM34" s="2"/>
      <c r="BN34" s="5"/>
    </row>
    <row r="35" spans="1:76" s="1" customFormat="1" hidden="1" x14ac:dyDescent="0.25">
      <c r="A35" s="69">
        <v>44347</v>
      </c>
      <c r="B35" s="50"/>
      <c r="C35" s="50"/>
      <c r="D35" s="50"/>
      <c r="E35" s="50"/>
      <c r="F35" s="51">
        <v>49.425807637913245</v>
      </c>
      <c r="G35" s="3">
        <f t="shared" si="1"/>
        <v>84</v>
      </c>
      <c r="H35" s="50">
        <v>12</v>
      </c>
      <c r="I35" s="50">
        <v>0</v>
      </c>
      <c r="J35" s="50">
        <v>72</v>
      </c>
      <c r="K35" s="52"/>
      <c r="L35" s="56">
        <v>5516</v>
      </c>
      <c r="M35" s="50">
        <v>3199</v>
      </c>
      <c r="N35" s="50">
        <v>3594</v>
      </c>
      <c r="O35" s="49" t="str">
        <f>IFERROR(VLOOKUP(TEXT(A35,"DD/MM/AAAA")&amp;"NE - SEPARAÇÃO - Pedidos B2C",BASE!$A:$D,4,0),"")</f>
        <v/>
      </c>
      <c r="P35" s="50">
        <v>10174</v>
      </c>
      <c r="Q35" s="53"/>
      <c r="R35" s="68"/>
      <c r="S35" s="68"/>
      <c r="T35" s="67"/>
      <c r="U35" s="67"/>
      <c r="V35" s="67"/>
      <c r="W35" s="57">
        <v>109</v>
      </c>
      <c r="X35" s="50"/>
      <c r="Y35" s="50"/>
      <c r="Z35" s="49" t="str">
        <f>IFERROR(VLOOKUP(TEXT(A35,"DD/MM/AAAA")&amp;"NE - SEPARAÇÃO - Pedidos B2B",BASE!$A:$D,4,0),"")</f>
        <v/>
      </c>
      <c r="AA35" s="50">
        <v>228</v>
      </c>
      <c r="AB35" s="53"/>
      <c r="AC35" s="58">
        <v>11</v>
      </c>
      <c r="AD35" s="49" t="str">
        <f>IFERROR(VLOOKUP(TEXT(A35,"DD/MM/AAAA")&amp;"NE - EXPEDICAO - Abastecimento Boutiques",BASE!$A:$D,4,0),"")</f>
        <v/>
      </c>
      <c r="AE35" s="49"/>
      <c r="AF35" s="49"/>
      <c r="AG35" s="5"/>
      <c r="AH35" s="58">
        <v>20</v>
      </c>
      <c r="AI35" s="5" t="str">
        <f>IFERROR(VLOOKUP(TEXT(A35,"DD/MM/AAAA")&amp;"NE - EXPEDICAO - Custo Unitário por pallet separado Outros CDs",BASE!$A:$D,4,0),"")</f>
        <v/>
      </c>
      <c r="AJ35" s="16"/>
      <c r="AK35" s="2">
        <v>938.16</v>
      </c>
      <c r="AL35" s="49" t="str">
        <f>IFERROR(VLOOKUP(TEXT(A35,"DD/MM/AAAA")&amp;"NE - SEPARAÇÃO - Trade Acessórios",BASE!$A:$D,4,0),"")</f>
        <v/>
      </c>
      <c r="AM35" s="12" t="str">
        <f>IFERROR(VLOOKUP(TEXT(A35,"DD/MM/AAAA")&amp;"NE - SEPARAÇÃO - Trade Café",BASE!$A:$D,4,0),"")</f>
        <v/>
      </c>
      <c r="AN35" s="49" t="str">
        <f>IFERROR(VLOOKUP(TEXT(A35,"DD/MM/AAAA")&amp;"NE - SEPARAÇÃO - Trade maquinas",BASE!$A:$D,4,0),"")</f>
        <v/>
      </c>
      <c r="AO35" s="49">
        <f t="shared" si="0"/>
        <v>0</v>
      </c>
      <c r="AP35" s="5"/>
      <c r="AQ35" s="2">
        <v>1.72</v>
      </c>
      <c r="AR35" s="12" t="str">
        <f>IFERROR(VLOOKUP(TEXT(A35,"DD/MM/AAAA")&amp;"NE - SEPARAÇÃO - Custo Unitário por pallet separado (Agents B2B / POSM Trade)",BASE!$A:$D,4,0),"")</f>
        <v/>
      </c>
      <c r="AS35" s="5"/>
      <c r="AT35" s="2">
        <v>959.30769230769226</v>
      </c>
      <c r="AU35" s="2">
        <v>420</v>
      </c>
      <c r="AV35" s="5"/>
      <c r="AW35" s="2">
        <v>1829.8565909451304</v>
      </c>
      <c r="AX35" s="2">
        <v>11700</v>
      </c>
      <c r="AY35" s="5"/>
      <c r="AZ35" s="2">
        <v>122</v>
      </c>
      <c r="BA35" s="2"/>
      <c r="BB35" s="5"/>
      <c r="BC35" s="2">
        <v>7</v>
      </c>
      <c r="BD35" s="2"/>
      <c r="BE35" s="5"/>
      <c r="BF35" s="2">
        <v>498</v>
      </c>
      <c r="BG35" s="2">
        <v>1800</v>
      </c>
      <c r="BH35" s="5"/>
      <c r="BI35" s="2"/>
      <c r="BJ35" s="2">
        <v>85</v>
      </c>
      <c r="BK35" s="5"/>
      <c r="BL35" s="2">
        <f>57/21</f>
        <v>2.7142857142857144</v>
      </c>
      <c r="BM35" s="2">
        <v>2</v>
      </c>
      <c r="BN35" s="5"/>
    </row>
    <row r="36" spans="1:76" s="85" customFormat="1" x14ac:dyDescent="0.25">
      <c r="A36" s="78"/>
      <c r="B36" s="79"/>
      <c r="C36" s="79"/>
      <c r="D36" s="79"/>
      <c r="E36" s="79"/>
      <c r="F36" s="79"/>
      <c r="G36" s="64"/>
      <c r="H36" s="79"/>
      <c r="I36" s="79"/>
      <c r="J36" s="79"/>
      <c r="K36" s="80"/>
      <c r="L36" s="79"/>
      <c r="M36" s="79"/>
      <c r="N36" s="79"/>
      <c r="O36" s="79" t="str">
        <f>IFERROR(VLOOKUP(TEXT(A36,"DD/MM/AAAA")&amp;"NE - SEPARAÇÃO - Pedidos B2C",BASE!$A:$D,4,0),"")</f>
        <v/>
      </c>
      <c r="P36" s="79"/>
      <c r="Q36" s="81"/>
      <c r="R36" s="81"/>
      <c r="S36" s="81"/>
      <c r="T36" s="81"/>
      <c r="U36" s="81"/>
      <c r="V36" s="81"/>
      <c r="W36" s="79"/>
      <c r="X36" s="79"/>
      <c r="Y36" s="79"/>
      <c r="Z36" s="62" t="str">
        <f>IFERROR(VLOOKUP(TEXT(A36,"DD/MM/AAAA")&amp;"NE - SEPARAÇÃO - Pedidos B2B",BASE!$A:$D,4,0),"")</f>
        <v/>
      </c>
      <c r="AA36" s="79"/>
      <c r="AB36" s="81"/>
      <c r="AC36" s="82"/>
      <c r="AD36" s="62" t="str">
        <f>IFERROR(VLOOKUP(TEXT(A36,"DD/MM/AAAA")&amp;"NE - EXPEDICAO - Abastecimento Boutiques",BASE!$A:$D,4,0),"")</f>
        <v/>
      </c>
      <c r="AE36" s="62"/>
      <c r="AF36" s="62"/>
      <c r="AG36" s="83"/>
      <c r="AH36" s="82"/>
      <c r="AI36" s="83" t="str">
        <f>IFERROR(VLOOKUP(TEXT(A36,"DD/MM/AAAA")&amp;"NE - EXPEDICAO - Custo Unitário por pallet separado Outros CDs",BASE!$A:$D,4,0),"")</f>
        <v/>
      </c>
      <c r="AJ36" s="84"/>
      <c r="AK36" s="64"/>
      <c r="AL36" s="62" t="str">
        <f>IFERROR(VLOOKUP(TEXT(A36,"DD/MM/AAAA")&amp;"NE - SEPARAÇÃO - Trade Acessórios",BASE!$A:$D,4,0),"")</f>
        <v/>
      </c>
      <c r="AM36" s="63" t="str">
        <f>IFERROR(VLOOKUP(TEXT(A36,"DD/MM/AAAA")&amp;"NE - SEPARAÇÃO - Trade Café",BASE!$A:$D,4,0),"")</f>
        <v/>
      </c>
      <c r="AN36" s="62" t="str">
        <f>IFERROR(VLOOKUP(TEXT(A36,"DD/MM/AAAA")&amp;"NE - SEPARAÇÃO - Trade maquinas",BASE!$A:$D,4,0),"")</f>
        <v/>
      </c>
      <c r="AO36" s="62"/>
      <c r="AP36" s="83"/>
      <c r="AQ36" s="64"/>
      <c r="AR36" s="62" t="str">
        <f>IFERROR(VLOOKUP(TEXT(A36,"DD/MM/AAAA")&amp;"NE - SEPARAÇÃO - Custo Unitário por pallet separado (Agents B2B / POSM Trade)",BASE!$A:$D,4,0),"")</f>
        <v/>
      </c>
      <c r="AS36" s="83"/>
      <c r="AT36" s="64"/>
      <c r="AU36" s="64"/>
      <c r="AV36" s="83"/>
      <c r="AW36" s="64"/>
      <c r="AX36" s="64"/>
      <c r="AY36" s="83"/>
      <c r="AZ36" s="64"/>
      <c r="BA36" s="64"/>
      <c r="BB36" s="83"/>
      <c r="BC36" s="64"/>
      <c r="BD36" s="64"/>
      <c r="BE36" s="83"/>
      <c r="BF36" s="64"/>
      <c r="BG36" s="64"/>
      <c r="BH36" s="83"/>
      <c r="BI36" s="64"/>
      <c r="BJ36" s="64"/>
      <c r="BK36" s="83"/>
      <c r="BL36" s="64"/>
      <c r="BM36" s="64"/>
      <c r="BN36" s="83"/>
    </row>
    <row r="37" spans="1:76" s="1" customFormat="1" x14ac:dyDescent="0.25">
      <c r="A37" s="69">
        <v>45474</v>
      </c>
      <c r="B37" s="50" t="str">
        <f>_xlfn.CONCAT("W",WEEKNUM(A37))</f>
        <v>W27</v>
      </c>
      <c r="C37" s="50" t="str" cm="1">
        <f t="array" ref="C37">_xlfn.IFS(WEEKDAY(A37)=2,"Seg",WEEKDAY(A37)=3,"Ter",WEEKDAY(A37)=4,"Qua",WEEKDAY(A37)=5,"Qui",WEEKDAY(A37)=6,"Sex",WEEKDAY(A37)=7,"Sab",WEEKDAY(A37)=1,"Dom")</f>
        <v>Seg</v>
      </c>
      <c r="D37" s="50"/>
      <c r="E37" s="50"/>
      <c r="F37" s="51">
        <v>117</v>
      </c>
      <c r="G37" s="3">
        <f>SUM(H37:J37)</f>
        <v>101</v>
      </c>
      <c r="H37" s="50">
        <v>38</v>
      </c>
      <c r="I37" s="50">
        <v>2</v>
      </c>
      <c r="J37" s="50">
        <v>61</v>
      </c>
      <c r="K37" s="52"/>
      <c r="L37" s="56">
        <f>IFERROR(VLOOKUP(A37,Forecast!B7:N39,13,0),0)</f>
        <v>3452.4488625501817</v>
      </c>
      <c r="M37" s="50"/>
      <c r="N37" s="50"/>
      <c r="O37" s="49">
        <f>IFERROR(VLOOKUP(TEXT(A37,"DD/MM/AAAA")&amp;"NE - SEPARAÇÃO - Pedidos B2C",BASE!$A:$D,4,0),"")</f>
        <v>2607</v>
      </c>
      <c r="P37" s="50"/>
      <c r="Q37" s="53"/>
      <c r="R37" s="68"/>
      <c r="S37" s="68"/>
      <c r="T37" s="67"/>
      <c r="U37" s="67"/>
      <c r="V37" s="67"/>
      <c r="W37" s="100">
        <f>IFERROR(VLOOKUP(A37,Forecast!B7:O37,14,0),0)</f>
        <v>460.77575557934614</v>
      </c>
      <c r="X37" s="50"/>
      <c r="Y37" s="50"/>
      <c r="Z37" s="50">
        <f>IFERROR(VLOOKUP(TEXT(A37,"DD/MM/AAAA")&amp;"NE - SEPARAÇÃO - Pedidos B2B",BASE!$A:$D,4,0),"")</f>
        <v>225</v>
      </c>
      <c r="AA37" s="50"/>
      <c r="AB37" s="53"/>
      <c r="AC37" s="144">
        <v>7</v>
      </c>
      <c r="AD37" s="144">
        <f>IFERROR(VLOOKUP(TEXT(A37,"DD/MM/AAAA")&amp;"NE - EXPEDICAO - Abastecimento Boutiques",BASE!$A:$D,4,0),"")</f>
        <v>11</v>
      </c>
      <c r="AE37" s="144" t="str">
        <f>IFERROR(VLOOKUP(TEXT(B37,"DD/MM/AAAA")&amp;"NE - EXPEDICAO - Abastecimento Boutiques",BASE!$A:$D,4,0),"")</f>
        <v/>
      </c>
      <c r="AF37" s="146"/>
      <c r="AG37" s="5"/>
      <c r="AH37" s="58">
        <v>18</v>
      </c>
      <c r="AI37" s="88" t="str">
        <f>IFERROR(VLOOKUP(TEXT(A37,"DD/MM/AAAA")&amp;"NE - EXPEDICAO - Custo Unitário por pallet separado Outros CDs",BASE!$A:$D,4,0),"")</f>
        <v/>
      </c>
      <c r="AJ37" s="16"/>
      <c r="AK37" s="104">
        <v>689.66666666666663</v>
      </c>
      <c r="AL37" s="49">
        <f>IFERROR(VLOOKUP(TEXT(A37,"DD/MM/AAAA")&amp;"NE - SEPARAÇÃO - Trade Acessórios",BASE!$A:$D,4,0),"")</f>
        <v>9</v>
      </c>
      <c r="AM37" s="12">
        <f>IFERROR(VLOOKUP(TEXT(A37,"DD/MM/AAAA")&amp;"NE - SEPARAÇÃO - Trade Café",BASE!$A:$D,4,0),"")</f>
        <v>8</v>
      </c>
      <c r="AN37" s="49" t="str">
        <f>IFERROR(VLOOKUP(TEXT(A37,"DD/MM/AAAA")&amp;"NE - SEPARAÇÃO - Trade maquinas",BASE!$A:$D,4,0),"")</f>
        <v/>
      </c>
      <c r="AO37" s="49">
        <f>SUM(AL37:AN37)</f>
        <v>17</v>
      </c>
      <c r="AP37" s="5"/>
      <c r="AQ37" s="49">
        <v>2</v>
      </c>
      <c r="AR37" s="49" t="str">
        <f>IFERROR(VLOOKUP(TEXT(A36,"DD/MM/AAAA")&amp;"NE - SEPARAÇÃO - Custo Unitário por pallet separado (Agents B2B / POSM Trade)",BASE!$A:$D,4,0),"")</f>
        <v/>
      </c>
      <c r="AS37" s="149"/>
      <c r="AT37" s="2">
        <v>857.13043478260875</v>
      </c>
      <c r="AU37" s="2">
        <v>1029</v>
      </c>
      <c r="AV37" s="5"/>
      <c r="AW37" s="2">
        <v>99.304347826086953</v>
      </c>
      <c r="AX37" s="2"/>
      <c r="AY37" s="106"/>
      <c r="AZ37" s="2">
        <v>151.86956521739131</v>
      </c>
      <c r="BA37" s="2"/>
      <c r="BB37" s="5"/>
      <c r="BC37" s="2">
        <v>21.739130434782609</v>
      </c>
      <c r="BD37" s="2"/>
      <c r="BE37" s="5"/>
      <c r="BF37" s="2">
        <v>392.69565217391306</v>
      </c>
      <c r="BG37" s="2">
        <v>3570</v>
      </c>
      <c r="BH37" s="5"/>
      <c r="BI37" s="2">
        <v>76.565217391304344</v>
      </c>
      <c r="BJ37" s="2">
        <v>19</v>
      </c>
      <c r="BK37" s="5"/>
      <c r="BL37" s="105">
        <v>9</v>
      </c>
      <c r="BM37" s="105"/>
      <c r="BN37" s="5"/>
    </row>
    <row r="38" spans="1:76" s="1" customFormat="1" x14ac:dyDescent="0.25">
      <c r="A38" s="69">
        <v>45475</v>
      </c>
      <c r="B38" s="50" t="str">
        <f t="shared" ref="B38:B67" si="2">_xlfn.CONCAT("W",WEEKNUM(A38))</f>
        <v>W27</v>
      </c>
      <c r="C38" s="50" t="str" cm="1">
        <f t="array" ref="C38">_xlfn.IFS(WEEKDAY(A38)=2,"Seg",WEEKDAY(A38)=3,"Ter",WEEKDAY(A38)=4,"Qua",WEEKDAY(A38)=5,"Qui",WEEKDAY(A38)=6,"Sex",WEEKDAY(A38)=7,"Sab",WEEKDAY(A38)=1,"Dom")</f>
        <v>Ter</v>
      </c>
      <c r="D38" s="50"/>
      <c r="E38" s="50"/>
      <c r="F38" s="51">
        <v>117</v>
      </c>
      <c r="G38" s="3">
        <f t="shared" ref="G38:G65" si="3">SUM(H38:J38)</f>
        <v>25</v>
      </c>
      <c r="H38" s="50">
        <v>25</v>
      </c>
      <c r="I38" s="50">
        <v>0</v>
      </c>
      <c r="J38" s="50">
        <v>0</v>
      </c>
      <c r="K38" s="52"/>
      <c r="L38" s="56">
        <f>IFERROR(VLOOKUP(A38,Forecast!B8:N40,13,0),0)</f>
        <v>3101.4498948575801</v>
      </c>
      <c r="M38" s="50"/>
      <c r="N38" s="50"/>
      <c r="O38" s="49">
        <f>IFERROR(VLOOKUP(TEXT(A38,"DD/MM/AAAA")&amp;"NE - SEPARAÇÃO - Pedidos B2C",BASE!$A:$D,4,0),"")</f>
        <v>2388</v>
      </c>
      <c r="P38" s="50"/>
      <c r="Q38" s="53"/>
      <c r="R38" s="68"/>
      <c r="S38" s="68"/>
      <c r="T38" s="67"/>
      <c r="U38" s="67"/>
      <c r="V38" s="67"/>
      <c r="W38" s="100">
        <f>IFERROR(VLOOKUP(A38,Forecast!B8:O39,14,0),0)</f>
        <v>460.77575557934614</v>
      </c>
      <c r="X38" s="50"/>
      <c r="Y38" s="50"/>
      <c r="Z38" s="50">
        <f>IFERROR(VLOOKUP(TEXT(A38,"DD/MM/AAAA")&amp;"NE - SEPARAÇÃO - Pedidos B2B",BASE!$A:$D,4,0),"")</f>
        <v>513</v>
      </c>
      <c r="AA38" s="50"/>
      <c r="AB38" s="53"/>
      <c r="AC38" s="144">
        <v>7</v>
      </c>
      <c r="AD38" s="144">
        <f>IFERROR(VLOOKUP(TEXT(A38,"DD/MM/AAAA")&amp;"NE - EXPEDICAO - Abastecimento Boutiques",BASE!$A:$D,4,0),"")</f>
        <v>10</v>
      </c>
      <c r="AE38" s="144" t="str">
        <f>IFERROR(VLOOKUP(TEXT(B38,"DD/MM/AAAA")&amp;"NE - EXPEDICAO - Abastecimento Boutiques",BASE!$A:$D,4,0),"")</f>
        <v/>
      </c>
      <c r="AF38" s="146"/>
      <c r="AG38" s="5"/>
      <c r="AH38" s="58">
        <v>18</v>
      </c>
      <c r="AI38" s="88" t="str">
        <f>IFERROR(VLOOKUP(TEXT(A38,"DD/MM/AAAA")&amp;"NE - EXPEDICAO - Custo Unitário por pallet separado Outros CDs",BASE!$A:$D,4,0),"")</f>
        <v/>
      </c>
      <c r="AJ38" s="16"/>
      <c r="AK38" s="205">
        <v>689.66666666666663</v>
      </c>
      <c r="AL38" s="49">
        <f>IFERROR(VLOOKUP(TEXT(A38,"DD/MM/AAAA")&amp;"NE - SEPARAÇÃO - Trade Acessórios",BASE!$A:$D,4,0),"")</f>
        <v>1</v>
      </c>
      <c r="AM38" s="12">
        <f>IFERROR(VLOOKUP(TEXT(A38,"DD/MM/AAAA")&amp;"NE - SEPARAÇÃO - Trade Café",BASE!$A:$D,4,0),"")</f>
        <v>42</v>
      </c>
      <c r="AN38" s="49" t="str">
        <f>IFERROR(VLOOKUP(TEXT(A38,"DD/MM/AAAA")&amp;"NE - SEPARAÇÃO - Trade maquinas",BASE!$A:$D,4,0),"")</f>
        <v/>
      </c>
      <c r="AO38" s="49">
        <f t="shared" ref="AO38:AO66" si="4">SUM(AL38:AN38)</f>
        <v>43</v>
      </c>
      <c r="AP38" s="5"/>
      <c r="AQ38" s="49">
        <v>2</v>
      </c>
      <c r="AR38" s="49" t="str">
        <f>IFERROR(VLOOKUP(TEXT(A37,"DD/MM/AAAA")&amp;"NE - SEPARAÇÃO - Custo Unitário por pallet separado (Agents B2B / POSM Trade)",BASE!$A:$D,4,0),"")</f>
        <v/>
      </c>
      <c r="AS38" s="149"/>
      <c r="AT38" s="2">
        <v>857.13043478260875</v>
      </c>
      <c r="AU38" s="2">
        <v>175</v>
      </c>
      <c r="AV38" s="5"/>
      <c r="AW38" s="2">
        <v>99.304347826086953</v>
      </c>
      <c r="AX38" s="2"/>
      <c r="AY38" s="5"/>
      <c r="AZ38" s="2">
        <v>151.86956521739131</v>
      </c>
      <c r="BA38" s="2"/>
      <c r="BB38" s="5"/>
      <c r="BC38" s="2">
        <v>21.739130434782609</v>
      </c>
      <c r="BD38" s="2"/>
      <c r="BE38" s="5"/>
      <c r="BF38" s="2">
        <v>392.69565217391306</v>
      </c>
      <c r="BG38" s="2">
        <v>584</v>
      </c>
      <c r="BH38" s="5"/>
      <c r="BI38" s="2">
        <v>76.565217391304344</v>
      </c>
      <c r="BJ38" s="2">
        <v>2</v>
      </c>
      <c r="BK38" s="5"/>
      <c r="BL38" s="105">
        <v>9</v>
      </c>
      <c r="BM38" s="105"/>
      <c r="BN38" s="5"/>
    </row>
    <row r="39" spans="1:76" s="1" customFormat="1" x14ac:dyDescent="0.25">
      <c r="A39" s="69">
        <v>45476</v>
      </c>
      <c r="B39" s="50" t="str">
        <f t="shared" si="2"/>
        <v>W27</v>
      </c>
      <c r="C39" s="50" t="str" cm="1">
        <f t="array" ref="C39">_xlfn.IFS(WEEKDAY(A39)=2,"Seg",WEEKDAY(A39)=3,"Ter",WEEKDAY(A39)=4,"Qua",WEEKDAY(A39)=5,"Qui",WEEKDAY(A39)=6,"Sex",WEEKDAY(A39)=7,"Sab",WEEKDAY(A39)=1,"Dom")</f>
        <v>Qua</v>
      </c>
      <c r="D39" s="50"/>
      <c r="E39" s="50"/>
      <c r="F39" s="51">
        <v>117</v>
      </c>
      <c r="G39" s="3">
        <f t="shared" si="3"/>
        <v>150</v>
      </c>
      <c r="H39" s="50">
        <v>117</v>
      </c>
      <c r="I39" s="50">
        <v>1</v>
      </c>
      <c r="J39" s="50">
        <v>32</v>
      </c>
      <c r="K39" s="52"/>
      <c r="L39" s="56">
        <f>IFERROR(VLOOKUP(A39,Forecast!B9:N42,13,0),0)</f>
        <v>2834.8441215828716</v>
      </c>
      <c r="M39" s="50"/>
      <c r="N39" s="50"/>
      <c r="O39" s="49">
        <f>IFERROR(VLOOKUP(TEXT(A39,"DD/MM/AAAA")&amp;"NE - SEPARAÇÃO - Pedidos B2C",BASE!$A:$D,4,0),"")</f>
        <v>2881</v>
      </c>
      <c r="P39" s="50"/>
      <c r="Q39" s="53"/>
      <c r="R39" s="68"/>
      <c r="S39" s="68"/>
      <c r="T39" s="67"/>
      <c r="U39" s="67"/>
      <c r="V39" s="67"/>
      <c r="W39" s="100">
        <f>IFERROR(VLOOKUP(A39,Forecast!B9:O40,14,0),0)</f>
        <v>453.68689780120229</v>
      </c>
      <c r="X39" s="50"/>
      <c r="Y39" s="50"/>
      <c r="Z39" s="50">
        <f>IFERROR(VLOOKUP(TEXT(A39,"DD/MM/AAAA")&amp;"NE - SEPARAÇÃO - Pedidos B2B",BASE!$A:$D,4,0),"")</f>
        <v>615</v>
      </c>
      <c r="AA39" s="50"/>
      <c r="AB39" s="53"/>
      <c r="AC39" s="144">
        <v>7</v>
      </c>
      <c r="AD39" s="144">
        <f>IFERROR(VLOOKUP(TEXT(A39,"DD/MM/AAAA")&amp;"NE - EXPEDICAO - Abastecimento Boutiques",BASE!$A:$D,4,0),"")</f>
        <v>18</v>
      </c>
      <c r="AE39" s="144" t="str">
        <f>IFERROR(VLOOKUP(TEXT(B39,"DD/MM/AAAA")&amp;"NE - EXPEDICAO - Abastecimento Boutiques",BASE!$A:$D,4,0),"")</f>
        <v/>
      </c>
      <c r="AF39" s="146"/>
      <c r="AG39" s="5"/>
      <c r="AH39" s="58">
        <v>18</v>
      </c>
      <c r="AI39" s="88">
        <f>IFERROR(VLOOKUP(TEXT(A39,"DD/MM/AAAA")&amp;"NE - EXPEDICAO - Custo Unitário por pallet separado Outros CDs",BASE!$A:$D,4,0),"")</f>
        <v>61</v>
      </c>
      <c r="AJ39" s="16"/>
      <c r="AK39" s="205">
        <v>689.66666666666663</v>
      </c>
      <c r="AL39" s="49" t="str">
        <f>IFERROR(VLOOKUP(TEXT(A39,"DD/MM/AAAA")&amp;"NE - SEPARAÇÃO - Trade Acessórios",BASE!$A:$D,4,0),"")</f>
        <v/>
      </c>
      <c r="AM39" s="12" t="str">
        <f>IFERROR(VLOOKUP(TEXT(A39,"DD/MM/AAAA")&amp;"NE - SEPARAÇÃO - Trade Café",BASE!$A:$D,4,0),"")</f>
        <v/>
      </c>
      <c r="AN39" s="49" t="str">
        <f>IFERROR(VLOOKUP(TEXT(A39,"DD/MM/AAAA")&amp;"NE - SEPARAÇÃO - Trade maquinas",BASE!$A:$D,4,0),"")</f>
        <v/>
      </c>
      <c r="AO39" s="49">
        <f t="shared" si="4"/>
        <v>0</v>
      </c>
      <c r="AP39" s="5"/>
      <c r="AQ39" s="49">
        <v>2</v>
      </c>
      <c r="AR39" s="49" t="str">
        <f>IFERROR(VLOOKUP(TEXT(A38,"DD/MM/AAAA")&amp;"NE - SEPARAÇÃO - Custo Unitário por pallet separado (Agents B2B / POSM Trade)",BASE!$A:$D,4,0),"")</f>
        <v/>
      </c>
      <c r="AS39" s="149"/>
      <c r="AT39" s="2">
        <v>857.13043478260875</v>
      </c>
      <c r="AU39" s="2">
        <v>1084</v>
      </c>
      <c r="AV39" s="5"/>
      <c r="AW39" s="2">
        <v>99.304347826086953</v>
      </c>
      <c r="AX39" s="2"/>
      <c r="AY39" s="5"/>
      <c r="AZ39" s="2">
        <v>151.86956521739131</v>
      </c>
      <c r="BA39" s="2"/>
      <c r="BB39" s="5"/>
      <c r="BC39" s="2">
        <v>21.739130434782609</v>
      </c>
      <c r="BD39" s="2"/>
      <c r="BE39" s="5"/>
      <c r="BF39" s="2">
        <v>392.69565217391306</v>
      </c>
      <c r="BG39" s="2"/>
      <c r="BH39" s="5"/>
      <c r="BI39" s="2">
        <v>76.565217391304344</v>
      </c>
      <c r="BJ39" s="2">
        <v>13</v>
      </c>
      <c r="BK39" s="5"/>
      <c r="BL39" s="105">
        <v>9</v>
      </c>
      <c r="BM39" s="105"/>
      <c r="BN39" s="5"/>
    </row>
    <row r="40" spans="1:76" s="1" customFormat="1" x14ac:dyDescent="0.25">
      <c r="A40" s="69">
        <v>45477</v>
      </c>
      <c r="B40" s="50" t="str">
        <f t="shared" si="2"/>
        <v>W27</v>
      </c>
      <c r="C40" s="50" t="str" cm="1">
        <f t="array" ref="C40">_xlfn.IFS(WEEKDAY(A40)=2,"Seg",WEEKDAY(A40)=3,"Ter",WEEKDAY(A40)=4,"Qua",WEEKDAY(A40)=5,"Qui",WEEKDAY(A40)=6,"Sex",WEEKDAY(A40)=7,"Sab",WEEKDAY(A40)=1,"Dom")</f>
        <v>Qui</v>
      </c>
      <c r="D40" s="50"/>
      <c r="E40" s="50"/>
      <c r="F40" s="51">
        <v>117</v>
      </c>
      <c r="G40" s="3">
        <f t="shared" si="3"/>
        <v>0</v>
      </c>
      <c r="H40" s="50"/>
      <c r="I40" s="50"/>
      <c r="J40" s="50"/>
      <c r="K40" s="52"/>
      <c r="L40" s="56">
        <f>IFERROR(VLOOKUP(A40,Forecast!B10:N43,13,0),0)</f>
        <v>2829.0900401452877</v>
      </c>
      <c r="M40" s="50"/>
      <c r="N40" s="50"/>
      <c r="O40" s="49">
        <f>IFERROR(VLOOKUP(TEXT(A40,"DD/MM/AAAA")&amp;"NE - SEPARAÇÃO - Pedidos B2C",BASE!$A:$D,4,0),"")</f>
        <v>2206</v>
      </c>
      <c r="P40" s="50"/>
      <c r="Q40" s="53"/>
      <c r="R40" s="68"/>
      <c r="S40" s="68"/>
      <c r="T40" s="67"/>
      <c r="U40" s="67"/>
      <c r="V40" s="67"/>
      <c r="W40" s="100">
        <f>IFERROR(VLOOKUP(A40,Forecast!B10:O42,14,0),0)</f>
        <v>443.05361113398669</v>
      </c>
      <c r="X40" s="50"/>
      <c r="Y40" s="50"/>
      <c r="Z40" s="50">
        <f>IFERROR(VLOOKUP(TEXT(A40,"DD/MM/AAAA")&amp;"NE - SEPARAÇÃO - Pedidos B2B",BASE!$A:$D,4,0),"")</f>
        <v>572</v>
      </c>
      <c r="AA40" s="50"/>
      <c r="AB40" s="53"/>
      <c r="AC40" s="144">
        <v>7</v>
      </c>
      <c r="AD40" s="144">
        <f>IFERROR(VLOOKUP(TEXT(A40,"DD/MM/AAAA")&amp;"NE - EXPEDICAO - Abastecimento Boutiques",BASE!$A:$D,4,0),"")</f>
        <v>8</v>
      </c>
      <c r="AE40" s="144" t="str">
        <f>IFERROR(VLOOKUP(TEXT(B40,"DD/MM/AAAA")&amp;"NE - EXPEDICAO - Abastecimento Boutiques",BASE!$A:$D,4,0),"")</f>
        <v/>
      </c>
      <c r="AF40" s="146"/>
      <c r="AG40" s="5"/>
      <c r="AH40" s="58">
        <v>18</v>
      </c>
      <c r="AI40" s="88">
        <f>IFERROR(VLOOKUP(TEXT(A40,"DD/MM/AAAA")&amp;"NE - EXPEDICAO - Custo Unitário por pallet separado Outros CDs",BASE!$A:$D,4,0),"")</f>
        <v>21</v>
      </c>
      <c r="AJ40" s="16"/>
      <c r="AK40" s="205">
        <v>689.66666666666663</v>
      </c>
      <c r="AL40" s="49" t="str">
        <f>IFERROR(VLOOKUP(TEXT(A40,"DD/MM/AAAA")&amp;"NE - SEPARAÇÃO - Trade Acessórios",BASE!$A:$D,4,0),"")</f>
        <v/>
      </c>
      <c r="AM40" s="12" t="str">
        <f>IFERROR(VLOOKUP(TEXT(A40,"DD/MM/AAAA")&amp;"NE - SEPARAÇÃO - Trade Café",BASE!$A:$D,4,0),"")</f>
        <v/>
      </c>
      <c r="AN40" s="49">
        <f>IFERROR(VLOOKUP(TEXT(A40,"DD/MM/AAAA")&amp;"NE - SEPARAÇÃO - Trade maquinas",BASE!$A:$D,4,0),"")</f>
        <v>618</v>
      </c>
      <c r="AO40" s="49">
        <f t="shared" si="4"/>
        <v>618</v>
      </c>
      <c r="AP40" s="5"/>
      <c r="AQ40" s="49">
        <v>2</v>
      </c>
      <c r="AR40" s="49">
        <f>IFERROR(VLOOKUP(TEXT(A39,"DD/MM/AAAA")&amp;"NE - SEPARAÇÃO - Custo Unitário por pallet separado (Agents B2B / POSM Trade)",BASE!$A:$D,4,0),"")</f>
        <v>10</v>
      </c>
      <c r="AS40" s="149"/>
      <c r="AT40" s="2">
        <v>857.13043478260875</v>
      </c>
      <c r="AU40" s="2">
        <v>1058</v>
      </c>
      <c r="AV40" s="5"/>
      <c r="AW40" s="2">
        <v>99.304347826086953</v>
      </c>
      <c r="AX40" s="2"/>
      <c r="AY40" s="5"/>
      <c r="AZ40" s="2">
        <v>151.86956521739131</v>
      </c>
      <c r="BA40" s="2"/>
      <c r="BB40" s="5"/>
      <c r="BC40" s="2">
        <v>21.739130434782609</v>
      </c>
      <c r="BD40" s="2"/>
      <c r="BE40" s="5"/>
      <c r="BF40" s="2">
        <v>392.69565217391306</v>
      </c>
      <c r="BG40" s="2"/>
      <c r="BH40" s="5"/>
      <c r="BI40" s="2">
        <v>76.565217391304344</v>
      </c>
      <c r="BJ40" s="2">
        <v>7</v>
      </c>
      <c r="BK40" s="5"/>
      <c r="BL40" s="105">
        <v>9</v>
      </c>
      <c r="BM40" s="105"/>
      <c r="BN40" s="5"/>
    </row>
    <row r="41" spans="1:76" s="1" customFormat="1" x14ac:dyDescent="0.25">
      <c r="A41" s="69">
        <v>45478</v>
      </c>
      <c r="B41" s="50" t="str">
        <f t="shared" si="2"/>
        <v>W27</v>
      </c>
      <c r="C41" s="50" t="str" cm="1">
        <f t="array" ref="C41">_xlfn.IFS(WEEKDAY(A41)=2,"Seg",WEEKDAY(A41)=3,"Ter",WEEKDAY(A41)=4,"Qua",WEEKDAY(A41)=5,"Qui",WEEKDAY(A41)=6,"Sex",WEEKDAY(A41)=7,"Sab",WEEKDAY(A41)=1,"Dom")</f>
        <v>Sex</v>
      </c>
      <c r="D41" s="50"/>
      <c r="E41" s="50"/>
      <c r="F41" s="51">
        <v>117</v>
      </c>
      <c r="G41" s="3">
        <f t="shared" si="3"/>
        <v>1</v>
      </c>
      <c r="H41" s="50">
        <v>1</v>
      </c>
      <c r="I41" s="50">
        <v>0</v>
      </c>
      <c r="J41" s="50">
        <v>0</v>
      </c>
      <c r="K41" s="52"/>
      <c r="L41" s="56">
        <f>IFERROR(VLOOKUP(A41,Forecast!B11:N44,13,0),0)</f>
        <v>2909.6471802714586</v>
      </c>
      <c r="M41" s="50"/>
      <c r="N41" s="50"/>
      <c r="O41" s="49">
        <f>IFERROR(VLOOKUP(TEXT(A41,"DD/MM/AAAA")&amp;"NE - SEPARAÇÃO - Pedidos B2C",BASE!$A:$D,4,0),"")</f>
        <v>80</v>
      </c>
      <c r="P41" s="50"/>
      <c r="Q41" s="53"/>
      <c r="R41" s="68"/>
      <c r="S41" s="68"/>
      <c r="T41" s="67"/>
      <c r="U41" s="67"/>
      <c r="V41" s="67"/>
      <c r="W41" s="100">
        <f>IFERROR(VLOOKUP(A41,Forecast!B11:O43,14,0),0)</f>
        <v>340.26517335090176</v>
      </c>
      <c r="X41" s="50"/>
      <c r="Y41" s="50"/>
      <c r="Z41" s="50">
        <f>IFERROR(VLOOKUP(TEXT(A41,"DD/MM/AAAA")&amp;"NE - SEPARAÇÃO - Pedidos B2B",BASE!$A:$D,4,0),"")</f>
        <v>24</v>
      </c>
      <c r="AA41" s="50"/>
      <c r="AB41" s="53"/>
      <c r="AC41" s="144">
        <v>7</v>
      </c>
      <c r="AD41" s="144" t="str">
        <f>IFERROR(VLOOKUP(TEXT(A41,"DD/MM/AAAA")&amp;"NE - EXPEDICAO - Abastecimento Boutiques",BASE!$A:$D,4,0),"")</f>
        <v/>
      </c>
      <c r="AE41" s="144" t="str">
        <f>IFERROR(VLOOKUP(TEXT(B41,"DD/MM/AAAA")&amp;"NE - EXPEDICAO - Abastecimento Boutiques",BASE!$A:$D,4,0),"")</f>
        <v/>
      </c>
      <c r="AF41" s="146"/>
      <c r="AG41" s="5"/>
      <c r="AH41" s="58">
        <v>18</v>
      </c>
      <c r="AI41" s="88" t="str">
        <f>IFERROR(VLOOKUP(TEXT(A41,"DD/MM/AAAA")&amp;"NE - EXPEDICAO - Custo Unitário por pallet separado Outros CDs",BASE!$A:$D,4,0),"")</f>
        <v/>
      </c>
      <c r="AJ41" s="16"/>
      <c r="AK41" s="205">
        <v>689.66666666666663</v>
      </c>
      <c r="AL41" s="49" t="str">
        <f>IFERROR(VLOOKUP(TEXT(A41,"DD/MM/AAAA")&amp;"NE - SEPARAÇÃO - Trade Acessórios",BASE!$A:$D,4,0),"")</f>
        <v/>
      </c>
      <c r="AM41" s="12" t="str">
        <f>IFERROR(VLOOKUP(TEXT(A41,"DD/MM/AAAA")&amp;"NE - SEPARAÇÃO - Trade Café",BASE!$A:$D,4,0),"")</f>
        <v/>
      </c>
      <c r="AN41" s="49" t="str">
        <f>IFERROR(VLOOKUP(TEXT(A41,"DD/MM/AAAA")&amp;"NE - SEPARAÇÃO - Trade maquinas",BASE!$A:$D,4,0),"")</f>
        <v/>
      </c>
      <c r="AO41" s="49">
        <f t="shared" si="4"/>
        <v>0</v>
      </c>
      <c r="AP41" s="5"/>
      <c r="AQ41" s="49">
        <v>2</v>
      </c>
      <c r="AR41" s="49" t="str">
        <f>IFERROR(VLOOKUP(TEXT(A40,"DD/MM/AAAA")&amp;"NE - SEPARAÇÃO - Custo Unitário por pallet separado (Agents B2B / POSM Trade)",BASE!$A:$D,4,0),"")</f>
        <v/>
      </c>
      <c r="AS41" s="149"/>
      <c r="AT41" s="2">
        <v>857.13043478260875</v>
      </c>
      <c r="AU41" s="2"/>
      <c r="AV41" s="5"/>
      <c r="AW41" s="2">
        <v>99.304347826086953</v>
      </c>
      <c r="AX41" s="2"/>
      <c r="AY41" s="5"/>
      <c r="AZ41" s="2">
        <v>151.86956521739131</v>
      </c>
      <c r="BA41" s="2"/>
      <c r="BB41" s="5"/>
      <c r="BC41" s="2">
        <v>21.739130434782609</v>
      </c>
      <c r="BD41" s="2"/>
      <c r="BE41" s="5"/>
      <c r="BF41" s="2">
        <v>392.69565217391306</v>
      </c>
      <c r="BG41" s="2"/>
      <c r="BH41" s="5"/>
      <c r="BI41" s="2">
        <v>76.565217391304344</v>
      </c>
      <c r="BJ41" s="2">
        <v>21</v>
      </c>
      <c r="BK41" s="5"/>
      <c r="BL41" s="105">
        <v>9</v>
      </c>
      <c r="BM41" s="105"/>
      <c r="BN41" s="5"/>
    </row>
    <row r="42" spans="1:76" s="1" customFormat="1" x14ac:dyDescent="0.25">
      <c r="A42" s="69">
        <v>45479</v>
      </c>
      <c r="B42" s="50" t="str">
        <f t="shared" si="2"/>
        <v>W27</v>
      </c>
      <c r="C42" s="50" t="str" cm="1">
        <f t="array" ref="C42">_xlfn.IFS(WEEKDAY(A42)=2,"Seg",WEEKDAY(A42)=3,"Ter",WEEKDAY(A42)=4,"Qua",WEEKDAY(A42)=5,"Qui",WEEKDAY(A42)=6,"Sex",WEEKDAY(A42)=7,"Sab",WEEKDAY(A42)=1,"Dom")</f>
        <v>Sab</v>
      </c>
      <c r="D42" s="50"/>
      <c r="E42" s="50"/>
      <c r="F42" s="51"/>
      <c r="G42" s="3">
        <f t="shared" si="3"/>
        <v>0</v>
      </c>
      <c r="H42" s="50"/>
      <c r="I42" s="50"/>
      <c r="J42" s="50"/>
      <c r="K42" s="52"/>
      <c r="L42" s="56">
        <f>IFERROR(VLOOKUP(A42,Forecast!B12:N45,13,0),0)</f>
        <v>0</v>
      </c>
      <c r="M42" s="50"/>
      <c r="N42" s="50"/>
      <c r="O42" s="49" t="str">
        <f>IFERROR(VLOOKUP(TEXT(A42,"DD/MM/AAAA")&amp;"NE - SEPARAÇÃO - Pedidos B2C",BASE!$A:$D,4,0),"")</f>
        <v/>
      </c>
      <c r="P42" s="50"/>
      <c r="Q42" s="53"/>
      <c r="R42" s="68"/>
      <c r="S42" s="68"/>
      <c r="T42" s="67"/>
      <c r="U42" s="67"/>
      <c r="V42" s="67"/>
      <c r="W42" s="100">
        <f>IFERROR(VLOOKUP(A42,Forecast!B12:O44,14,0),0)</f>
        <v>0</v>
      </c>
      <c r="X42" s="50"/>
      <c r="Y42" s="50"/>
      <c r="Z42" s="50" t="str">
        <f>IFERROR(VLOOKUP(TEXT(A42,"DD/MM/AAAA")&amp;"NE - SEPARAÇÃO - Pedidos B2B",BASE!$A:$D,4,0),"")</f>
        <v/>
      </c>
      <c r="AA42" s="50"/>
      <c r="AB42" s="53"/>
      <c r="AC42" s="144"/>
      <c r="AD42" s="144" t="str">
        <f>IFERROR(VLOOKUP(TEXT(A42,"DD/MM/AAAA")&amp;"NE - EXPEDICAO - Abastecimento Boutiques",BASE!$A:$D,4,0),"")</f>
        <v/>
      </c>
      <c r="AE42" s="144" t="str">
        <f>IFERROR(VLOOKUP(TEXT(B42,"DD/MM/AAAA")&amp;"NE - EXPEDICAO - Abastecimento Boutiques",BASE!$A:$D,4,0),"")</f>
        <v/>
      </c>
      <c r="AF42" s="146"/>
      <c r="AG42" s="5"/>
      <c r="AH42" s="58"/>
      <c r="AI42" s="88" t="str">
        <f>IFERROR(VLOOKUP(TEXT(A42,"DD/MM/AAAA")&amp;"NE - EXPEDICAO - Custo Unitário por pallet separado Outros CDs",BASE!$A:$D,4,0),"")</f>
        <v/>
      </c>
      <c r="AJ42" s="16"/>
      <c r="AK42" s="205"/>
      <c r="AL42" s="49" t="str">
        <f>IFERROR(VLOOKUP(TEXT(A42,"DD/MM/AAAA")&amp;"NE - SEPARAÇÃO - Trade Acessórios",BASE!$A:$D,4,0),"")</f>
        <v/>
      </c>
      <c r="AM42" s="12" t="str">
        <f>IFERROR(VLOOKUP(TEXT(A42,"DD/MM/AAAA")&amp;"NE - SEPARAÇÃO - Trade Café",BASE!$A:$D,4,0),"")</f>
        <v/>
      </c>
      <c r="AN42" s="49" t="str">
        <f>IFERROR(VLOOKUP(TEXT(A42,"DD/MM/AAAA")&amp;"NE - SEPARAÇÃO - Trade maquinas",BASE!$A:$D,4,0),"")</f>
        <v/>
      </c>
      <c r="AO42" s="49">
        <f t="shared" si="4"/>
        <v>0</v>
      </c>
      <c r="AP42" s="5"/>
      <c r="AQ42" s="49"/>
      <c r="AR42" s="49" t="str">
        <f>IFERROR(VLOOKUP(TEXT(A41,"DD/MM/AAAA")&amp;"NE - SEPARAÇÃO - Custo Unitário por pallet separado (Agents B2B / POSM Trade)",BASE!$A:$D,4,0),"")</f>
        <v/>
      </c>
      <c r="AS42" s="149"/>
      <c r="AT42" s="2"/>
      <c r="AU42" s="2"/>
      <c r="AV42" s="5"/>
      <c r="AW42" s="2"/>
      <c r="AX42" s="2"/>
      <c r="AY42" s="5"/>
      <c r="AZ42" s="2"/>
      <c r="BA42" s="2"/>
      <c r="BB42" s="5"/>
      <c r="BC42" s="2"/>
      <c r="BD42" s="2"/>
      <c r="BE42" s="5"/>
      <c r="BF42" s="2"/>
      <c r="BG42" s="2"/>
      <c r="BH42" s="5"/>
      <c r="BI42" s="2"/>
      <c r="BJ42" s="2"/>
      <c r="BK42" s="5"/>
      <c r="BL42" s="105"/>
      <c r="BM42" s="105"/>
      <c r="BN42" s="5"/>
    </row>
    <row r="43" spans="1:76" s="1" customFormat="1" x14ac:dyDescent="0.25">
      <c r="A43" s="69">
        <v>45480</v>
      </c>
      <c r="B43" s="50" t="str">
        <f t="shared" si="2"/>
        <v>W28</v>
      </c>
      <c r="C43" s="50" t="str" cm="1">
        <f t="array" ref="C43">_xlfn.IFS(WEEKDAY(A43)=2,"Seg",WEEKDAY(A43)=3,"Ter",WEEKDAY(A43)=4,"Qua",WEEKDAY(A43)=5,"Qui",WEEKDAY(A43)=6,"Sex",WEEKDAY(A43)=7,"Sab",WEEKDAY(A43)=1,"Dom")</f>
        <v>Dom</v>
      </c>
      <c r="D43" s="50"/>
      <c r="E43" s="50"/>
      <c r="F43" s="51"/>
      <c r="G43" s="3">
        <f t="shared" si="3"/>
        <v>0</v>
      </c>
      <c r="H43" s="50"/>
      <c r="I43" s="50"/>
      <c r="J43" s="50"/>
      <c r="K43" s="52"/>
      <c r="L43" s="56">
        <f>IFERROR(VLOOKUP(A43,Forecast!B13:N46,13,0),0)</f>
        <v>3282.7034601414643</v>
      </c>
      <c r="M43" s="50"/>
      <c r="N43" s="50"/>
      <c r="O43" s="49">
        <f>IFERROR(VLOOKUP(TEXT(A43,"DD/MM/AAAA")&amp;"NE - SEPARAÇÃO - Pedidos B2C",BASE!$A:$D,4,0),"")</f>
        <v>3603</v>
      </c>
      <c r="P43" s="50"/>
      <c r="Q43" s="53"/>
      <c r="R43" s="68"/>
      <c r="S43" s="68"/>
      <c r="T43" s="67"/>
      <c r="U43" s="67"/>
      <c r="V43" s="67"/>
      <c r="W43" s="100">
        <f>IFERROR(VLOOKUP(A43,Forecast!B13:O45,14,0),0)</f>
        <v>318.99860001647039</v>
      </c>
      <c r="X43" s="50"/>
      <c r="Y43" s="50"/>
      <c r="Z43" s="50">
        <f>IFERROR(VLOOKUP(TEXT(A43,"DD/MM/AAAA")&amp;"NE - SEPARAÇÃO - Pedidos B2B",BASE!$A:$D,4,0),"")</f>
        <v>247</v>
      </c>
      <c r="AA43" s="50"/>
      <c r="AB43" s="53"/>
      <c r="AC43" s="144">
        <v>7</v>
      </c>
      <c r="AD43" s="144">
        <f>IFERROR(VLOOKUP(TEXT(A43,"DD/MM/AAAA")&amp;"NE - EXPEDICAO - Abastecimento Boutiques",BASE!$A:$D,4,0),"")</f>
        <v>7</v>
      </c>
      <c r="AE43" s="144" t="str">
        <f>IFERROR(VLOOKUP(TEXT(B43,"DD/MM/AAAA")&amp;"NE - EXPEDICAO - Abastecimento Boutiques",BASE!$A:$D,4,0),"")</f>
        <v/>
      </c>
      <c r="AF43" s="146"/>
      <c r="AG43" s="5"/>
      <c r="AH43" s="58">
        <v>18</v>
      </c>
      <c r="AI43" s="88">
        <f>IFERROR(VLOOKUP(TEXT(A43,"DD/MM/AAAA")&amp;"NE - EXPEDICAO - Custo Unitário por pallet separado Outros CDs",BASE!$A:$D,4,0),"")</f>
        <v>50</v>
      </c>
      <c r="AJ43" s="16"/>
      <c r="AK43" s="205">
        <v>689.66666666666663</v>
      </c>
      <c r="AL43" s="49">
        <f>IFERROR(VLOOKUP(TEXT(A43,"DD/MM/AAAA")&amp;"NE - SEPARAÇÃO - Trade Acessórios",BASE!$A:$D,4,0),"")</f>
        <v>2</v>
      </c>
      <c r="AM43" s="12" t="str">
        <f>IFERROR(VLOOKUP(TEXT(A43,"DD/MM/AAAA")&amp;"NE - SEPARAÇÃO - Trade Café",BASE!$A:$D,4,0),"")</f>
        <v/>
      </c>
      <c r="AN43" s="49">
        <f>IFERROR(VLOOKUP(TEXT(A43,"DD/MM/AAAA")&amp;"NE - SEPARAÇÃO - Trade maquinas",BASE!$A:$D,4,0),"")</f>
        <v>2225</v>
      </c>
      <c r="AO43" s="49">
        <f t="shared" si="4"/>
        <v>2227</v>
      </c>
      <c r="AP43" s="5"/>
      <c r="AQ43" s="49">
        <v>2</v>
      </c>
      <c r="AR43" s="49" t="str">
        <f>IFERROR(VLOOKUP(TEXT(A42,"DD/MM/AAAA")&amp;"NE - SEPARAÇÃO - Custo Unitário por pallet separado (Agents B2B / POSM Trade)",BASE!$A:$D,4,0),"")</f>
        <v/>
      </c>
      <c r="AS43" s="149"/>
      <c r="AT43" s="2"/>
      <c r="AU43" s="2">
        <v>69</v>
      </c>
      <c r="AV43" s="5"/>
      <c r="AW43" s="2"/>
      <c r="AX43" s="2"/>
      <c r="AY43" s="5"/>
      <c r="AZ43" s="2"/>
      <c r="BA43" s="2"/>
      <c r="BB43" s="5"/>
      <c r="BC43" s="2"/>
      <c r="BD43" s="2"/>
      <c r="BE43" s="5"/>
      <c r="BF43" s="2"/>
      <c r="BG43" s="2"/>
      <c r="BH43" s="5"/>
      <c r="BI43" s="2"/>
      <c r="BJ43" s="2"/>
      <c r="BK43" s="5"/>
      <c r="BL43" s="105"/>
      <c r="BM43" s="105"/>
      <c r="BN43" s="5"/>
    </row>
    <row r="44" spans="1:76" s="1" customFormat="1" x14ac:dyDescent="0.25">
      <c r="A44" s="69">
        <v>45481</v>
      </c>
      <c r="B44" s="50" t="str">
        <f t="shared" si="2"/>
        <v>W28</v>
      </c>
      <c r="C44" s="50" t="str" cm="1">
        <f t="array" ref="C44">_xlfn.IFS(WEEKDAY(A44)=2,"Seg",WEEKDAY(A44)=3,"Ter",WEEKDAY(A44)=4,"Qua",WEEKDAY(A44)=5,"Qui",WEEKDAY(A44)=6,"Sex",WEEKDAY(A44)=7,"Sab",WEEKDAY(A44)=1,"Dom")</f>
        <v>Seg</v>
      </c>
      <c r="D44" s="50"/>
      <c r="E44" s="50"/>
      <c r="F44" s="51">
        <v>117</v>
      </c>
      <c r="G44" s="3">
        <f t="shared" si="3"/>
        <v>27</v>
      </c>
      <c r="H44" s="50">
        <v>27</v>
      </c>
      <c r="I44" s="50">
        <v>0</v>
      </c>
      <c r="J44" s="50">
        <v>0</v>
      </c>
      <c r="K44" s="52"/>
      <c r="L44" s="56">
        <f>IFERROR(VLOOKUP(A44,Forecast!B14:N47,13,0),0)</f>
        <v>2888.5488816669854</v>
      </c>
      <c r="M44" s="50"/>
      <c r="N44" s="50"/>
      <c r="O44" s="49">
        <f>IFERROR(VLOOKUP(TEXT(A44,"DD/MM/AAAA")&amp;"NE - SEPARAÇÃO - Pedidos B2C",BASE!$A:$D,4,0),"")</f>
        <v>3601</v>
      </c>
      <c r="P44" s="50"/>
      <c r="Q44" s="53"/>
      <c r="R44" s="68"/>
      <c r="S44" s="68"/>
      <c r="T44" s="67"/>
      <c r="U44" s="67"/>
      <c r="V44" s="67"/>
      <c r="W44" s="100">
        <f>IFERROR(VLOOKUP(A44,Forecast!B14:O46,14,0),0)</f>
        <v>269.37659556946386</v>
      </c>
      <c r="X44" s="50"/>
      <c r="Y44" s="50"/>
      <c r="Z44" s="50">
        <f>IFERROR(VLOOKUP(TEXT(A44,"DD/MM/AAAA")&amp;"NE - SEPARAÇÃO - Pedidos B2B",BASE!$A:$D,4,0),"")</f>
        <v>491</v>
      </c>
      <c r="AA44" s="50"/>
      <c r="AB44" s="53"/>
      <c r="AC44" s="144">
        <v>7</v>
      </c>
      <c r="AD44" s="144">
        <f>IFERROR(VLOOKUP(TEXT(A44,"DD/MM/AAAA")&amp;"NE - EXPEDICAO - Abastecimento Boutiques",BASE!$A:$D,4,0),"")</f>
        <v>14</v>
      </c>
      <c r="AE44" s="144" t="str">
        <f>IFERROR(VLOOKUP(TEXT(B44,"DD/MM/AAAA")&amp;"NE - EXPEDICAO - Abastecimento Boutiques",BASE!$A:$D,4,0),"")</f>
        <v/>
      </c>
      <c r="AF44" s="146"/>
      <c r="AG44" s="5"/>
      <c r="AH44" s="58">
        <v>18</v>
      </c>
      <c r="AI44" s="88" t="str">
        <f>IFERROR(VLOOKUP(TEXT(A44,"DD/MM/AAAA")&amp;"NE - EXPEDICAO - Custo Unitário por pallet separado Outros CDs",BASE!$A:$D,4,0),"")</f>
        <v/>
      </c>
      <c r="AJ44" s="16"/>
      <c r="AK44" s="205">
        <v>689.66666666666663</v>
      </c>
      <c r="AL44" s="49" t="str">
        <f>IFERROR(VLOOKUP(TEXT(A44,"DD/MM/AAAA")&amp;"NE - SEPARAÇÃO - Trade Acessórios",BASE!$A:$D,4,0),"")</f>
        <v/>
      </c>
      <c r="AM44" s="12" t="str">
        <f>IFERROR(VLOOKUP(TEXT(A44,"DD/MM/AAAA")&amp;"NE - SEPARAÇÃO - Trade Café",BASE!$A:$D,4,0),"")</f>
        <v/>
      </c>
      <c r="AN44" s="49">
        <f>IFERROR(VLOOKUP(TEXT(A44,"DD/MM/AAAA")&amp;"NE - SEPARAÇÃO - Trade maquinas",BASE!$A:$D,4,0),"")</f>
        <v>373</v>
      </c>
      <c r="AO44" s="49">
        <f t="shared" si="4"/>
        <v>373</v>
      </c>
      <c r="AP44" s="5"/>
      <c r="AQ44" s="49">
        <v>2</v>
      </c>
      <c r="AR44" s="49" t="str">
        <f>IFERROR(VLOOKUP(TEXT(A43,"DD/MM/AAAA")&amp;"NE - SEPARAÇÃO - Custo Unitário por pallet separado (Agents B2B / POSM Trade)",BASE!$A:$D,4,0),"")</f>
        <v/>
      </c>
      <c r="AS44" s="149"/>
      <c r="AT44" s="2">
        <v>857.13043478260875</v>
      </c>
      <c r="AU44" s="2">
        <v>609</v>
      </c>
      <c r="AV44" s="5"/>
      <c r="AW44" s="2">
        <v>99.304347826086953</v>
      </c>
      <c r="AX44" s="2"/>
      <c r="AY44" s="5"/>
      <c r="AZ44" s="2">
        <v>151.86956521739131</v>
      </c>
      <c r="BA44" s="2"/>
      <c r="BB44" s="5"/>
      <c r="BC44" s="2">
        <v>21.739130434782609</v>
      </c>
      <c r="BD44" s="2"/>
      <c r="BE44" s="5"/>
      <c r="BF44" s="2">
        <v>392.69565217391306</v>
      </c>
      <c r="BG44" s="2"/>
      <c r="BH44" s="5"/>
      <c r="BI44" s="2">
        <v>76.565217391304344</v>
      </c>
      <c r="BJ44" s="2">
        <v>21</v>
      </c>
      <c r="BK44" s="5"/>
      <c r="BL44" s="105">
        <v>9</v>
      </c>
      <c r="BM44" s="105">
        <v>1</v>
      </c>
      <c r="BN44" s="5"/>
    </row>
    <row r="45" spans="1:76" s="1" customFormat="1" x14ac:dyDescent="0.25">
      <c r="A45" s="69">
        <v>45482</v>
      </c>
      <c r="B45" s="50" t="str">
        <f t="shared" si="2"/>
        <v>W28</v>
      </c>
      <c r="C45" s="50" t="str" cm="1">
        <f t="array" ref="C45">_xlfn.IFS(WEEKDAY(A45)=2,"Seg",WEEKDAY(A45)=3,"Ter",WEEKDAY(A45)=4,"Qua",WEEKDAY(A45)=5,"Qui",WEEKDAY(A45)=6,"Sex",WEEKDAY(A45)=7,"Sab",WEEKDAY(A45)=1,"Dom")</f>
        <v>Ter</v>
      </c>
      <c r="D45" s="50"/>
      <c r="E45" s="50"/>
      <c r="F45" s="51">
        <v>117</v>
      </c>
      <c r="G45" s="3">
        <f t="shared" si="3"/>
        <v>0</v>
      </c>
      <c r="H45" s="50"/>
      <c r="I45" s="50"/>
      <c r="J45" s="50"/>
      <c r="K45" s="52"/>
      <c r="L45" s="56">
        <f>IFERROR(VLOOKUP(A45,Forecast!B15:N48,13,0),0)</f>
        <v>2653.5905562989869</v>
      </c>
      <c r="M45" s="50"/>
      <c r="N45" s="50"/>
      <c r="O45" s="49">
        <f>IFERROR(VLOOKUP(TEXT(A45,"DD/MM/AAAA")&amp;"NE - SEPARAÇÃO - Pedidos B2C",BASE!$A:$D,4,0),"")</f>
        <v>2956</v>
      </c>
      <c r="P45" s="50"/>
      <c r="Q45" s="53"/>
      <c r="R45" s="68"/>
      <c r="S45" s="68"/>
      <c r="T45" s="67"/>
      <c r="U45" s="67"/>
      <c r="V45" s="67"/>
      <c r="W45" s="100">
        <f>IFERROR(VLOOKUP(A45,Forecast!B15:O47,14,0),0)</f>
        <v>482.04232891377745</v>
      </c>
      <c r="X45" s="50"/>
      <c r="Y45" s="50"/>
      <c r="Z45" s="50">
        <f>IFERROR(VLOOKUP(TEXT(A45,"DD/MM/AAAA")&amp;"NE - SEPARAÇÃO - Pedidos B2B",BASE!$A:$D,4,0),"")</f>
        <v>443</v>
      </c>
      <c r="AA45" s="50"/>
      <c r="AB45" s="53"/>
      <c r="AC45" s="144">
        <v>7</v>
      </c>
      <c r="AD45" s="144">
        <f>IFERROR(VLOOKUP(TEXT(A45,"DD/MM/AAAA")&amp;"NE - EXPEDICAO - Abastecimento Boutiques",BASE!$A:$D,4,0),"")</f>
        <v>8</v>
      </c>
      <c r="AE45" s="144"/>
      <c r="AF45" s="146"/>
      <c r="AG45" s="5"/>
      <c r="AH45" s="58">
        <v>18</v>
      </c>
      <c r="AI45" s="88" t="str">
        <f>IFERROR(VLOOKUP(TEXT(A45,"DD/MM/AAAA")&amp;"NE - EXPEDICAO - Custo Unitário por pallet separado Outros CDs",BASE!$A:$D,4,0),"")</f>
        <v/>
      </c>
      <c r="AJ45" s="16"/>
      <c r="AK45" s="205">
        <v>689.66666666666663</v>
      </c>
      <c r="AL45" s="49">
        <f>IFERROR(VLOOKUP(TEXT(A45,"DD/MM/AAAA")&amp;"NE - SEPARAÇÃO - Trade Acessórios",BASE!$A:$D,4,0),"")</f>
        <v>2</v>
      </c>
      <c r="AM45" s="12">
        <f>IFERROR(VLOOKUP(TEXT(A45,"DD/MM/AAAA")&amp;"NE - SEPARAÇÃO - Trade Café",BASE!$A:$D,4,0),"")</f>
        <v>58</v>
      </c>
      <c r="AN45" s="49" t="str">
        <f>IFERROR(VLOOKUP(TEXT(A45,"DD/MM/AAAA")&amp;"NE - SEPARAÇÃO - Trade maquinas",BASE!$A:$D,4,0),"")</f>
        <v/>
      </c>
      <c r="AO45" s="49">
        <f t="shared" si="4"/>
        <v>60</v>
      </c>
      <c r="AP45" s="5"/>
      <c r="AQ45" s="49">
        <v>2</v>
      </c>
      <c r="AR45" s="49" t="str">
        <f>IFERROR(VLOOKUP(TEXT(A44,"DD/MM/AAAA")&amp;"NE - SEPARAÇÃO - Custo Unitário por pallet separado (Agents B2B / POSM Trade)",BASE!$A:$D,4,0),"")</f>
        <v/>
      </c>
      <c r="AS45" s="149"/>
      <c r="AT45" s="2">
        <v>857.13043478260875</v>
      </c>
      <c r="AU45" s="2">
        <v>975</v>
      </c>
      <c r="AV45" s="5"/>
      <c r="AW45" s="2">
        <v>99.304347826086953</v>
      </c>
      <c r="AX45" s="2"/>
      <c r="AY45" s="5"/>
      <c r="AZ45" s="2">
        <v>151.86956521739131</v>
      </c>
      <c r="BA45" s="2"/>
      <c r="BB45" s="5"/>
      <c r="BC45" s="2">
        <v>21.739130434782609</v>
      </c>
      <c r="BD45" s="2"/>
      <c r="BE45" s="5"/>
      <c r="BF45" s="2">
        <v>392.69565217391306</v>
      </c>
      <c r="BG45" s="2">
        <v>649</v>
      </c>
      <c r="BH45" s="5"/>
      <c r="BI45" s="2">
        <v>76.565217391304344</v>
      </c>
      <c r="BJ45" s="2">
        <v>196</v>
      </c>
      <c r="BK45" s="5"/>
      <c r="BL45" s="105">
        <v>9</v>
      </c>
      <c r="BM45" s="105">
        <v>90</v>
      </c>
      <c r="BN45" s="5"/>
    </row>
    <row r="46" spans="1:76" s="1" customFormat="1" x14ac:dyDescent="0.25">
      <c r="A46" s="69">
        <v>45483</v>
      </c>
      <c r="B46" s="50" t="str">
        <f t="shared" si="2"/>
        <v>W28</v>
      </c>
      <c r="C46" s="50" t="str" cm="1">
        <f t="array" ref="C46">_xlfn.IFS(WEEKDAY(A46)=2,"Seg",WEEKDAY(A46)=3,"Ter",WEEKDAY(A46)=4,"Qua",WEEKDAY(A46)=5,"Qui",WEEKDAY(A46)=6,"Sex",WEEKDAY(A46)=7,"Sab",WEEKDAY(A46)=1,"Dom")</f>
        <v>Qua</v>
      </c>
      <c r="D46" s="50"/>
      <c r="E46" s="50"/>
      <c r="F46" s="51">
        <v>117</v>
      </c>
      <c r="G46" s="3">
        <f t="shared" si="3"/>
        <v>17</v>
      </c>
      <c r="H46" s="50">
        <v>16</v>
      </c>
      <c r="I46" s="50">
        <v>1</v>
      </c>
      <c r="J46" s="50">
        <v>0</v>
      </c>
      <c r="K46" s="52"/>
      <c r="L46" s="56">
        <f>IFERROR(VLOOKUP(A46,Forecast!B16:N49,13,0),0)</f>
        <v>2740.8607914356721</v>
      </c>
      <c r="M46" s="50"/>
      <c r="N46" s="50"/>
      <c r="O46" s="49">
        <f>IFERROR(VLOOKUP(TEXT(A46,"DD/MM/AAAA")&amp;"NE - SEPARAÇÃO - Pedidos B2C",BASE!$A:$D,4,0),"")</f>
        <v>3267</v>
      </c>
      <c r="P46" s="50"/>
      <c r="Q46" s="53"/>
      <c r="R46" s="68"/>
      <c r="S46" s="68"/>
      <c r="T46" s="67"/>
      <c r="U46" s="67"/>
      <c r="V46" s="67"/>
      <c r="W46" s="100">
        <f>IFERROR(VLOOKUP(A46,Forecast!B16:O48,14,0),0)</f>
        <v>460.77575557934614</v>
      </c>
      <c r="X46" s="50"/>
      <c r="Y46" s="50"/>
      <c r="Z46" s="50">
        <f>IFERROR(VLOOKUP(TEXT(A46,"DD/MM/AAAA")&amp;"NE - SEPARAÇÃO - Pedidos B2B",BASE!$A:$D,4,0),"")</f>
        <v>591</v>
      </c>
      <c r="AA46" s="50"/>
      <c r="AB46" s="53"/>
      <c r="AC46" s="144">
        <v>7</v>
      </c>
      <c r="AD46" s="144">
        <f>IFERROR(VLOOKUP(TEXT(A46,"DD/MM/AAAA")&amp;"NE - EXPEDICAO - Abastecimento Boutiques",BASE!$A:$D,4,0),"")</f>
        <v>11</v>
      </c>
      <c r="AE46" s="144" t="str">
        <f>IFERROR(VLOOKUP(TEXT(B46,"DD/MM/AAAA")&amp;"NE - EXPEDICAO - Abastecimento Boutiques",BASE!$A:$D,4,0),"")</f>
        <v/>
      </c>
      <c r="AF46" s="146"/>
      <c r="AG46" s="5"/>
      <c r="AH46" s="58">
        <v>18</v>
      </c>
      <c r="AI46" s="88">
        <f>IFERROR(VLOOKUP(TEXT(A46,"DD/MM/AAAA")&amp;"NE - EXPEDICAO - Custo Unitário por pallet separado Outros CDs",BASE!$A:$D,4,0),"")</f>
        <v>76</v>
      </c>
      <c r="AJ46" s="16"/>
      <c r="AK46" s="205">
        <v>689.66666666666663</v>
      </c>
      <c r="AL46" s="49" t="str">
        <f>IFERROR(VLOOKUP(TEXT(A46,"DD/MM/AAAA")&amp;"NE - SEPARAÇÃO - Trade Acessórios",BASE!$A:$D,4,0),"")</f>
        <v/>
      </c>
      <c r="AM46" s="12" t="str">
        <f>IFERROR(VLOOKUP(TEXT(A46,"DD/MM/AAAA")&amp;"NE - SEPARAÇÃO - Trade Café",BASE!$A:$D,4,0),"")</f>
        <v/>
      </c>
      <c r="AN46" s="49">
        <f>IFERROR(VLOOKUP(TEXT(A46,"DD/MM/AAAA")&amp;"NE - SEPARAÇÃO - Trade maquinas",BASE!$A:$D,4,0),"")</f>
        <v>412</v>
      </c>
      <c r="AO46" s="49">
        <f t="shared" si="4"/>
        <v>412</v>
      </c>
      <c r="AP46" s="5"/>
      <c r="AQ46" s="49">
        <v>2</v>
      </c>
      <c r="AR46" s="49" t="str">
        <f>IFERROR(VLOOKUP(TEXT(A45,"DD/MM/AAAA")&amp;"NE - SEPARAÇÃO - Custo Unitário por pallet separado (Agents B2B / POSM Trade)",BASE!$A:$D,4,0),"")</f>
        <v/>
      </c>
      <c r="AS46" s="149"/>
      <c r="AT46" s="2">
        <v>857.13043478260875</v>
      </c>
      <c r="AU46" s="2">
        <v>558</v>
      </c>
      <c r="AV46" s="5"/>
      <c r="AW46" s="2">
        <v>99.304347826086953</v>
      </c>
      <c r="AX46" s="2">
        <v>60</v>
      </c>
      <c r="AY46" s="5"/>
      <c r="AZ46" s="2">
        <v>151.86956521739131</v>
      </c>
      <c r="BA46" s="2"/>
      <c r="BB46" s="5"/>
      <c r="BC46" s="2">
        <v>21.739130434782609</v>
      </c>
      <c r="BD46" s="2"/>
      <c r="BE46" s="5"/>
      <c r="BF46" s="2">
        <v>392.69565217391306</v>
      </c>
      <c r="BG46" s="2"/>
      <c r="BH46" s="5"/>
      <c r="BI46" s="2">
        <v>76.565217391304344</v>
      </c>
      <c r="BJ46" s="2">
        <v>21</v>
      </c>
      <c r="BK46" s="5"/>
      <c r="BL46" s="105">
        <v>9</v>
      </c>
      <c r="BM46" s="105">
        <v>1</v>
      </c>
      <c r="BN46" s="5"/>
    </row>
    <row r="47" spans="1:76" s="1" customFormat="1" x14ac:dyDescent="0.25">
      <c r="A47" s="69">
        <v>45484</v>
      </c>
      <c r="B47" s="50" t="str">
        <f t="shared" si="2"/>
        <v>W28</v>
      </c>
      <c r="C47" s="50" t="str" cm="1">
        <f t="array" ref="C47">_xlfn.IFS(WEEKDAY(A47)=2,"Seg",WEEKDAY(A47)=3,"Ter",WEEKDAY(A47)=4,"Qua",WEEKDAY(A47)=5,"Qui",WEEKDAY(A47)=6,"Sex",WEEKDAY(A47)=7,"Sab",WEEKDAY(A47)=1,"Dom")</f>
        <v>Qui</v>
      </c>
      <c r="D47" s="50"/>
      <c r="E47" s="50"/>
      <c r="F47" s="51">
        <v>117</v>
      </c>
      <c r="G47" s="3">
        <f t="shared" si="3"/>
        <v>95</v>
      </c>
      <c r="H47" s="50">
        <v>48</v>
      </c>
      <c r="I47" s="50">
        <v>4</v>
      </c>
      <c r="J47" s="50">
        <v>43</v>
      </c>
      <c r="K47" s="52"/>
      <c r="L47" s="56">
        <f>IFERROR(VLOOKUP(A47,Forecast!B17:N50,13,0),0)</f>
        <v>2760.0410628942841</v>
      </c>
      <c r="M47" s="50"/>
      <c r="N47" s="50"/>
      <c r="O47" s="49">
        <f>IFERROR(VLOOKUP(TEXT(A47,"DD/MM/AAAA")&amp;"NE - SEPARAÇÃO - Pedidos B2C",BASE!$A:$D,4,0),"")</f>
        <v>2798</v>
      </c>
      <c r="P47" s="50"/>
      <c r="Q47" s="53"/>
      <c r="R47" s="68"/>
      <c r="S47" s="68"/>
      <c r="T47" s="67"/>
      <c r="U47" s="67"/>
      <c r="V47" s="67"/>
      <c r="W47" s="100">
        <f>IFERROR(VLOOKUP(A47,Forecast!B17:O49,14,0),0)</f>
        <v>329.6318866836861</v>
      </c>
      <c r="X47" s="50"/>
      <c r="Y47" s="50"/>
      <c r="Z47" s="50">
        <f>IFERROR(VLOOKUP(TEXT(A47,"DD/MM/AAAA")&amp;"NE - SEPARAÇÃO - Pedidos B2B",BASE!$A:$D,4,0),"")</f>
        <v>579</v>
      </c>
      <c r="AA47" s="50"/>
      <c r="AB47" s="53"/>
      <c r="AC47" s="144">
        <v>7</v>
      </c>
      <c r="AD47" s="144">
        <f>IFERROR(VLOOKUP(TEXT(A47,"DD/MM/AAAA")&amp;"NE - EXPEDICAO - Abastecimento Boutiques",BASE!$A:$D,4,0),"")</f>
        <v>12</v>
      </c>
      <c r="AE47" s="144" t="str">
        <f>IFERROR(VLOOKUP(TEXT(B47,"DD/MM/AAAA")&amp;"NE - EXPEDICAO - Abastecimento Boutiques",BASE!$A:$D,4,0),"")</f>
        <v/>
      </c>
      <c r="AF47" s="146"/>
      <c r="AG47" s="5"/>
      <c r="AH47" s="58">
        <v>18</v>
      </c>
      <c r="AI47" s="88" t="str">
        <f>IFERROR(VLOOKUP(TEXT(A47,"DD/MM/AAAA")&amp;"NE - EXPEDICAO - Custo Unitário por pallet separado Outros CDs",BASE!$A:$D,4,0),"")</f>
        <v/>
      </c>
      <c r="AJ47" s="16"/>
      <c r="AK47" s="205">
        <v>689.66666666666663</v>
      </c>
      <c r="AL47" s="49" t="str">
        <f>IFERROR(VLOOKUP(TEXT(A47,"DD/MM/AAAA")&amp;"NE - SEPARAÇÃO - Trade Acessórios",BASE!$A:$D,4,0),"")</f>
        <v/>
      </c>
      <c r="AM47" s="12" t="str">
        <f>IFERROR(VLOOKUP(TEXT(A47,"DD/MM/AAAA")&amp;"NE - SEPARAÇÃO - Trade Café",BASE!$A:$D,4,0),"")</f>
        <v/>
      </c>
      <c r="AN47" s="49">
        <f>IFERROR(VLOOKUP(TEXT(A47,"DD/MM/AAAA")&amp;"NE - SEPARAÇÃO - Trade maquinas",BASE!$A:$D,4,0),"")</f>
        <v>1219</v>
      </c>
      <c r="AO47" s="49">
        <f t="shared" si="4"/>
        <v>1219</v>
      </c>
      <c r="AP47" s="5"/>
      <c r="AQ47" s="49">
        <v>2</v>
      </c>
      <c r="AR47" s="49" t="str">
        <f>IFERROR(VLOOKUP(TEXT(A46,"DD/MM/AAAA")&amp;"NE - SEPARAÇÃO - Custo Unitário por pallet separado (Agents B2B / POSM Trade)",BASE!$A:$D,4,0),"")</f>
        <v/>
      </c>
      <c r="AS47" s="149"/>
      <c r="AT47" s="2">
        <v>857.13043478260875</v>
      </c>
      <c r="AU47" s="2">
        <v>1340</v>
      </c>
      <c r="AV47" s="5"/>
      <c r="AW47" s="2">
        <v>99.304347826086953</v>
      </c>
      <c r="AX47" s="2">
        <v>1300</v>
      </c>
      <c r="AY47" s="5"/>
      <c r="AZ47" s="2">
        <v>151.86956521739131</v>
      </c>
      <c r="BA47" s="2"/>
      <c r="BB47" s="5"/>
      <c r="BC47" s="2">
        <v>21.739130434782609</v>
      </c>
      <c r="BD47" s="2"/>
      <c r="BE47" s="5"/>
      <c r="BF47" s="2">
        <v>392.69565217391306</v>
      </c>
      <c r="BG47" s="2">
        <v>1200</v>
      </c>
      <c r="BH47" s="5"/>
      <c r="BI47" s="2">
        <v>76.565217391304344</v>
      </c>
      <c r="BJ47" s="2">
        <v>220</v>
      </c>
      <c r="BK47" s="5"/>
      <c r="BL47" s="105">
        <v>9</v>
      </c>
      <c r="BM47" s="105">
        <v>19</v>
      </c>
      <c r="BN47" s="5"/>
    </row>
    <row r="48" spans="1:76" s="1" customFormat="1" x14ac:dyDescent="0.25">
      <c r="A48" s="69">
        <v>45485</v>
      </c>
      <c r="B48" s="50" t="str">
        <f t="shared" si="2"/>
        <v>W28</v>
      </c>
      <c r="C48" s="50" t="str" cm="1">
        <f t="array" ref="C48">_xlfn.IFS(WEEKDAY(A48)=2,"Seg",WEEKDAY(A48)=3,"Ter",WEEKDAY(A48)=4,"Qua",WEEKDAY(A48)=5,"Qui",WEEKDAY(A48)=6,"Sex",WEEKDAY(A48)=7,"Sab",WEEKDAY(A48)=1,"Dom")</f>
        <v>Sex</v>
      </c>
      <c r="D48" s="50"/>
      <c r="E48" s="50"/>
      <c r="F48" s="51">
        <v>117</v>
      </c>
      <c r="G48" s="3">
        <f t="shared" si="3"/>
        <v>100</v>
      </c>
      <c r="H48" s="50">
        <v>100</v>
      </c>
      <c r="I48" s="50">
        <v>0</v>
      </c>
      <c r="J48" s="50">
        <v>0</v>
      </c>
      <c r="K48" s="52"/>
      <c r="L48" s="56">
        <f>IFERROR(VLOOKUP(A48,Forecast!B18:N51,13,0),0)</f>
        <v>2653.5905562989869</v>
      </c>
      <c r="M48" s="50"/>
      <c r="N48" s="50"/>
      <c r="O48" s="49">
        <f>IFERROR(VLOOKUP(TEXT(A48,"DD/MM/AAAA")&amp;"NE - SEPARAÇÃO - Pedidos B2C",BASE!$A:$D,4,0),"")</f>
        <v>2175</v>
      </c>
      <c r="P48" s="50"/>
      <c r="Q48" s="53"/>
      <c r="R48" s="68"/>
      <c r="S48" s="68"/>
      <c r="T48" s="67"/>
      <c r="U48" s="67"/>
      <c r="V48" s="67"/>
      <c r="W48" s="100">
        <f>IFERROR(VLOOKUP(A48,Forecast!B18:O50,14,0),0)</f>
        <v>318.99860001647039</v>
      </c>
      <c r="X48" s="50"/>
      <c r="Y48" s="50"/>
      <c r="Z48" s="50">
        <f>IFERROR(VLOOKUP(TEXT(A48,"DD/MM/AAAA")&amp;"NE - SEPARAÇÃO - Pedidos B2B",BASE!$A:$D,4,0),"")</f>
        <v>444</v>
      </c>
      <c r="AA48" s="50"/>
      <c r="AB48" s="53"/>
      <c r="AC48" s="144">
        <v>7</v>
      </c>
      <c r="AD48" s="144">
        <f>IFERROR(VLOOKUP(TEXT(A48,"DD/MM/AAAA")&amp;"NE - EXPEDICAO - Abastecimento Boutiques",BASE!$A:$D,4,0),"")</f>
        <v>6</v>
      </c>
      <c r="AE48" s="144" t="str">
        <f>IFERROR(VLOOKUP(TEXT(B48,"DD/MM/AAAA")&amp;"NE - EXPEDICAO - Abastecimento Boutiques",BASE!$A:$D,4,0),"")</f>
        <v/>
      </c>
      <c r="AF48" s="146"/>
      <c r="AG48" s="5"/>
      <c r="AH48" s="58">
        <v>18</v>
      </c>
      <c r="AI48" s="88">
        <f>IFERROR(VLOOKUP(TEXT(A48,"DD/MM/AAAA")&amp;"NE - EXPEDICAO - Custo Unitário por pallet separado Outros CDs",BASE!$A:$D,4,0),"")</f>
        <v>43</v>
      </c>
      <c r="AJ48" s="16"/>
      <c r="AK48" s="205">
        <v>689.66666666666663</v>
      </c>
      <c r="AL48" s="49" t="str">
        <f>IFERROR(VLOOKUP(TEXT(A48,"DD/MM/AAAA")&amp;"NE - SEPARAÇÃO - Trade Acessórios",BASE!$A:$D,4,0),"")</f>
        <v/>
      </c>
      <c r="AM48" s="12" t="str">
        <f>IFERROR(VLOOKUP(TEXT(A48,"DD/MM/AAAA")&amp;"NE - SEPARAÇÃO - Trade Café",BASE!$A:$D,4,0),"")</f>
        <v/>
      </c>
      <c r="AN48" s="49">
        <f>IFERROR(VLOOKUP(TEXT(A48,"DD/MM/AAAA")&amp;"NE - SEPARAÇÃO - Trade maquinas",BASE!$A:$D,4,0),"")</f>
        <v>1175</v>
      </c>
      <c r="AO48" s="49">
        <f t="shared" si="4"/>
        <v>1175</v>
      </c>
      <c r="AP48" s="5"/>
      <c r="AQ48" s="49">
        <v>2</v>
      </c>
      <c r="AR48" s="49">
        <f>IFERROR(VLOOKUP(TEXT(A47,"DD/MM/AAAA")&amp;"NE - SEPARAÇÃO - Custo Unitário por pallet separado (Agents B2B / POSM Trade)",BASE!$A:$D,4,0),"")</f>
        <v>15</v>
      </c>
      <c r="AS48" s="149"/>
      <c r="AT48" s="2">
        <v>857.13043478260875</v>
      </c>
      <c r="AU48" s="2">
        <v>1009</v>
      </c>
      <c r="AV48" s="5"/>
      <c r="AW48" s="2">
        <v>99.304347826086953</v>
      </c>
      <c r="AX48" s="2"/>
      <c r="AY48" s="5"/>
      <c r="AZ48" s="2">
        <v>151.86956521739131</v>
      </c>
      <c r="BA48" s="2"/>
      <c r="BB48" s="5"/>
      <c r="BC48" s="2">
        <v>21.739130434782609</v>
      </c>
      <c r="BD48"/>
      <c r="BE48" s="5"/>
      <c r="BF48" s="2">
        <v>392.69565217391306</v>
      </c>
      <c r="BG48" s="2">
        <v>6598</v>
      </c>
      <c r="BH48" s="5"/>
      <c r="BI48" s="2">
        <v>76.565217391304344</v>
      </c>
      <c r="BJ48" s="2">
        <v>199</v>
      </c>
      <c r="BK48" s="5"/>
      <c r="BL48" s="105">
        <v>9</v>
      </c>
      <c r="BM48" s="105"/>
      <c r="BN48" s="5"/>
      <c r="BX48" s="118"/>
    </row>
    <row r="49" spans="1:74" s="1" customFormat="1" x14ac:dyDescent="0.25">
      <c r="A49" s="69">
        <v>45486</v>
      </c>
      <c r="B49" s="50" t="str">
        <f t="shared" si="2"/>
        <v>W28</v>
      </c>
      <c r="C49" s="50" t="str" cm="1">
        <f t="array" ref="C49">_xlfn.IFS(WEEKDAY(A49)=2,"Seg",WEEKDAY(A49)=3,"Ter",WEEKDAY(A49)=4,"Qua",WEEKDAY(A49)=5,"Qui",WEEKDAY(A49)=6,"Sex",WEEKDAY(A49)=7,"Sab",WEEKDAY(A49)=1,"Dom")</f>
        <v>Sab</v>
      </c>
      <c r="D49" s="50"/>
      <c r="E49" s="50"/>
      <c r="F49" s="51"/>
      <c r="G49" s="3">
        <f t="shared" si="3"/>
        <v>0</v>
      </c>
      <c r="H49" s="50"/>
      <c r="I49" s="50"/>
      <c r="J49" s="50"/>
      <c r="K49" s="52"/>
      <c r="L49" s="56">
        <f>IFERROR(VLOOKUP(A49,Forecast!B19:N52,13,0),0)</f>
        <v>0</v>
      </c>
      <c r="M49" s="50"/>
      <c r="N49" s="50"/>
      <c r="O49" s="49" t="str">
        <f>IFERROR(VLOOKUP(TEXT(A49,"DD/MM/AAAA")&amp;"NE - SEPARAÇÃO - Pedidos B2C",BASE!$A:$D,4,0),"")</f>
        <v/>
      </c>
      <c r="P49" s="50"/>
      <c r="Q49" s="53"/>
      <c r="R49" s="68"/>
      <c r="S49" s="68"/>
      <c r="T49" s="67"/>
      <c r="U49" s="67"/>
      <c r="V49" s="67"/>
      <c r="W49" s="100">
        <f>IFERROR(VLOOKUP(A49,Forecast!B19:O51,14,0),0)</f>
        <v>0</v>
      </c>
      <c r="X49" s="50"/>
      <c r="Y49" s="50"/>
      <c r="Z49" s="50" t="str">
        <f>IFERROR(VLOOKUP(TEXT(A49,"DD/MM/AAAA")&amp;"NE - SEPARAÇÃO - Pedidos B2B",BASE!$A:$D,4,0),"")</f>
        <v/>
      </c>
      <c r="AA49" s="50"/>
      <c r="AB49" s="53"/>
      <c r="AC49" s="144"/>
      <c r="AD49" s="144" t="str">
        <f>IFERROR(VLOOKUP(TEXT(A49,"DD/MM/AAAA")&amp;"NE - EXPEDICAO - Abastecimento Boutiques",BASE!$A:$D,4,0),"")</f>
        <v/>
      </c>
      <c r="AE49" s="144" t="str">
        <f>IFERROR(VLOOKUP(TEXT(B49,"DD/MM/AAAA")&amp;"NE - EXPEDICAO - Abastecimento Boutiques",BASE!$A:$D,4,0),"")</f>
        <v/>
      </c>
      <c r="AF49" s="146"/>
      <c r="AG49" s="5"/>
      <c r="AH49" s="58"/>
      <c r="AI49" s="88" t="str">
        <f>IFERROR(VLOOKUP(TEXT(A49,"DD/MM/AAAA")&amp;"NE - EXPEDICAO - Custo Unitário por pallet separado Outros CDs",BASE!$A:$D,4,0),"")</f>
        <v/>
      </c>
      <c r="AJ49" s="16"/>
      <c r="AK49" s="205"/>
      <c r="AL49" s="49" t="str">
        <f>IFERROR(VLOOKUP(TEXT(A49,"DD/MM/AAAA")&amp;"NE - SEPARAÇÃO - Trade Acessórios",BASE!$A:$D,4,0),"")</f>
        <v/>
      </c>
      <c r="AM49" s="12" t="str">
        <f>IFERROR(VLOOKUP(TEXT(A49,"DD/MM/AAAA")&amp;"NE - SEPARAÇÃO - Trade Café",BASE!$A:$D,4,0),"")</f>
        <v/>
      </c>
      <c r="AN49" s="49" t="str">
        <f>IFERROR(VLOOKUP(TEXT(A49,"DD/MM/AAAA")&amp;"NE - SEPARAÇÃO - Trade maquinas",BASE!$A:$D,4,0),"")</f>
        <v/>
      </c>
      <c r="AO49" s="49">
        <f t="shared" si="4"/>
        <v>0</v>
      </c>
      <c r="AP49" s="5"/>
      <c r="AQ49" s="49"/>
      <c r="AR49" s="49" t="str">
        <f>IFERROR(VLOOKUP(TEXT(A48,"DD/MM/AAAA")&amp;"NE - SEPARAÇÃO - Custo Unitário por pallet separado (Agents B2B / POSM Trade)",BASE!$A:$D,4,0),"")</f>
        <v/>
      </c>
      <c r="AS49" s="149"/>
      <c r="AT49" s="205"/>
      <c r="AU49" s="2"/>
      <c r="AV49" s="5"/>
      <c r="AW49" s="2"/>
      <c r="AX49" s="2"/>
      <c r="AY49" s="5"/>
      <c r="AZ49" s="2"/>
      <c r="BA49" s="2"/>
      <c r="BB49" s="5"/>
      <c r="BC49" s="2"/>
      <c r="BD49" s="2"/>
      <c r="BE49" s="5"/>
      <c r="BF49" s="2"/>
      <c r="BG49" s="2"/>
      <c r="BH49" s="5"/>
      <c r="BI49" s="2"/>
      <c r="BJ49" s="2"/>
      <c r="BK49" s="5"/>
      <c r="BL49" s="105"/>
      <c r="BM49" s="105"/>
      <c r="BN49" s="5"/>
    </row>
    <row r="50" spans="1:74" s="1" customFormat="1" x14ac:dyDescent="0.25">
      <c r="A50" s="69">
        <v>45487</v>
      </c>
      <c r="B50" s="50" t="str">
        <f t="shared" si="2"/>
        <v>W29</v>
      </c>
      <c r="C50" s="50" t="str" cm="1">
        <f t="array" ref="C50">_xlfn.IFS(WEEKDAY(A50)=2,"Seg",WEEKDAY(A50)=3,"Ter",WEEKDAY(A50)=4,"Qua",WEEKDAY(A50)=5,"Qui",WEEKDAY(A50)=6,"Sex",WEEKDAY(A50)=7,"Sab",WEEKDAY(A50)=1,"Dom")</f>
        <v>Dom</v>
      </c>
      <c r="D50" s="50"/>
      <c r="E50" s="50"/>
      <c r="F50" s="51"/>
      <c r="G50" s="3">
        <f t="shared" si="3"/>
        <v>0</v>
      </c>
      <c r="H50" s="50"/>
      <c r="I50" s="50"/>
      <c r="J50" s="50"/>
      <c r="K50" s="52"/>
      <c r="L50" s="56">
        <f>IFERROR(VLOOKUP(A50,Forecast!B20:N53,13,0),0)</f>
        <v>3099.5318677117184</v>
      </c>
      <c r="M50" s="50"/>
      <c r="N50" s="50"/>
      <c r="O50" s="49">
        <f>IFERROR(VLOOKUP(TEXT(A50,"DD/MM/AAAA")&amp;"NE - SEPARAÇÃO - Pedidos B2C",BASE!$A:$D,4,0),"")</f>
        <v>3225</v>
      </c>
      <c r="P50" s="50"/>
      <c r="Q50" s="53"/>
      <c r="R50" s="68"/>
      <c r="S50" s="68"/>
      <c r="T50" s="67"/>
      <c r="U50" s="67"/>
      <c r="V50" s="67"/>
      <c r="W50" s="100">
        <f>IFERROR(VLOOKUP(A50,Forecast!B20:O52,14,0),0)</f>
        <v>244.56559334596065</v>
      </c>
      <c r="X50" s="50"/>
      <c r="Y50" s="50"/>
      <c r="Z50" s="50">
        <f>IFERROR(VLOOKUP(TEXT(A50,"DD/MM/AAAA")&amp;"NE - SEPARAÇÃO - Pedidos B2B",BASE!$A:$D,4,0),"")</f>
        <v>320</v>
      </c>
      <c r="AA50" s="50"/>
      <c r="AB50" s="53"/>
      <c r="AC50" s="144">
        <v>7</v>
      </c>
      <c r="AD50" s="144">
        <f>IFERROR(VLOOKUP(TEXT(A50,"DD/MM/AAAA")&amp;"NE - EXPEDICAO - Abastecimento Boutiques",BASE!$A:$D,4,0),"")</f>
        <v>6</v>
      </c>
      <c r="AE50" s="144" t="str">
        <f>IFERROR(VLOOKUP(TEXT(B50,"DD/MM/AAAA")&amp;"NE - EXPEDICAO - Abastecimento Boutiques",BASE!$A:$D,4,0),"")</f>
        <v/>
      </c>
      <c r="AF50" s="146"/>
      <c r="AG50" s="5"/>
      <c r="AH50" s="58">
        <v>18</v>
      </c>
      <c r="AI50" s="88">
        <f>IFERROR(VLOOKUP(TEXT(A50,"DD/MM/AAAA")&amp;"NE - EXPEDICAO - Custo Unitário por pallet separado Outros CDs",BASE!$A:$D,4,0),"")</f>
        <v>55</v>
      </c>
      <c r="AJ50" s="16"/>
      <c r="AK50" s="205">
        <v>689.66666666666663</v>
      </c>
      <c r="AL50" s="49" t="str">
        <f>IFERROR(VLOOKUP(TEXT(A50,"DD/MM/AAAA")&amp;"NE - SEPARAÇÃO - Trade Acessórios",BASE!$A:$D,4,0),"")</f>
        <v/>
      </c>
      <c r="AM50" s="12" t="str">
        <f>IFERROR(VLOOKUP(TEXT(A50,"DD/MM/AAAA")&amp;"NE - SEPARAÇÃO - Trade Café",BASE!$A:$D,4,0),"")</f>
        <v/>
      </c>
      <c r="AN50" s="49">
        <f>IFERROR(VLOOKUP(TEXT(A50,"DD/MM/AAAA")&amp;"NE - SEPARAÇÃO - Trade maquinas",BASE!$A:$D,4,0),"")</f>
        <v>1188</v>
      </c>
      <c r="AO50" s="49">
        <f t="shared" si="4"/>
        <v>1188</v>
      </c>
      <c r="AP50" s="5"/>
      <c r="AQ50" s="49">
        <v>2</v>
      </c>
      <c r="AR50" s="49" t="str">
        <f>IFERROR(VLOOKUP(TEXT(A49,"DD/MM/AAAA")&amp;"NE - SEPARAÇÃO - Custo Unitário por pallet separado (Agents B2B / POSM Trade)",BASE!$A:$D,4,0),"")</f>
        <v/>
      </c>
      <c r="AS50" s="149"/>
      <c r="AT50" s="205"/>
      <c r="AU50" s="2">
        <v>110</v>
      </c>
      <c r="AV50" s="5"/>
      <c r="AW50" s="2"/>
      <c r="AX50" s="2"/>
      <c r="AY50" s="5"/>
      <c r="AZ50" s="2"/>
      <c r="BA50" s="2"/>
      <c r="BB50" s="5"/>
      <c r="BC50" s="2"/>
      <c r="BD50" s="2"/>
      <c r="BE50" s="5"/>
      <c r="BF50" s="2"/>
      <c r="BG50" s="2"/>
      <c r="BH50" s="5"/>
      <c r="BI50" s="2"/>
      <c r="BJ50" s="2"/>
      <c r="BK50" s="5"/>
      <c r="BL50" s="105"/>
      <c r="BM50" s="105"/>
      <c r="BN50" s="5"/>
    </row>
    <row r="51" spans="1:74" s="1" customFormat="1" x14ac:dyDescent="0.25">
      <c r="A51" s="69">
        <v>45488</v>
      </c>
      <c r="B51" s="50" t="str">
        <f t="shared" si="2"/>
        <v>W29</v>
      </c>
      <c r="C51" s="50" t="str" cm="1">
        <f t="array" ref="C51">_xlfn.IFS(WEEKDAY(A51)=2,"Seg",WEEKDAY(A51)=3,"Ter",WEEKDAY(A51)=4,"Qua",WEEKDAY(A51)=5,"Qui",WEEKDAY(A51)=6,"Sex",WEEKDAY(A51)=7,"Sab",WEEKDAY(A51)=1,"Dom")</f>
        <v>Seg</v>
      </c>
      <c r="D51" s="50"/>
      <c r="E51" s="50"/>
      <c r="F51" s="51">
        <v>117</v>
      </c>
      <c r="G51" s="3">
        <f t="shared" si="3"/>
        <v>129</v>
      </c>
      <c r="H51" s="50">
        <v>77</v>
      </c>
      <c r="I51" s="50">
        <v>2</v>
      </c>
      <c r="J51" s="50">
        <v>50</v>
      </c>
      <c r="K51" s="52"/>
      <c r="L51" s="56">
        <f>IFERROR(VLOOKUP(A51,Forecast!B21:N54,13,0),0)</f>
        <v>3061.1713247944945</v>
      </c>
      <c r="M51" s="50"/>
      <c r="N51" s="50"/>
      <c r="O51" s="49">
        <f>IFERROR(VLOOKUP(TEXT(A51,"DD/MM/AAAA")&amp;"NE - SEPARAÇÃO - Pedidos B2C",BASE!$A:$D,4,0),"")</f>
        <v>3169</v>
      </c>
      <c r="P51" s="50"/>
      <c r="Q51" s="53"/>
      <c r="R51" s="68"/>
      <c r="S51" s="68"/>
      <c r="T51" s="67"/>
      <c r="U51" s="67"/>
      <c r="V51" s="67"/>
      <c r="W51" s="100">
        <f>IFERROR(VLOOKUP(A51,Forecast!B21:O53,14,0),0)</f>
        <v>202.03244667709791</v>
      </c>
      <c r="X51" s="50"/>
      <c r="Y51" s="50"/>
      <c r="Z51" s="50">
        <f>IFERROR(VLOOKUP(TEXT(A51,"DD/MM/AAAA")&amp;"NE - SEPARAÇÃO - Pedidos B2B",BASE!$A:$D,4,0),"")</f>
        <v>309</v>
      </c>
      <c r="AA51" s="50"/>
      <c r="AB51" s="53"/>
      <c r="AC51" s="144">
        <v>7</v>
      </c>
      <c r="AD51" s="144">
        <f>IFERROR(VLOOKUP(TEXT(A51,"DD/MM/AAAA")&amp;"NE - EXPEDICAO - Abastecimento Boutiques",BASE!$A:$D,4,0),"")</f>
        <v>12</v>
      </c>
      <c r="AE51" s="144" t="str">
        <f>IFERROR(VLOOKUP(TEXT(B51,"DD/MM/AAAA")&amp;"NE - EXPEDICAO - Abastecimento Boutiques",BASE!$A:$D,4,0),"")</f>
        <v/>
      </c>
      <c r="AF51" s="146"/>
      <c r="AG51" s="5"/>
      <c r="AH51" s="58">
        <v>18</v>
      </c>
      <c r="AI51" s="88">
        <f>IFERROR(VLOOKUP(TEXT(A51,"DD/MM/AAAA")&amp;"NE - EXPEDICAO - Custo Unitário por pallet separado Outros CDs",BASE!$A:$D,4,0),"")</f>
        <v>8</v>
      </c>
      <c r="AJ51" s="16"/>
      <c r="AK51" s="205">
        <v>689.66666666666663</v>
      </c>
      <c r="AL51" s="49" t="str">
        <f>IFERROR(VLOOKUP(TEXT(A51,"DD/MM/AAAA")&amp;"NE - SEPARAÇÃO - Trade Acessórios",BASE!$A:$D,4,0),"")</f>
        <v/>
      </c>
      <c r="AM51" s="12" t="str">
        <f>IFERROR(VLOOKUP(TEXT(A51,"DD/MM/AAAA")&amp;"NE - SEPARAÇÃO - Trade Café",BASE!$A:$D,4,0),"")</f>
        <v/>
      </c>
      <c r="AN51" s="49" t="str">
        <f>IFERROR(VLOOKUP(TEXT(A51,"DD/MM/AAAA")&amp;"NE - SEPARAÇÃO - Trade maquinas",BASE!$A:$D,4,0),"")</f>
        <v/>
      </c>
      <c r="AO51" s="49">
        <f t="shared" si="4"/>
        <v>0</v>
      </c>
      <c r="AP51" s="5"/>
      <c r="AQ51" s="49">
        <v>2</v>
      </c>
      <c r="AR51" s="49" t="str">
        <f>IFERROR(VLOOKUP(TEXT(A50,"DD/MM/AAAA")&amp;"NE - SEPARAÇÃO - Custo Unitário por pallet separado (Agents B2B / POSM Trade)",BASE!$A:$D,4,0),"")</f>
        <v/>
      </c>
      <c r="AS51" s="149"/>
      <c r="AT51" s="2">
        <v>857.13043478260875</v>
      </c>
      <c r="AU51" s="2">
        <v>1517</v>
      </c>
      <c r="AV51" s="5"/>
      <c r="AW51" s="2">
        <v>99.304347826086953</v>
      </c>
      <c r="AX51" s="2"/>
      <c r="AY51" s="5"/>
      <c r="AZ51" s="2">
        <v>151.86956521739131</v>
      </c>
      <c r="BA51" s="2"/>
      <c r="BB51" s="5"/>
      <c r="BC51" s="2">
        <v>21.739130434782609</v>
      </c>
      <c r="BD51" s="2"/>
      <c r="BE51" s="5"/>
      <c r="BF51" s="2">
        <v>392.69565217391306</v>
      </c>
      <c r="BG51" s="2"/>
      <c r="BH51" s="5"/>
      <c r="BI51" s="2">
        <v>76.565217391304344</v>
      </c>
      <c r="BJ51" s="2">
        <v>129</v>
      </c>
      <c r="BK51" s="5"/>
      <c r="BL51" s="105">
        <v>9</v>
      </c>
      <c r="BM51" s="105">
        <v>6</v>
      </c>
      <c r="BN51" s="5"/>
    </row>
    <row r="52" spans="1:74" s="1" customFormat="1" x14ac:dyDescent="0.25">
      <c r="A52" s="69">
        <v>45489</v>
      </c>
      <c r="B52" s="50" t="str">
        <f t="shared" si="2"/>
        <v>W29</v>
      </c>
      <c r="C52" s="50" t="str" cm="1">
        <f t="array" ref="C52">_xlfn.IFS(WEEKDAY(A52)=2,"Seg",WEEKDAY(A52)=3,"Ter",WEEKDAY(A52)=4,"Qua",WEEKDAY(A52)=5,"Qui",WEEKDAY(A52)=6,"Sex",WEEKDAY(A52)=7,"Sab",WEEKDAY(A52)=1,"Dom")</f>
        <v>Ter</v>
      </c>
      <c r="D52" s="50"/>
      <c r="E52" s="50"/>
      <c r="F52" s="51">
        <v>117</v>
      </c>
      <c r="G52" s="3">
        <f t="shared" si="3"/>
        <v>98</v>
      </c>
      <c r="H52" s="50">
        <v>42</v>
      </c>
      <c r="I52" s="50">
        <v>3</v>
      </c>
      <c r="J52" s="50">
        <v>53</v>
      </c>
      <c r="K52" s="52"/>
      <c r="L52" s="56">
        <f>IFERROR(VLOOKUP(A52,Forecast!B22:N55,13,0),0)</f>
        <v>2781.1393614987574</v>
      </c>
      <c r="M52" s="50"/>
      <c r="N52" s="50"/>
      <c r="O52" s="49">
        <f>IFERROR(VLOOKUP(TEXT(A52,"DD/MM/AAAA")&amp;"NE - SEPARAÇÃO - Pedidos B2C",BASE!$A:$D,4,0),"")</f>
        <v>2943</v>
      </c>
      <c r="P52" s="50"/>
      <c r="Q52" s="53"/>
      <c r="R52" s="68"/>
      <c r="S52" s="68"/>
      <c r="T52" s="67"/>
      <c r="U52" s="67"/>
      <c r="V52" s="67"/>
      <c r="W52" s="100">
        <f>IFERROR(VLOOKUP(A52,Forecast!B22:O54,14,0),0)</f>
        <v>348.06291690685993</v>
      </c>
      <c r="X52" s="50"/>
      <c r="Y52" s="50"/>
      <c r="Z52" s="50">
        <f>IFERROR(VLOOKUP(TEXT(A52,"DD/MM/AAAA")&amp;"NE - SEPARAÇÃO - Pedidos B2B",BASE!$A:$D,4,0),"")</f>
        <v>429</v>
      </c>
      <c r="AA52" s="50"/>
      <c r="AB52" s="53"/>
      <c r="AC52" s="144">
        <v>7</v>
      </c>
      <c r="AD52" s="144">
        <f>IFERROR(VLOOKUP(TEXT(A52,"DD/MM/AAAA")&amp;"NE - EXPEDICAO - Abastecimento Boutiques",BASE!$A:$D,4,0),"")</f>
        <v>8</v>
      </c>
      <c r="AE52" s="144" t="str">
        <f>IFERROR(VLOOKUP(TEXT(B52,"DD/MM/AAAA")&amp;"NE - EXPEDICAO - Abastecimento Boutiques",BASE!$A:$D,4,0),"")</f>
        <v/>
      </c>
      <c r="AF52" s="146"/>
      <c r="AG52" s="5"/>
      <c r="AH52" s="58">
        <v>18</v>
      </c>
      <c r="AI52" s="88" t="str">
        <f>IFERROR(VLOOKUP(TEXT(A52,"DD/MM/AAAA")&amp;"NE - EXPEDICAO - Custo Unitário por pallet separado Outros CDs",BASE!$A:$D,4,0),"")</f>
        <v/>
      </c>
      <c r="AJ52" s="16"/>
      <c r="AK52" s="205">
        <v>689.66666666666663</v>
      </c>
      <c r="AL52" s="49">
        <f>IFERROR(VLOOKUP(TEXT(A52,"DD/MM/AAAA")&amp;"NE - SEPARAÇÃO - Trade Acessórios",BASE!$A:$D,4,0),"")</f>
        <v>12</v>
      </c>
      <c r="AM52" s="12" t="str">
        <f>IFERROR(VLOOKUP(TEXT(A52,"DD/MM/AAAA")&amp;"NE - SEPARAÇÃO - Trade Café",BASE!$A:$D,4,0),"")</f>
        <v/>
      </c>
      <c r="AN52" s="49">
        <f>IFERROR(VLOOKUP(TEXT(A52,"DD/MM/AAAA")&amp;"NE - SEPARAÇÃO - Trade maquinas",BASE!$A:$D,4,0),"")</f>
        <v>339</v>
      </c>
      <c r="AO52" s="49">
        <f t="shared" si="4"/>
        <v>351</v>
      </c>
      <c r="AP52" s="5"/>
      <c r="AQ52" s="49">
        <v>2</v>
      </c>
      <c r="AR52" s="49" t="str">
        <f>IFERROR(VLOOKUP(TEXT(A51,"DD/MM/AAAA")&amp;"NE - SEPARAÇÃO - Custo Unitário por pallet separado (Agents B2B / POSM Trade)",BASE!$A:$D,4,0),"")</f>
        <v/>
      </c>
      <c r="AS52" s="149"/>
      <c r="AT52" s="2">
        <v>857.13043478260875</v>
      </c>
      <c r="AU52" s="2">
        <v>2519</v>
      </c>
      <c r="AV52" s="5"/>
      <c r="AW52" s="2">
        <v>99.304347826086953</v>
      </c>
      <c r="AX52" s="2"/>
      <c r="AY52" s="5"/>
      <c r="AZ52" s="2">
        <v>151.86956521739131</v>
      </c>
      <c r="BA52" s="2"/>
      <c r="BB52" s="5"/>
      <c r="BC52" s="2">
        <v>21.739130434782609</v>
      </c>
      <c r="BD52" s="2"/>
      <c r="BE52" s="5"/>
      <c r="BF52" s="2">
        <v>392.69565217391306</v>
      </c>
      <c r="BG52" s="2">
        <v>916</v>
      </c>
      <c r="BH52" s="5"/>
      <c r="BI52" s="2">
        <v>76.565217391304344</v>
      </c>
      <c r="BJ52" s="2">
        <v>166</v>
      </c>
      <c r="BK52" s="5"/>
      <c r="BL52" s="105">
        <v>9</v>
      </c>
      <c r="BM52" s="105">
        <v>6</v>
      </c>
      <c r="BN52" s="5"/>
    </row>
    <row r="53" spans="1:74" s="1" customFormat="1" x14ac:dyDescent="0.25">
      <c r="A53" s="69">
        <v>45490</v>
      </c>
      <c r="B53" s="50" t="str">
        <f t="shared" si="2"/>
        <v>W29</v>
      </c>
      <c r="C53" s="50" t="str" cm="1">
        <f t="array" ref="C53">_xlfn.IFS(WEEKDAY(A53)=2,"Seg",WEEKDAY(A53)=3,"Ter",WEEKDAY(A53)=4,"Qua",WEEKDAY(A53)=5,"Qui",WEEKDAY(A53)=6,"Sex",WEEKDAY(A53)=7,"Sab",WEEKDAY(A53)=1,"Dom")</f>
        <v>Qua</v>
      </c>
      <c r="D53" s="50"/>
      <c r="E53" s="50"/>
      <c r="F53" s="51">
        <v>117</v>
      </c>
      <c r="G53" s="3">
        <f t="shared" si="3"/>
        <v>125</v>
      </c>
      <c r="H53" s="50">
        <v>44</v>
      </c>
      <c r="I53" s="50">
        <v>0</v>
      </c>
      <c r="J53" s="50">
        <v>81</v>
      </c>
      <c r="K53" s="52"/>
      <c r="L53" s="56">
        <f>IFERROR(VLOOKUP(A53,Forecast!B23:N56,13,0),0)</f>
        <v>2459.8698145670046</v>
      </c>
      <c r="M53" s="50"/>
      <c r="N53" s="50"/>
      <c r="O53" s="49">
        <f>IFERROR(VLOOKUP(TEXT(A53,"DD/MM/AAAA")&amp;"NE - SEPARAÇÃO - Pedidos B2C",BASE!$A:$D,4,0),"")</f>
        <v>2940</v>
      </c>
      <c r="P53" s="50"/>
      <c r="Q53" s="53"/>
      <c r="R53" s="68"/>
      <c r="S53" s="68"/>
      <c r="T53" s="67"/>
      <c r="U53" s="67"/>
      <c r="V53" s="67"/>
      <c r="W53" s="100">
        <f>IFERROR(VLOOKUP(A53,Forecast!B23:O55,14,0),0)</f>
        <v>252.36333690191881</v>
      </c>
      <c r="X53" s="50"/>
      <c r="Y53" s="50"/>
      <c r="Z53" s="50">
        <f>IFERROR(VLOOKUP(TEXT(A53,"DD/MM/AAAA")&amp;"NE - SEPARAÇÃO - Pedidos B2B",BASE!$A:$D,4,0),"")</f>
        <v>517</v>
      </c>
      <c r="AA53" s="50"/>
      <c r="AB53" s="53"/>
      <c r="AC53" s="144">
        <v>7</v>
      </c>
      <c r="AD53" s="144">
        <f>IFERROR(VLOOKUP(TEXT(A53,"DD/MM/AAAA")&amp;"NE - EXPEDICAO - Abastecimento Boutiques",BASE!$A:$D,4,0),"")</f>
        <v>8</v>
      </c>
      <c r="AE53" s="144" t="str">
        <f>IFERROR(VLOOKUP(TEXT(B53,"DD/MM/AAAA")&amp;"NE - EXPEDICAO - Abastecimento Boutiques",BASE!$A:$D,4,0),"")</f>
        <v/>
      </c>
      <c r="AF53" s="146"/>
      <c r="AG53" s="5"/>
      <c r="AH53" s="58">
        <v>18</v>
      </c>
      <c r="AI53" s="88">
        <f>IFERROR(VLOOKUP(TEXT(A53,"DD/MM/AAAA")&amp;"NE - EXPEDICAO - Custo Unitário por pallet separado Outros CDs",BASE!$A:$D,4,0),"")</f>
        <v>95</v>
      </c>
      <c r="AJ53" s="16"/>
      <c r="AK53" s="205">
        <v>689.66666666666663</v>
      </c>
      <c r="AL53" s="49" t="str">
        <f>IFERROR(VLOOKUP(TEXT(A53,"DD/MM/AAAA")&amp;"NE - SEPARAÇÃO - Trade Acessórios",BASE!$A:$D,4,0),"")</f>
        <v/>
      </c>
      <c r="AM53" s="12" t="str">
        <f>IFERROR(VLOOKUP(TEXT(A53,"DD/MM/AAAA")&amp;"NE - SEPARAÇÃO - Trade Café",BASE!$A:$D,4,0),"")</f>
        <v/>
      </c>
      <c r="AN53" s="49">
        <f>IFERROR(VLOOKUP(TEXT(A53,"DD/MM/AAAA")&amp;"NE - SEPARAÇÃO - Trade maquinas",BASE!$A:$D,4,0),"")</f>
        <v>2148</v>
      </c>
      <c r="AO53" s="49">
        <f t="shared" si="4"/>
        <v>2148</v>
      </c>
      <c r="AP53" s="5"/>
      <c r="AQ53" s="49">
        <v>2</v>
      </c>
      <c r="AR53" s="49">
        <f>IFERROR(VLOOKUP(TEXT(A52,"DD/MM/AAAA")&amp;"NE - SEPARAÇÃO - Custo Unitário por pallet separado (Agents B2B / POSM Trade)",BASE!$A:$D,4,0),"")</f>
        <v>1</v>
      </c>
      <c r="AS53" s="149"/>
      <c r="AT53" s="2">
        <v>857.13043478260875</v>
      </c>
      <c r="AU53" s="2">
        <v>2033</v>
      </c>
      <c r="AV53" s="5"/>
      <c r="AW53" s="2">
        <v>99.304347826086953</v>
      </c>
      <c r="AX53" s="2"/>
      <c r="AY53" s="5"/>
      <c r="AZ53" s="2">
        <v>151.86956521739131</v>
      </c>
      <c r="BA53" s="2"/>
      <c r="BB53" s="5"/>
      <c r="BC53" s="2">
        <v>21.739130434782609</v>
      </c>
      <c r="BD53" s="2"/>
      <c r="BE53" s="5"/>
      <c r="BF53" s="2">
        <v>392.69565217391306</v>
      </c>
      <c r="BG53" s="2"/>
      <c r="BH53" s="5"/>
      <c r="BI53" s="2">
        <v>76.565217391304344</v>
      </c>
      <c r="BJ53" s="2">
        <v>130</v>
      </c>
      <c r="BK53" s="5"/>
      <c r="BL53" s="105">
        <v>9</v>
      </c>
      <c r="BM53" s="105">
        <v>22</v>
      </c>
      <c r="BN53" s="5"/>
    </row>
    <row r="54" spans="1:74" s="1" customFormat="1" x14ac:dyDescent="0.25">
      <c r="A54" s="69">
        <v>45491</v>
      </c>
      <c r="B54" s="50" t="str">
        <f t="shared" si="2"/>
        <v>W29</v>
      </c>
      <c r="C54" s="50" t="str" cm="1">
        <f t="array" ref="C54">_xlfn.IFS(WEEKDAY(A54)=2,"Seg",WEEKDAY(A54)=3,"Ter",WEEKDAY(A54)=4,"Qua",WEEKDAY(A54)=5,"Qui",WEEKDAY(A54)=6,"Sex",WEEKDAY(A54)=7,"Sab",WEEKDAY(A54)=1,"Dom")</f>
        <v>Qui</v>
      </c>
      <c r="D54" s="50"/>
      <c r="E54" s="50"/>
      <c r="F54" s="51">
        <v>117</v>
      </c>
      <c r="G54" s="3">
        <f t="shared" si="3"/>
        <v>149</v>
      </c>
      <c r="H54" s="50">
        <v>145</v>
      </c>
      <c r="I54" s="50">
        <v>1</v>
      </c>
      <c r="J54" s="50">
        <v>3</v>
      </c>
      <c r="K54" s="52"/>
      <c r="L54" s="56">
        <f>IFERROR(VLOOKUP(A54,Forecast!B24:N57,13,0),0)</f>
        <v>2651.6725291531252</v>
      </c>
      <c r="M54" s="50"/>
      <c r="N54" s="50"/>
      <c r="O54" s="49">
        <f>IFERROR(VLOOKUP(TEXT(A54,"DD/MM/AAAA")&amp;"NE - SEPARAÇÃO - Pedidos B2C",BASE!$A:$D,4,0),"")</f>
        <v>2376</v>
      </c>
      <c r="P54" s="50"/>
      <c r="Q54" s="53"/>
      <c r="R54" s="68"/>
      <c r="S54" s="68"/>
      <c r="T54" s="67"/>
      <c r="U54" s="67"/>
      <c r="V54" s="67"/>
      <c r="W54" s="100">
        <f>IFERROR(VLOOKUP(A54,Forecast!B24:O56,14,0),0)</f>
        <v>325.37857201679981</v>
      </c>
      <c r="X54" s="50"/>
      <c r="Y54" s="50"/>
      <c r="Z54" s="50">
        <f>IFERROR(VLOOKUP(TEXT(A54,"DD/MM/AAAA")&amp;"NE - SEPARAÇÃO - Pedidos B2B",BASE!$A:$D,4,0),"")</f>
        <v>413</v>
      </c>
      <c r="AA54" s="50"/>
      <c r="AB54" s="53"/>
      <c r="AC54" s="144">
        <v>7</v>
      </c>
      <c r="AD54" s="144">
        <f>IFERROR(VLOOKUP(TEXT(A54,"DD/MM/AAAA")&amp;"NE - EXPEDICAO - Abastecimento Boutiques",BASE!$A:$D,4,0),"")</f>
        <v>12</v>
      </c>
      <c r="AE54" s="144" t="str">
        <f>IFERROR(VLOOKUP(TEXT(B54,"DD/MM/AAAA")&amp;"NE - EXPEDICAO - Abastecimento Boutiques",BASE!$A:$D,4,0),"")</f>
        <v/>
      </c>
      <c r="AF54" s="146"/>
      <c r="AG54" s="5"/>
      <c r="AH54" s="58">
        <v>18</v>
      </c>
      <c r="AI54" s="88" t="str">
        <f>IFERROR(VLOOKUP(TEXT(A54,"DD/MM/AAAA")&amp;"NE - EXPEDICAO - Custo Unitário por pallet separado Outros CDs",BASE!$A:$D,4,0),"")</f>
        <v/>
      </c>
      <c r="AJ54" s="16"/>
      <c r="AK54" s="205">
        <v>689.66666666666663</v>
      </c>
      <c r="AL54" s="49" t="str">
        <f>IFERROR(VLOOKUP(TEXT(A54,"DD/MM/AAAA")&amp;"NE - SEPARAÇÃO - Trade Acessórios",BASE!$A:$D,4,0),"")</f>
        <v/>
      </c>
      <c r="AM54" s="12" t="str">
        <f>IFERROR(VLOOKUP(TEXT(A54,"DD/MM/AAAA")&amp;"NE - SEPARAÇÃO - Trade Café",BASE!$A:$D,4,0),"")</f>
        <v/>
      </c>
      <c r="AN54" s="49">
        <f>IFERROR(VLOOKUP(TEXT(A54,"DD/MM/AAAA")&amp;"NE - SEPARAÇÃO - Trade maquinas",BASE!$A:$D,4,0),"")</f>
        <v>2503</v>
      </c>
      <c r="AO54" s="49">
        <f t="shared" si="4"/>
        <v>2503</v>
      </c>
      <c r="AP54" s="5"/>
      <c r="AQ54" s="49">
        <v>2</v>
      </c>
      <c r="AR54" s="49">
        <f>IFERROR(VLOOKUP(TEXT(A53,"DD/MM/AAAA")&amp;"NE - SEPARAÇÃO - Custo Unitário por pallet separado (Agents B2B / POSM Trade)",BASE!$A:$D,4,0),"")</f>
        <v>16</v>
      </c>
      <c r="AS54" s="149"/>
      <c r="AT54" s="2">
        <v>857.13043478260875</v>
      </c>
      <c r="AU54" s="2">
        <v>1563</v>
      </c>
      <c r="AV54" s="5"/>
      <c r="AW54" s="2">
        <v>99.304347826086953</v>
      </c>
      <c r="AX54" s="2"/>
      <c r="AY54" s="5"/>
      <c r="AZ54" s="2">
        <v>151.86956521739131</v>
      </c>
      <c r="BA54" s="2"/>
      <c r="BB54" s="5"/>
      <c r="BC54" s="2">
        <v>21.739130434782609</v>
      </c>
      <c r="BD54" s="2"/>
      <c r="BE54" s="5"/>
      <c r="BF54" s="2">
        <v>392.69565217391306</v>
      </c>
      <c r="BG54" s="2">
        <v>208</v>
      </c>
      <c r="BH54" s="5"/>
      <c r="BI54" s="2">
        <v>76.565217391304344</v>
      </c>
      <c r="BJ54" s="2">
        <v>47</v>
      </c>
      <c r="BK54" s="5"/>
      <c r="BL54" s="105">
        <v>9</v>
      </c>
      <c r="BM54" s="105">
        <v>3</v>
      </c>
      <c r="BN54" s="5"/>
    </row>
    <row r="55" spans="1:74" s="1" customFormat="1" x14ac:dyDescent="0.25">
      <c r="A55" s="69">
        <v>45492</v>
      </c>
      <c r="B55" s="50" t="str">
        <f t="shared" si="2"/>
        <v>W29</v>
      </c>
      <c r="C55" s="50" t="str" cm="1">
        <f t="array" ref="C55">_xlfn.IFS(WEEKDAY(A55)=2,"Seg",WEEKDAY(A55)=3,"Ter",WEEKDAY(A55)=4,"Qua",WEEKDAY(A55)=5,"Qui",WEEKDAY(A55)=6,"Sex",WEEKDAY(A55)=7,"Sab",WEEKDAY(A55)=1,"Dom")</f>
        <v>Sex</v>
      </c>
      <c r="D55" s="50"/>
      <c r="E55" s="50"/>
      <c r="F55" s="51">
        <v>117</v>
      </c>
      <c r="G55" s="3">
        <f t="shared" si="3"/>
        <v>125</v>
      </c>
      <c r="H55" s="50">
        <v>125</v>
      </c>
      <c r="I55" s="50">
        <v>0</v>
      </c>
      <c r="J55" s="50">
        <v>0</v>
      </c>
      <c r="K55" s="52"/>
      <c r="L55" s="56">
        <f>IFERROR(VLOOKUP(A55,Forecast!B25:N58,13,0),0)</f>
        <v>2563.4432804435096</v>
      </c>
      <c r="M55" s="50"/>
      <c r="N55" s="50"/>
      <c r="O55" s="49">
        <f>IFERROR(VLOOKUP(TEXT(A55,"DD/MM/AAAA")&amp;"NE - SEPARAÇÃO - Pedidos B2C",BASE!$A:$D,4,0),"")</f>
        <v>2804</v>
      </c>
      <c r="P55" s="50"/>
      <c r="Q55" s="53"/>
      <c r="R55" s="68"/>
      <c r="S55" s="68"/>
      <c r="T55" s="67"/>
      <c r="U55" s="67"/>
      <c r="V55" s="67"/>
      <c r="W55" s="100">
        <f>IFERROR(VLOOKUP(A55,Forecast!B25:O57,14,0),0)</f>
        <v>252.36333690191881</v>
      </c>
      <c r="X55" s="50"/>
      <c r="Y55" s="50"/>
      <c r="Z55" s="50">
        <f>IFERROR(VLOOKUP(TEXT(A55,"DD/MM/AAAA")&amp;"NE - SEPARAÇÃO - Pedidos B2B",BASE!$A:$D,4,0),"")</f>
        <v>467</v>
      </c>
      <c r="AA55" s="50"/>
      <c r="AB55" s="53"/>
      <c r="AC55" s="144">
        <v>7</v>
      </c>
      <c r="AD55" s="144">
        <f>IFERROR(VLOOKUP(TEXT(A55,"DD/MM/AAAA")&amp;"NE - EXPEDICAO - Abastecimento Boutiques",BASE!$A:$D,4,0),"")</f>
        <v>5</v>
      </c>
      <c r="AE55" s="144" t="str">
        <f>IFERROR(VLOOKUP(TEXT(B55,"DD/MM/AAAA")&amp;"NE - EXPEDICAO - Abastecimento Boutiques",BASE!$A:$D,4,0),"")</f>
        <v/>
      </c>
      <c r="AF55" s="146"/>
      <c r="AG55" s="5"/>
      <c r="AH55" s="58">
        <v>18</v>
      </c>
      <c r="AI55" s="88">
        <f>IFERROR(VLOOKUP(TEXT(A55,"DD/MM/AAAA")&amp;"NE - EXPEDICAO - Custo Unitário por pallet separado Outros CDs",BASE!$A:$D,4,0),"")</f>
        <v>64</v>
      </c>
      <c r="AJ55" s="16"/>
      <c r="AK55" s="205">
        <v>689.66666666666663</v>
      </c>
      <c r="AL55" s="49" t="str">
        <f>IFERROR(VLOOKUP(TEXT(A55,"DD/MM/AAAA")&amp;"NE - SEPARAÇÃO - Trade Acessórios",BASE!$A:$D,4,0),"")</f>
        <v/>
      </c>
      <c r="AM55" s="12" t="str">
        <f>IFERROR(VLOOKUP(TEXT(A55,"DD/MM/AAAA")&amp;"NE - SEPARAÇÃO - Trade Café",BASE!$A:$D,4,0),"")</f>
        <v/>
      </c>
      <c r="AN55" s="49">
        <f>IFERROR(VLOOKUP(TEXT(A55,"DD/MM/AAAA")&amp;"NE - SEPARAÇÃO - Trade maquinas",BASE!$A:$D,4,0),"")</f>
        <v>1773</v>
      </c>
      <c r="AO55" s="49">
        <f t="shared" si="4"/>
        <v>1773</v>
      </c>
      <c r="AP55" s="5"/>
      <c r="AQ55" s="49">
        <v>2</v>
      </c>
      <c r="AR55" s="49" t="str">
        <f>IFERROR(VLOOKUP(TEXT(A54,"DD/MM/AAAA")&amp;"NE - SEPARAÇÃO - Custo Unitário por pallet separado (Agents B2B / POSM Trade)",BASE!$A:$D,4,0),"")</f>
        <v/>
      </c>
      <c r="AS55" s="149"/>
      <c r="AT55" s="2">
        <v>857.13043478260875</v>
      </c>
      <c r="AU55" s="2">
        <v>935</v>
      </c>
      <c r="AV55" s="5"/>
      <c r="AW55" s="2">
        <v>99.304347826086953</v>
      </c>
      <c r="AX55" s="2"/>
      <c r="AY55" s="5"/>
      <c r="AZ55" s="2">
        <v>151.86956521739131</v>
      </c>
      <c r="BA55" s="2"/>
      <c r="BB55" s="5"/>
      <c r="BC55" s="2">
        <v>21.739130434782609</v>
      </c>
      <c r="BD55" s="2"/>
      <c r="BE55" s="5"/>
      <c r="BF55" s="2">
        <v>392.69565217391306</v>
      </c>
      <c r="BG55" s="2">
        <v>1222</v>
      </c>
      <c r="BH55" s="5"/>
      <c r="BI55" s="2">
        <v>76.565217391304344</v>
      </c>
      <c r="BJ55" s="2">
        <v>2</v>
      </c>
      <c r="BK55" s="5"/>
      <c r="BL55" s="105">
        <v>9</v>
      </c>
      <c r="BM55" s="105"/>
      <c r="BN55" s="5"/>
    </row>
    <row r="56" spans="1:74" s="1" customFormat="1" x14ac:dyDescent="0.25">
      <c r="A56" s="69">
        <v>45493</v>
      </c>
      <c r="B56" s="50" t="str">
        <f t="shared" si="2"/>
        <v>W29</v>
      </c>
      <c r="C56" s="50" t="str" cm="1">
        <f t="array" ref="C56">_xlfn.IFS(WEEKDAY(A56)=2,"Seg",WEEKDAY(A56)=3,"Ter",WEEKDAY(A56)=4,"Qua",WEEKDAY(A56)=5,"Qui",WEEKDAY(A56)=6,"Sex",WEEKDAY(A56)=7,"Sab",WEEKDAY(A56)=1,"Dom")</f>
        <v>Sab</v>
      </c>
      <c r="D56" s="50"/>
      <c r="E56" s="50"/>
      <c r="F56" s="51"/>
      <c r="G56" s="3">
        <f t="shared" si="3"/>
        <v>0</v>
      </c>
      <c r="H56" s="50"/>
      <c r="I56" s="50"/>
      <c r="J56" s="50"/>
      <c r="K56" s="52"/>
      <c r="L56" s="56">
        <f>IFERROR(VLOOKUP(A56,Forecast!B26:N59,13,0),0)</f>
        <v>0</v>
      </c>
      <c r="M56" s="50"/>
      <c r="N56" s="50"/>
      <c r="O56" s="49" t="str">
        <f>IFERROR(VLOOKUP(TEXT(A56,"DD/MM/AAAA")&amp;"NE - SEPARAÇÃO - Pedidos B2C",BASE!$A:$D,4,0),"")</f>
        <v/>
      </c>
      <c r="P56" s="50"/>
      <c r="Q56" s="53"/>
      <c r="R56" s="68"/>
      <c r="S56" s="68"/>
      <c r="T56" s="67"/>
      <c r="U56" s="67"/>
      <c r="V56" s="67"/>
      <c r="W56" s="100">
        <f>IFERROR(VLOOKUP(A56,Forecast!B26:O58,14,0),0)</f>
        <v>0</v>
      </c>
      <c r="X56" s="50"/>
      <c r="Y56" s="50"/>
      <c r="Z56" s="50" t="str">
        <f>IFERROR(VLOOKUP(TEXT(A56,"DD/MM/AAAA")&amp;"NE - SEPARAÇÃO - Pedidos B2B",BASE!$A:$D,4,0),"")</f>
        <v/>
      </c>
      <c r="AA56" s="50"/>
      <c r="AB56" s="53"/>
      <c r="AC56" s="144"/>
      <c r="AD56" s="144" t="str">
        <f>IFERROR(VLOOKUP(TEXT(A56,"DD/MM/AAAA")&amp;"NE - EXPEDICAO - Abastecimento Boutiques",BASE!$A:$D,4,0),"")</f>
        <v/>
      </c>
      <c r="AE56" s="144" t="str">
        <f>IFERROR(VLOOKUP(TEXT(B56,"DD/MM/AAAA")&amp;"NE - EXPEDICAO - Abastecimento Boutiques",BASE!$A:$D,4,0),"")</f>
        <v/>
      </c>
      <c r="AF56" s="146"/>
      <c r="AG56" s="5"/>
      <c r="AH56" s="58"/>
      <c r="AI56" s="88" t="str">
        <f>IFERROR(VLOOKUP(TEXT(A56,"DD/MM/AAAA")&amp;"NE - EXPEDICAO - Custo Unitário por pallet separado Outros CDs",BASE!$A:$D,4,0),"")</f>
        <v/>
      </c>
      <c r="AJ56" s="16"/>
      <c r="AK56" s="205"/>
      <c r="AL56" s="49" t="str">
        <f>IFERROR(VLOOKUP(TEXT(A56,"DD/MM/AAAA")&amp;"NE - SEPARAÇÃO - Trade Acessórios",BASE!$A:$D,4,0),"")</f>
        <v/>
      </c>
      <c r="AM56" s="12" t="str">
        <f>IFERROR(VLOOKUP(TEXT(A56,"DD/MM/AAAA")&amp;"NE - SEPARAÇÃO - Trade Café",BASE!$A:$D,4,0),"")</f>
        <v/>
      </c>
      <c r="AN56" s="49" t="str">
        <f>IFERROR(VLOOKUP(TEXT(A56,"DD/MM/AAAA")&amp;"NE - SEPARAÇÃO - Trade maquinas",BASE!$A:$D,4,0),"")</f>
        <v/>
      </c>
      <c r="AO56" s="49">
        <f t="shared" si="4"/>
        <v>0</v>
      </c>
      <c r="AP56" s="5"/>
      <c r="AQ56" s="49"/>
      <c r="AR56" s="49" t="str">
        <f>IFERROR(VLOOKUP(TEXT(A55,"DD/MM/AAAA")&amp;"NE - SEPARAÇÃO - Custo Unitário por pallet separado (Agents B2B / POSM Trade)",BASE!$A:$D,4,0),"")</f>
        <v/>
      </c>
      <c r="AS56" s="149"/>
      <c r="AT56" s="205"/>
      <c r="AU56" s="2"/>
      <c r="AV56" s="5"/>
      <c r="AW56" s="2"/>
      <c r="AX56" s="2"/>
      <c r="AY56" s="5"/>
      <c r="AZ56" s="2"/>
      <c r="BA56" s="2"/>
      <c r="BB56" s="5"/>
      <c r="BC56" s="2"/>
      <c r="BD56" s="2"/>
      <c r="BE56" s="5"/>
      <c r="BF56" s="2"/>
      <c r="BG56" s="2"/>
      <c r="BH56" s="5"/>
      <c r="BI56" s="2"/>
      <c r="BJ56" s="2"/>
      <c r="BK56" s="5"/>
      <c r="BL56" s="105"/>
      <c r="BM56" s="105"/>
      <c r="BN56" s="5"/>
      <c r="BV56" s="118"/>
    </row>
    <row r="57" spans="1:74" s="1" customFormat="1" x14ac:dyDescent="0.25">
      <c r="A57" s="69">
        <v>45494</v>
      </c>
      <c r="B57" s="50" t="str">
        <f t="shared" si="2"/>
        <v>W30</v>
      </c>
      <c r="C57" s="50" t="str" cm="1">
        <f t="array" ref="C57">_xlfn.IFS(WEEKDAY(A57)=2,"Seg",WEEKDAY(A57)=3,"Ter",WEEKDAY(A57)=4,"Qua",WEEKDAY(A57)=5,"Qui",WEEKDAY(A57)=6,"Sex",WEEKDAY(A57)=7,"Sab",WEEKDAY(A57)=1,"Dom")</f>
        <v>Dom</v>
      </c>
      <c r="D57" s="50"/>
      <c r="E57" s="50"/>
      <c r="F57" s="51"/>
      <c r="G57" s="3">
        <f t="shared" si="3"/>
        <v>0</v>
      </c>
      <c r="H57" s="50"/>
      <c r="I57" s="50"/>
      <c r="J57" s="50"/>
      <c r="K57" s="52"/>
      <c r="L57" s="56">
        <f>IFERROR(VLOOKUP(A57,Forecast!B27:N60,13,0),0)</f>
        <v>2758.1230357484228</v>
      </c>
      <c r="M57" s="50"/>
      <c r="N57" s="49"/>
      <c r="O57" s="49" t="str">
        <f>IFERROR(VLOOKUP(TEXT(A57,"DD/MM/AAAA")&amp;"NE - SEPARAÇÃO - Pedidos B2C",BASE!$A:$D,4,0),"")</f>
        <v/>
      </c>
      <c r="P57" s="50"/>
      <c r="Q57" s="53"/>
      <c r="R57" s="68"/>
      <c r="S57" s="68"/>
      <c r="T57" s="67"/>
      <c r="U57" s="67"/>
      <c r="V57" s="67"/>
      <c r="W57" s="100">
        <f>IFERROR(VLOOKUP(A57,Forecast!B27:O59,14,0),0)</f>
        <v>216.91904801119986</v>
      </c>
      <c r="X57" s="50"/>
      <c r="Y57" s="50"/>
      <c r="Z57" s="50" t="str">
        <f>IFERROR(VLOOKUP(TEXT(A57,"DD/MM/AAAA")&amp;"NE - SEPARAÇÃO - Pedidos B2B",BASE!$A:$D,4,0),"")</f>
        <v/>
      </c>
      <c r="AA57" s="50"/>
      <c r="AB57" s="53"/>
      <c r="AC57" s="144">
        <v>7</v>
      </c>
      <c r="AD57" s="144" t="str">
        <f>IFERROR(VLOOKUP(TEXT(A57,"DD/MM/AAAA")&amp;"NE - EXPEDICAO - Abastecimento Boutiques",BASE!$A:$D,4,0),"")</f>
        <v/>
      </c>
      <c r="AE57" s="144" t="str">
        <f>IFERROR(VLOOKUP(TEXT(B57,"DD/MM/AAAA")&amp;"NE - EXPEDICAO - Abastecimento Boutiques",BASE!$A:$D,4,0),"")</f>
        <v/>
      </c>
      <c r="AF57" s="146"/>
      <c r="AG57" s="5"/>
      <c r="AH57" s="58">
        <v>18</v>
      </c>
      <c r="AI57" s="88" t="str">
        <f>IFERROR(VLOOKUP(TEXT(A57,"DD/MM/AAAA")&amp;"NE - EXPEDICAO - Custo Unitário por pallet separado Outros CDs",BASE!$A:$D,4,0),"")</f>
        <v/>
      </c>
      <c r="AJ57" s="16"/>
      <c r="AK57" s="205">
        <v>689.66666666666663</v>
      </c>
      <c r="AL57" s="49" t="str">
        <f>IFERROR(VLOOKUP(TEXT(A57,"DD/MM/AAAA")&amp;"NE - SEPARAÇÃO - Trade Acessórios",BASE!$A:$D,4,0),"")</f>
        <v/>
      </c>
      <c r="AM57" s="12" t="str">
        <f>IFERROR(VLOOKUP(TEXT(A57,"DD/MM/AAAA")&amp;"NE - SEPARAÇÃO - Trade Café",BASE!$A:$D,4,0),"")</f>
        <v/>
      </c>
      <c r="AN57" s="49" t="str">
        <f>IFERROR(VLOOKUP(TEXT(A57,"DD/MM/AAAA")&amp;"NE - SEPARAÇÃO - Trade maquinas",BASE!$A:$D,4,0),"")</f>
        <v/>
      </c>
      <c r="AO57" s="49">
        <f t="shared" si="4"/>
        <v>0</v>
      </c>
      <c r="AP57" s="5"/>
      <c r="AQ57" s="49">
        <v>2</v>
      </c>
      <c r="AR57" s="49" t="str">
        <f>IFERROR(VLOOKUP(TEXT(A56,"DD/MM/AAAA")&amp;"NE - SEPARAÇÃO - Custo Unitário por pallet separado (Agents B2B / POSM Trade)",BASE!$A:$D,4,0),"")</f>
        <v/>
      </c>
      <c r="AS57" s="149"/>
      <c r="AT57" s="205"/>
      <c r="AU57" s="2"/>
      <c r="AV57" s="5"/>
      <c r="AW57" s="2"/>
      <c r="AX57" s="2"/>
      <c r="AY57" s="5"/>
      <c r="AZ57" s="2"/>
      <c r="BA57" s="2"/>
      <c r="BB57" s="5"/>
      <c r="BC57" s="2"/>
      <c r="BD57" s="2"/>
      <c r="BE57" s="5"/>
      <c r="BF57" s="2"/>
      <c r="BG57" s="2"/>
      <c r="BH57" s="5"/>
      <c r="BI57" s="2"/>
      <c r="BJ57" s="2"/>
      <c r="BK57" s="5"/>
      <c r="BL57" s="105"/>
      <c r="BM57" s="105"/>
      <c r="BN57" s="5"/>
    </row>
    <row r="58" spans="1:74" s="1" customFormat="1" x14ac:dyDescent="0.25">
      <c r="A58" s="69">
        <v>45495</v>
      </c>
      <c r="B58" s="50" t="str">
        <f t="shared" si="2"/>
        <v>W30</v>
      </c>
      <c r="C58" s="50" t="str" cm="1">
        <f t="array" ref="C58">_xlfn.IFS(WEEKDAY(A58)=2,"Seg",WEEKDAY(A58)=3,"Ter",WEEKDAY(A58)=4,"Qua",WEEKDAY(A58)=5,"Qui",WEEKDAY(A58)=6,"Sex",WEEKDAY(A58)=7,"Sab",WEEKDAY(A58)=1,"Dom")</f>
        <v>Seg</v>
      </c>
      <c r="D58" s="50"/>
      <c r="E58" s="50"/>
      <c r="F58" s="51">
        <v>117</v>
      </c>
      <c r="G58" s="3">
        <f t="shared" si="3"/>
        <v>0</v>
      </c>
      <c r="H58" s="50"/>
      <c r="I58" s="50"/>
      <c r="J58" s="50"/>
      <c r="K58" s="52"/>
      <c r="L58" s="56">
        <f>IFERROR(VLOOKUP(A58,Forecast!B28:N61,13,0),0)</f>
        <v>2574.9514433186773</v>
      </c>
      <c r="M58" s="50"/>
      <c r="N58" s="49"/>
      <c r="O58" s="49" t="str">
        <f>IFERROR(VLOOKUP(TEXT(A58,"DD/MM/AAAA")&amp;"NE - SEPARAÇÃO - Pedidos B2C",BASE!$A:$D,4,0),"")</f>
        <v/>
      </c>
      <c r="P58" s="50"/>
      <c r="Q58" s="53"/>
      <c r="R58" s="68"/>
      <c r="S58" s="68"/>
      <c r="T58" s="67"/>
      <c r="U58" s="67"/>
      <c r="V58" s="67"/>
      <c r="W58" s="100">
        <f>IFERROR(VLOOKUP(A58,Forecast!B28:O60,14,0),0)</f>
        <v>153.82821378572018</v>
      </c>
      <c r="X58" s="50"/>
      <c r="Y58" s="50"/>
      <c r="Z58" s="50" t="str">
        <f>IFERROR(VLOOKUP(TEXT(A58,"DD/MM/AAAA")&amp;"NE - SEPARAÇÃO - Pedidos B2B",BASE!$A:$D,4,0),"")</f>
        <v/>
      </c>
      <c r="AA58" s="50"/>
      <c r="AB58" s="53"/>
      <c r="AC58" s="144">
        <v>7</v>
      </c>
      <c r="AD58" s="144" t="str">
        <f>IFERROR(VLOOKUP(TEXT(A58,"DD/MM/AAAA")&amp;"NE - EXPEDICAO - Abastecimento Boutiques",BASE!$A:$D,4,0),"")</f>
        <v/>
      </c>
      <c r="AE58" s="144" t="str">
        <f>IFERROR(VLOOKUP(TEXT(B58,"DD/MM/AAAA")&amp;"NE - EXPEDICAO - Abastecimento Boutiques",BASE!$A:$D,4,0),"")</f>
        <v/>
      </c>
      <c r="AF58" s="146"/>
      <c r="AG58" s="5"/>
      <c r="AH58" s="58">
        <v>18</v>
      </c>
      <c r="AI58" s="88" t="str">
        <f>IFERROR(VLOOKUP(TEXT(A58,"DD/MM/AAAA")&amp;"NE - EXPEDICAO - Custo Unitário por pallet separado Outros CDs",BASE!$A:$D,4,0),"")</f>
        <v/>
      </c>
      <c r="AJ58" s="16"/>
      <c r="AK58" s="205">
        <v>689.66666666666663</v>
      </c>
      <c r="AL58" s="49" t="str">
        <f>IFERROR(VLOOKUP(TEXT(A58,"DD/MM/AAAA")&amp;"NE - SEPARAÇÃO - Trade Acessórios",BASE!$A:$D,4,0),"")</f>
        <v/>
      </c>
      <c r="AM58" s="12" t="str">
        <f>IFERROR(VLOOKUP(TEXT(A58,"DD/MM/AAAA")&amp;"NE - SEPARAÇÃO - Trade Café",BASE!$A:$D,4,0),"")</f>
        <v/>
      </c>
      <c r="AN58" s="49" t="str">
        <f>IFERROR(VLOOKUP(TEXT(A58,"DD/MM/AAAA")&amp;"NE - SEPARAÇÃO - Trade maquinas",BASE!$A:$D,4,0),"")</f>
        <v/>
      </c>
      <c r="AO58" s="49">
        <f t="shared" si="4"/>
        <v>0</v>
      </c>
      <c r="AP58" s="5"/>
      <c r="AQ58" s="49">
        <v>2</v>
      </c>
      <c r="AR58" s="49" t="str">
        <f>IFERROR(VLOOKUP(TEXT(A57,"DD/MM/AAAA")&amp;"NE - SEPARAÇÃO - Custo Unitário por pallet separado (Agents B2B / POSM Trade)",BASE!$A:$D,4,0),"")</f>
        <v/>
      </c>
      <c r="AS58" s="149"/>
      <c r="AT58" s="2">
        <v>857.13043478260875</v>
      </c>
      <c r="AU58" s="2"/>
      <c r="AV58" s="106"/>
      <c r="AW58" s="2">
        <v>99.304347826086953</v>
      </c>
      <c r="AX58" s="2"/>
      <c r="AY58" s="5"/>
      <c r="AZ58" s="2">
        <v>151.86956521739131</v>
      </c>
      <c r="BB58" s="5"/>
      <c r="BC58" s="2">
        <v>21.739130434782609</v>
      </c>
      <c r="BD58" s="2"/>
      <c r="BE58" s="5"/>
      <c r="BF58" s="2">
        <v>392.69565217391306</v>
      </c>
      <c r="BG58" s="2"/>
      <c r="BH58" s="5"/>
      <c r="BI58" s="2">
        <v>76.565217391304344</v>
      </c>
      <c r="BJ58" s="2"/>
      <c r="BK58" s="5"/>
      <c r="BL58" s="105">
        <v>8</v>
      </c>
      <c r="BM58" s="105"/>
      <c r="BN58" s="5"/>
    </row>
    <row r="59" spans="1:74" s="1" customFormat="1" x14ac:dyDescent="0.25">
      <c r="A59" s="69">
        <v>45496</v>
      </c>
      <c r="B59" s="50" t="str">
        <f t="shared" si="2"/>
        <v>W30</v>
      </c>
      <c r="C59" s="50" t="str" cm="1">
        <f t="array" ref="C59">_xlfn.IFS(WEEKDAY(A59)=2,"Seg",WEEKDAY(A59)=3,"Ter",WEEKDAY(A59)=4,"Qua",WEEKDAY(A59)=5,"Qui",WEEKDAY(A59)=6,"Sex",WEEKDAY(A59)=7,"Sab",WEEKDAY(A59)=1,"Dom")</f>
        <v>Ter</v>
      </c>
      <c r="D59" s="50"/>
      <c r="E59" s="50"/>
      <c r="F59" s="51">
        <v>117</v>
      </c>
      <c r="G59" s="3">
        <f t="shared" si="3"/>
        <v>0</v>
      </c>
      <c r="H59" s="50"/>
      <c r="I59" s="50"/>
      <c r="J59" s="50"/>
      <c r="K59" s="52"/>
      <c r="L59" s="56">
        <f>IFERROR(VLOOKUP(A59,Forecast!B29:N62,13,0),0)</f>
        <v>2746.6148728732555</v>
      </c>
      <c r="M59" s="50"/>
      <c r="N59" s="49"/>
      <c r="O59" s="49" t="str">
        <f>IFERROR(VLOOKUP(TEXT(A59,"DD/MM/AAAA")&amp;"NE - SEPARAÇÃO - Pedidos B2C",BASE!$A:$D,4,0),"")</f>
        <v/>
      </c>
      <c r="P59" s="50"/>
      <c r="Q59" s="53"/>
      <c r="R59" s="68"/>
      <c r="S59" s="68"/>
      <c r="T59" s="67"/>
      <c r="U59" s="67"/>
      <c r="V59" s="67"/>
      <c r="W59" s="100">
        <f>IFERROR(VLOOKUP(A59,Forecast!B29:O61,14,0),0)</f>
        <v>367.20283290784812</v>
      </c>
      <c r="X59" s="50"/>
      <c r="Y59" s="50"/>
      <c r="Z59" s="50" t="str">
        <f>IFERROR(VLOOKUP(TEXT(A59,"DD/MM/AAAA")&amp;"NE - SEPARAÇÃO - Pedidos B2B",BASE!$A:$D,4,0),"")</f>
        <v/>
      </c>
      <c r="AA59" s="50"/>
      <c r="AB59" s="53"/>
      <c r="AC59" s="144">
        <v>7</v>
      </c>
      <c r="AD59" s="144" t="str">
        <f>IFERROR(VLOOKUP(TEXT(A59,"DD/MM/AAAA")&amp;"NE - EXPEDICAO - Abastecimento Boutiques",BASE!$A:$D,4,0),"")</f>
        <v/>
      </c>
      <c r="AE59" s="144" t="str">
        <f>IFERROR(VLOOKUP(TEXT(B59,"DD/MM/AAAA")&amp;"NE - EXPEDICAO - Abastecimento Boutiques",BASE!$A:$D,4,0),"")</f>
        <v/>
      </c>
      <c r="AF59" s="146"/>
      <c r="AG59" s="5"/>
      <c r="AH59" s="58">
        <v>18</v>
      </c>
      <c r="AI59" s="88" t="str">
        <f>IFERROR(VLOOKUP(TEXT(A59,"DD/MM/AAAA")&amp;"NE - EXPEDICAO - Custo Unitário por pallet separado Outros CDs",BASE!$A:$D,4,0),"")</f>
        <v/>
      </c>
      <c r="AJ59" s="16"/>
      <c r="AK59" s="205">
        <v>689.66666666666663</v>
      </c>
      <c r="AL59" s="49" t="str">
        <f>IFERROR(VLOOKUP(TEXT(A59,"DD/MM/AAAA")&amp;"NE - SEPARAÇÃO - Trade Acessórios",BASE!$A:$D,4,0),"")</f>
        <v/>
      </c>
      <c r="AM59" s="12" t="str">
        <f>IFERROR(VLOOKUP(TEXT(A59,"DD/MM/AAAA")&amp;"NE - SEPARAÇÃO - Trade Café",BASE!$A:$D,4,0),"")</f>
        <v/>
      </c>
      <c r="AN59" s="49" t="str">
        <f>IFERROR(VLOOKUP(TEXT(A59,"DD/MM/AAAA")&amp;"NE - SEPARAÇÃO - Trade maquinas",BASE!$A:$D,4,0),"")</f>
        <v/>
      </c>
      <c r="AO59" s="49">
        <f t="shared" si="4"/>
        <v>0</v>
      </c>
      <c r="AP59" s="5"/>
      <c r="AQ59" s="49">
        <v>2</v>
      </c>
      <c r="AR59" s="49" t="str">
        <f>IFERROR(VLOOKUP(TEXT(A58,"DD/MM/AAAA")&amp;"NE - SEPARAÇÃO - Custo Unitário por pallet separado (Agents B2B / POSM Trade)",BASE!$A:$D,4,0),"")</f>
        <v/>
      </c>
      <c r="AS59" s="149"/>
      <c r="AT59" s="2">
        <v>857.13043478260875</v>
      </c>
      <c r="AU59" s="2"/>
      <c r="AV59" s="5"/>
      <c r="AW59" s="2">
        <v>99.304347826086953</v>
      </c>
      <c r="AX59" s="2"/>
      <c r="AY59" s="5"/>
      <c r="AZ59" s="2">
        <v>151.86956521739131</v>
      </c>
      <c r="BA59" s="2"/>
      <c r="BB59" s="5"/>
      <c r="BC59" s="2">
        <v>21.739130434782609</v>
      </c>
      <c r="BD59" s="2"/>
      <c r="BE59" s="5"/>
      <c r="BF59" s="2">
        <v>392.69565217391306</v>
      </c>
      <c r="BG59" s="2"/>
      <c r="BH59" s="5"/>
      <c r="BI59" s="2">
        <v>76.565217391304344</v>
      </c>
      <c r="BJ59" s="2"/>
      <c r="BK59" s="5"/>
      <c r="BL59" s="105">
        <v>8</v>
      </c>
      <c r="BM59" s="105"/>
      <c r="BN59" s="5"/>
    </row>
    <row r="60" spans="1:74" s="1" customFormat="1" x14ac:dyDescent="0.25">
      <c r="A60" s="69">
        <v>45497</v>
      </c>
      <c r="B60" s="50" t="str">
        <f t="shared" si="2"/>
        <v>W30</v>
      </c>
      <c r="C60" s="50" t="str" cm="1">
        <f t="array" ref="C60">_xlfn.IFS(WEEKDAY(A60)=2,"Seg",WEEKDAY(A60)=3,"Ter",WEEKDAY(A60)=4,"Qua",WEEKDAY(A60)=5,"Qui",WEEKDAY(A60)=6,"Sex",WEEKDAY(A60)=7,"Sab",WEEKDAY(A60)=1,"Dom")</f>
        <v>Qua</v>
      </c>
      <c r="D60" s="50"/>
      <c r="E60" s="50"/>
      <c r="F60" s="51">
        <v>117</v>
      </c>
      <c r="G60" s="3">
        <f t="shared" si="3"/>
        <v>0</v>
      </c>
      <c r="H60" s="50"/>
      <c r="I60" s="50"/>
      <c r="J60" s="50"/>
      <c r="K60" s="52"/>
      <c r="L60" s="56">
        <f>IFERROR(VLOOKUP(A60,Forecast!B30:N63,13,0),0)</f>
        <v>2384.1077423054862</v>
      </c>
      <c r="M60" s="50"/>
      <c r="N60" s="49"/>
      <c r="O60" s="49" t="str">
        <f>IFERROR(VLOOKUP(TEXT(A60,"DD/MM/AAAA")&amp;"NE - SEPARAÇÃO - Pedidos B2C",BASE!$A:$D,4,0),"")</f>
        <v/>
      </c>
      <c r="P60" s="50"/>
      <c r="Q60" s="53"/>
      <c r="R60" s="68"/>
      <c r="S60" s="68"/>
      <c r="T60" s="67"/>
      <c r="U60" s="67"/>
      <c r="V60" s="67"/>
      <c r="W60" s="100">
        <f>IFERROR(VLOOKUP(A60,Forecast!B30:O62,14,0),0)</f>
        <v>251.65445112410441</v>
      </c>
      <c r="X60" s="50"/>
      <c r="Y60" s="50"/>
      <c r="Z60" s="50" t="str">
        <f>IFERROR(VLOOKUP(TEXT(A60,"DD/MM/AAAA")&amp;"NE - SEPARAÇÃO - Pedidos B2B",BASE!$A:$D,4,0),"")</f>
        <v/>
      </c>
      <c r="AA60" s="50"/>
      <c r="AB60" s="53"/>
      <c r="AC60" s="144">
        <v>7</v>
      </c>
      <c r="AD60" s="144" t="str">
        <f>IFERROR(VLOOKUP(TEXT(A60,"DD/MM/AAAA")&amp;"NE - EXPEDICAO - Abastecimento Boutiques",BASE!$A:$D,4,0),"")</f>
        <v/>
      </c>
      <c r="AE60" s="144" t="str">
        <f>IFERROR(VLOOKUP(TEXT(B60,"DD/MM/AAAA")&amp;"NE - EXPEDICAO - Abastecimento Boutiques",BASE!$A:$D,4,0),"")</f>
        <v/>
      </c>
      <c r="AF60" s="146"/>
      <c r="AG60" s="5"/>
      <c r="AH60" s="58">
        <v>18</v>
      </c>
      <c r="AI60" s="88" t="str">
        <f>IFERROR(VLOOKUP(TEXT(A60,"DD/MM/AAAA")&amp;"NE - EXPEDICAO - Custo Unitário por pallet separado Outros CDs",BASE!$A:$D,4,0),"")</f>
        <v/>
      </c>
      <c r="AJ60" s="16"/>
      <c r="AK60" s="205">
        <v>689.66666666666663</v>
      </c>
      <c r="AL60" s="49" t="str">
        <f>IFERROR(VLOOKUP(TEXT(A60,"DD/MM/AAAA")&amp;"NE - SEPARAÇÃO - Trade Acessórios",BASE!$A:$D,4,0),"")</f>
        <v/>
      </c>
      <c r="AM60" s="12" t="str">
        <f>IFERROR(VLOOKUP(TEXT(A60,"DD/MM/AAAA")&amp;"NE - SEPARAÇÃO - Trade Café",BASE!$A:$D,4,0),"")</f>
        <v/>
      </c>
      <c r="AN60" s="49" t="str">
        <f>IFERROR(VLOOKUP(TEXT(A60,"DD/MM/AAAA")&amp;"NE - SEPARAÇÃO - Trade maquinas",BASE!$A:$D,4,0),"")</f>
        <v/>
      </c>
      <c r="AO60" s="49">
        <f t="shared" si="4"/>
        <v>0</v>
      </c>
      <c r="AP60" s="5"/>
      <c r="AQ60" s="49">
        <v>2</v>
      </c>
      <c r="AR60" s="49" t="str">
        <f>IFERROR(VLOOKUP(TEXT(A59,"DD/MM/AAAA")&amp;"NE - SEPARAÇÃO - Custo Unitário por pallet separado (Agents B2B / POSM Trade)",BASE!$A:$D,4,0),"")</f>
        <v/>
      </c>
      <c r="AS60" s="149"/>
      <c r="AT60" s="2">
        <v>857.13043478260875</v>
      </c>
      <c r="AV60" s="5"/>
      <c r="AW60" s="2">
        <v>99.304347826086953</v>
      </c>
      <c r="AX60"/>
      <c r="AY60" s="5"/>
      <c r="AZ60" s="2">
        <v>151.86956521739131</v>
      </c>
      <c r="BA60" s="2"/>
      <c r="BB60" s="5"/>
      <c r="BC60" s="2">
        <v>21.739130434782609</v>
      </c>
      <c r="BD60" s="2"/>
      <c r="BE60" s="5"/>
      <c r="BF60" s="2">
        <v>392.69565217391306</v>
      </c>
      <c r="BG60" s="2"/>
      <c r="BH60" s="5"/>
      <c r="BI60" s="2">
        <v>76.565217391304344</v>
      </c>
      <c r="BJ60" s="2"/>
      <c r="BK60" s="5"/>
      <c r="BL60" s="105">
        <v>8</v>
      </c>
      <c r="BM60" s="105"/>
      <c r="BN60" s="5"/>
    </row>
    <row r="61" spans="1:74" s="1" customFormat="1" x14ac:dyDescent="0.25">
      <c r="A61" s="69">
        <v>45498</v>
      </c>
      <c r="B61" s="50" t="str">
        <f t="shared" si="2"/>
        <v>W30</v>
      </c>
      <c r="C61" s="50" t="str" cm="1">
        <f t="array" ref="C61">_xlfn.IFS(WEEKDAY(A61)=2,"Seg",WEEKDAY(A61)=3,"Ter",WEEKDAY(A61)=4,"Qua",WEEKDAY(A61)=5,"Qui",WEEKDAY(A61)=6,"Sex",WEEKDAY(A61)=7,"Sab",WEEKDAY(A61)=1,"Dom")</f>
        <v>Qui</v>
      </c>
      <c r="D61" s="50"/>
      <c r="E61" s="50"/>
      <c r="F61" s="51">
        <v>117</v>
      </c>
      <c r="G61" s="3">
        <f t="shared" si="3"/>
        <v>0</v>
      </c>
      <c r="H61" s="50"/>
      <c r="I61" s="50"/>
      <c r="J61" s="50"/>
      <c r="K61" s="52"/>
      <c r="L61" s="56">
        <f>IFERROR(VLOOKUP(A61,Forecast!B31:N64,13,0),0)</f>
        <v>2569.1973618810935</v>
      </c>
      <c r="M61" s="50"/>
      <c r="N61" s="49"/>
      <c r="O61" s="49" t="str">
        <f>IFERROR(VLOOKUP(TEXT(A61,"DD/MM/AAAA")&amp;"NE - SEPARAÇÃO - Pedidos B2C",BASE!$A:$D,4,0),"")</f>
        <v/>
      </c>
      <c r="P61" s="50"/>
      <c r="Q61" s="53"/>
      <c r="R61" s="68"/>
      <c r="S61" s="68"/>
      <c r="T61" s="67"/>
      <c r="U61" s="67"/>
      <c r="V61" s="67"/>
      <c r="W61" s="100">
        <f>IFERROR(VLOOKUP(A61,Forecast!B31:O63,14,0),0)</f>
        <v>303.40311290455406</v>
      </c>
      <c r="X61" s="50"/>
      <c r="Y61" s="50"/>
      <c r="Z61" s="50" t="str">
        <f>IFERROR(VLOOKUP(TEXT(A61,"DD/MM/AAAA")&amp;"NE - SEPARAÇÃO - Pedidos B2B",BASE!$A:$D,4,0),"")</f>
        <v/>
      </c>
      <c r="AA61" s="50"/>
      <c r="AB61" s="53"/>
      <c r="AC61" s="144">
        <v>8</v>
      </c>
      <c r="AD61" s="144" t="str">
        <f>IFERROR(VLOOKUP(TEXT(A61,"DD/MM/AAAA")&amp;"NE - EXPEDICAO - Abastecimento Boutiques",BASE!$A:$D,4,0),"")</f>
        <v/>
      </c>
      <c r="AE61" s="144" t="str">
        <f>IFERROR(VLOOKUP(TEXT(B61,"DD/MM/AAAA")&amp;"NE - EXPEDICAO - Abastecimento Boutiques",BASE!$A:$D,4,0),"")</f>
        <v/>
      </c>
      <c r="AF61" s="146"/>
      <c r="AG61" s="117"/>
      <c r="AH61" s="58">
        <v>18</v>
      </c>
      <c r="AI61" s="88" t="str">
        <f>IFERROR(VLOOKUP(TEXT(A61,"DD/MM/AAAA")&amp;"NE - EXPEDICAO - Custo Unitário por pallet separado Outros CDs",BASE!$A:$D,4,0),"")</f>
        <v/>
      </c>
      <c r="AJ61" s="16"/>
      <c r="AK61" s="205">
        <v>689.66666666666663</v>
      </c>
      <c r="AL61" s="49" t="str">
        <f>IFERROR(VLOOKUP(TEXT(A61,"DD/MM/AAAA")&amp;"NE - SEPARAÇÃO - Trade Acessórios",BASE!$A:$D,4,0),"")</f>
        <v/>
      </c>
      <c r="AM61" s="12" t="str">
        <f>IFERROR(VLOOKUP(TEXT(A61,"DD/MM/AAAA")&amp;"NE - SEPARAÇÃO - Trade Café",BASE!$A:$D,4,0),"")</f>
        <v/>
      </c>
      <c r="AN61" s="49" t="str">
        <f>IFERROR(VLOOKUP(TEXT(A61,"DD/MM/AAAA")&amp;"NE - SEPARAÇÃO - Trade maquinas",BASE!$A:$D,4,0),"")</f>
        <v/>
      </c>
      <c r="AO61" s="49">
        <f t="shared" si="4"/>
        <v>0</v>
      </c>
      <c r="AP61" s="5"/>
      <c r="AQ61" s="49">
        <v>3</v>
      </c>
      <c r="AR61" s="49" t="str">
        <f>IFERROR(VLOOKUP(TEXT(A60,"DD/MM/AAAA")&amp;"NE - SEPARAÇÃO - Custo Unitário por pallet separado (Agents B2B / POSM Trade)",BASE!$A:$D,4,0),"")</f>
        <v/>
      </c>
      <c r="AS61" s="149"/>
      <c r="AT61" s="2">
        <v>857.13043478260875</v>
      </c>
      <c r="AV61" s="5"/>
      <c r="AW61" s="2">
        <v>99.304347826086953</v>
      </c>
      <c r="AX61" s="2"/>
      <c r="AY61" s="5"/>
      <c r="AZ61" s="2">
        <v>151.86956521739131</v>
      </c>
      <c r="BA61" s="2"/>
      <c r="BB61" s="5"/>
      <c r="BC61" s="2">
        <v>21.739130434782609</v>
      </c>
      <c r="BD61" s="2"/>
      <c r="BE61" s="5"/>
      <c r="BF61" s="2">
        <v>392.69565217391306</v>
      </c>
      <c r="BG61" s="2"/>
      <c r="BH61" s="5"/>
      <c r="BI61" s="2">
        <v>76.565217391304344</v>
      </c>
      <c r="BJ61" s="2"/>
      <c r="BK61" s="5"/>
      <c r="BL61" s="105">
        <v>8</v>
      </c>
      <c r="BM61" s="105"/>
      <c r="BN61" s="5"/>
    </row>
    <row r="62" spans="1:74" s="1" customFormat="1" x14ac:dyDescent="0.25">
      <c r="A62" s="69">
        <v>45499</v>
      </c>
      <c r="B62" s="50" t="str">
        <f t="shared" si="2"/>
        <v>W30</v>
      </c>
      <c r="C62" s="50" t="str" cm="1">
        <f t="array" ref="C62">_xlfn.IFS(WEEKDAY(A62)=2,"Seg",WEEKDAY(A62)=3,"Ter",WEEKDAY(A62)=4,"Qua",WEEKDAY(A62)=5,"Qui",WEEKDAY(A62)=6,"Sex",WEEKDAY(A62)=7,"Sab",WEEKDAY(A62)=1,"Dom")</f>
        <v>Sex</v>
      </c>
      <c r="D62" s="50"/>
      <c r="E62" s="50"/>
      <c r="F62" s="51">
        <v>117</v>
      </c>
      <c r="G62" s="3">
        <f t="shared" si="3"/>
        <v>0</v>
      </c>
      <c r="H62" s="50"/>
      <c r="I62" s="50"/>
      <c r="J62" s="50"/>
      <c r="K62" s="52"/>
      <c r="L62" s="56">
        <f>IFERROR(VLOOKUP(A62,Forecast!B32:N65,13,0),0)</f>
        <v>2227.7885299177979</v>
      </c>
      <c r="M62" s="50"/>
      <c r="N62" s="49"/>
      <c r="O62" s="49" t="str">
        <f>IFERROR(VLOOKUP(TEXT(A62,"DD/MM/AAAA")&amp;"NE - SEPARAÇÃO - Pedidos B2C",BASE!$A:$D,4,0),"")</f>
        <v/>
      </c>
      <c r="P62" s="50"/>
      <c r="Q62" s="53"/>
      <c r="R62" s="68"/>
      <c r="S62" s="68"/>
      <c r="T62" s="67"/>
      <c r="U62" s="67"/>
      <c r="V62" s="67"/>
      <c r="W62" s="100">
        <f>IFERROR(VLOOKUP(A62,Forecast!B32:O64,14,0),0)</f>
        <v>277.88322490323645</v>
      </c>
      <c r="X62" s="50"/>
      <c r="Y62" s="50"/>
      <c r="Z62" s="50" t="str">
        <f>IFERROR(VLOOKUP(TEXT(A62,"DD/MM/AAAA")&amp;"NE - SEPARAÇÃO - Pedidos B2B",BASE!$A:$D,4,0),"")</f>
        <v/>
      </c>
      <c r="AA62" s="50"/>
      <c r="AB62" s="53"/>
      <c r="AC62" s="144">
        <v>8</v>
      </c>
      <c r="AD62" s="144" t="str">
        <f>IFERROR(VLOOKUP(TEXT(A62,"DD/MM/AAAA")&amp;"NE - EXPEDICAO - Abastecimento Boutiques",BASE!$A:$D,4,0),"")</f>
        <v/>
      </c>
      <c r="AE62" s="144" t="str">
        <f>IFERROR(VLOOKUP(TEXT(B62,"DD/MM/AAAA")&amp;"NE - EXPEDICAO - Abastecimento Boutiques",BASE!$A:$D,4,0),"")</f>
        <v/>
      </c>
      <c r="AF62" s="146"/>
      <c r="AG62" s="5"/>
      <c r="AH62" s="58">
        <v>18</v>
      </c>
      <c r="AI62" s="88" t="str">
        <f>IFERROR(VLOOKUP(TEXT(A62,"DD/MM/AAAA")&amp;"NE - EXPEDICAO - Custo Unitário por pallet separado Outros CDs",BASE!$A:$D,4,0),"")</f>
        <v/>
      </c>
      <c r="AJ62" s="16"/>
      <c r="AK62" s="205">
        <v>689.66666666666663</v>
      </c>
      <c r="AL62" s="49" t="str">
        <f>IFERROR(VLOOKUP(TEXT(A62,"DD/MM/AAAA")&amp;"NE - SEPARAÇÃO - Trade Acessórios",BASE!$A:$D,4,0),"")</f>
        <v/>
      </c>
      <c r="AM62" s="12" t="str">
        <f>IFERROR(VLOOKUP(TEXT(A62,"DD/MM/AAAA")&amp;"NE - SEPARAÇÃO - Trade Café",BASE!$A:$D,4,0),"")</f>
        <v/>
      </c>
      <c r="AN62" s="49" t="str">
        <f>IFERROR(VLOOKUP(TEXT(A62,"DD/MM/AAAA")&amp;"NE - SEPARAÇÃO - Trade maquinas",BASE!$A:$D,4,0),"")</f>
        <v/>
      </c>
      <c r="AO62" s="49">
        <f t="shared" si="4"/>
        <v>0</v>
      </c>
      <c r="AP62" s="5"/>
      <c r="AQ62" s="49">
        <v>3</v>
      </c>
      <c r="AR62" s="49" t="str">
        <f>IFERROR(VLOOKUP(TEXT(A61,"DD/MM/AAAA")&amp;"NE - SEPARAÇÃO - Custo Unitário por pallet separado (Agents B2B / POSM Trade)",BASE!$A:$D,4,0),"")</f>
        <v/>
      </c>
      <c r="AS62" s="149"/>
      <c r="AT62" s="2">
        <v>857.13043478260875</v>
      </c>
      <c r="AU62" s="2"/>
      <c r="AV62" s="5"/>
      <c r="AW62" s="2">
        <v>99.304347826086953</v>
      </c>
      <c r="AX62" s="2"/>
      <c r="AY62" s="5"/>
      <c r="AZ62" s="2">
        <v>151.86956521739131</v>
      </c>
      <c r="BA62" s="2"/>
      <c r="BB62" s="5"/>
      <c r="BC62" s="2">
        <v>21.739130434782609</v>
      </c>
      <c r="BD62" s="2"/>
      <c r="BE62" s="5"/>
      <c r="BF62" s="2">
        <v>392.69565217391306</v>
      </c>
      <c r="BG62" s="2"/>
      <c r="BH62" s="5"/>
      <c r="BI62" s="2">
        <v>76.565217391304344</v>
      </c>
      <c r="BJ62" s="2"/>
      <c r="BK62" s="5"/>
      <c r="BL62" s="105">
        <v>8</v>
      </c>
      <c r="BM62" s="105"/>
      <c r="BN62" s="5"/>
    </row>
    <row r="63" spans="1:74" s="1" customFormat="1" x14ac:dyDescent="0.25">
      <c r="A63" s="69">
        <v>45500</v>
      </c>
      <c r="B63" s="50" t="str">
        <f t="shared" si="2"/>
        <v>W30</v>
      </c>
      <c r="C63" s="50" t="str" cm="1">
        <f t="array" ref="C63">_xlfn.IFS(WEEKDAY(A63)=2,"Seg",WEEKDAY(A63)=3,"Ter",WEEKDAY(A63)=4,"Qua",WEEKDAY(A63)=5,"Qui",WEEKDAY(A63)=6,"Sex",WEEKDAY(A63)=7,"Sab",WEEKDAY(A63)=1,"Dom")</f>
        <v>Sab</v>
      </c>
      <c r="D63" s="50"/>
      <c r="E63" s="50"/>
      <c r="F63" s="51"/>
      <c r="G63" s="3">
        <f t="shared" si="3"/>
        <v>0</v>
      </c>
      <c r="H63" s="50"/>
      <c r="I63" s="50"/>
      <c r="J63" s="50"/>
      <c r="K63" s="52"/>
      <c r="L63" s="56">
        <f>IFERROR(VLOOKUP(A63,Forecast!B33:N66,13,0),0)</f>
        <v>0</v>
      </c>
      <c r="M63" s="50"/>
      <c r="N63" s="49"/>
      <c r="O63" s="49" t="str">
        <f>IFERROR(VLOOKUP(TEXT(A63,"DD/MM/AAAA")&amp;"NE - SEPARAÇÃO - Pedidos B2C",BASE!$A:$D,4,0),"")</f>
        <v/>
      </c>
      <c r="P63" s="50"/>
      <c r="Q63" s="53"/>
      <c r="R63" s="68"/>
      <c r="S63" s="68"/>
      <c r="T63" s="67"/>
      <c r="U63" s="67"/>
      <c r="V63" s="67"/>
      <c r="W63" s="100">
        <f>IFERROR(VLOOKUP(A63,Forecast!B33:O65,14,0),0)</f>
        <v>0</v>
      </c>
      <c r="X63" s="50"/>
      <c r="Y63" s="50"/>
      <c r="Z63" s="50" t="str">
        <f>IFERROR(VLOOKUP(TEXT(A63,"DD/MM/AAAA")&amp;"NE - SEPARAÇÃO - Pedidos B2B",BASE!$A:$D,4,0),"")</f>
        <v/>
      </c>
      <c r="AA63" s="50"/>
      <c r="AB63" s="53"/>
      <c r="AC63" s="144"/>
      <c r="AD63" s="144" t="str">
        <f>IFERROR(VLOOKUP(TEXT(A63,"DD/MM/AAAA")&amp;"NE - EXPEDICAO - Abastecimento Boutiques",BASE!$A:$D,4,0),"")</f>
        <v/>
      </c>
      <c r="AE63" s="144" t="str">
        <f>IFERROR(VLOOKUP(TEXT(B63,"DD/MM/AAAA")&amp;"NE - EXPEDICAO - Abastecimento Boutiques",BASE!$A:$D,4,0),"")</f>
        <v/>
      </c>
      <c r="AF63" s="146"/>
      <c r="AG63" s="5"/>
      <c r="AH63" s="58"/>
      <c r="AI63" s="88" t="str">
        <f>IFERROR(VLOOKUP(TEXT(A63,"DD/MM/AAAA")&amp;"NE - EXPEDICAO - Custo Unitário por pallet separado Outros CDs",BASE!$A:$D,4,0),"")</f>
        <v/>
      </c>
      <c r="AJ63" s="16"/>
      <c r="AK63" s="205"/>
      <c r="AL63" s="49" t="str">
        <f>IFERROR(VLOOKUP(TEXT(A63,"DD/MM/AAAA")&amp;"NE - SEPARAÇÃO - Trade Acessórios",BASE!$A:$D,4,0),"")</f>
        <v/>
      </c>
      <c r="AM63" s="12" t="str">
        <f>IFERROR(VLOOKUP(TEXT(A63,"DD/MM/AAAA")&amp;"NE - SEPARAÇÃO - Trade Café",BASE!$A:$D,4,0),"")</f>
        <v/>
      </c>
      <c r="AN63" s="49" t="str">
        <f>IFERROR(VLOOKUP(TEXT(A63,"DD/MM/AAAA")&amp;"NE - SEPARAÇÃO - Trade maquinas",BASE!$A:$D,4,0),"")</f>
        <v/>
      </c>
      <c r="AO63" s="49">
        <f t="shared" si="4"/>
        <v>0</v>
      </c>
      <c r="AP63" s="5"/>
      <c r="AQ63" s="49"/>
      <c r="AR63" s="49" t="str">
        <f>IFERROR(VLOOKUP(TEXT(A62,"DD/MM/AAAA")&amp;"NE - SEPARAÇÃO - Custo Unitário por pallet separado (Agents B2B / POSM Trade)",BASE!$A:$D,4,0),"")</f>
        <v/>
      </c>
      <c r="AS63" s="149"/>
      <c r="AT63" s="205"/>
      <c r="AU63" s="2"/>
      <c r="AV63" s="5"/>
      <c r="AW63" s="2"/>
      <c r="AX63" s="2"/>
      <c r="AY63" s="5"/>
      <c r="AZ63" s="2"/>
      <c r="BA63" s="2"/>
      <c r="BB63" s="5"/>
      <c r="BC63" s="2"/>
      <c r="BD63" s="2"/>
      <c r="BE63" s="5"/>
      <c r="BF63" s="2"/>
      <c r="BG63" s="2"/>
      <c r="BH63" s="5"/>
      <c r="BI63" s="2"/>
      <c r="BJ63" s="2"/>
      <c r="BK63" s="114"/>
      <c r="BL63" s="105"/>
      <c r="BM63" s="105"/>
      <c r="BN63" s="5"/>
    </row>
    <row r="64" spans="1:74" s="1" customFormat="1" x14ac:dyDescent="0.25">
      <c r="A64" s="69">
        <v>45501</v>
      </c>
      <c r="B64" s="50" t="str">
        <f t="shared" si="2"/>
        <v>W31</v>
      </c>
      <c r="C64" s="50" t="str" cm="1">
        <f t="array" ref="C64">_xlfn.IFS(WEEKDAY(A64)=2,"Seg",WEEKDAY(A64)=3,"Ter",WEEKDAY(A64)=4,"Qua",WEEKDAY(A64)=5,"Qui",WEEKDAY(A64)=6,"Sex",WEEKDAY(A64)=7,"Sab",WEEKDAY(A64)=1,"Dom")</f>
        <v>Dom</v>
      </c>
      <c r="D64" s="50"/>
      <c r="E64" s="50"/>
      <c r="F64" s="51"/>
      <c r="G64" s="3">
        <f t="shared" si="3"/>
        <v>0</v>
      </c>
      <c r="H64" s="50"/>
      <c r="I64" s="50"/>
      <c r="J64" s="50"/>
      <c r="K64" s="52"/>
      <c r="L64" s="56">
        <f>IFERROR(VLOOKUP(A64,Forecast!B34:N67,13,0),0)</f>
        <v>2547.1400497036898</v>
      </c>
      <c r="M64" s="50"/>
      <c r="N64" s="49"/>
      <c r="O64" s="49" t="str">
        <f>IFERROR(VLOOKUP(TEXT(A64,"DD/MM/AAAA")&amp;"NE - SEPARAÇÃO - Pedidos B2C",BASE!$A:$D,4,0),"")</f>
        <v/>
      </c>
      <c r="P64" s="50"/>
      <c r="Q64" s="53"/>
      <c r="R64" s="68"/>
      <c r="S64" s="68"/>
      <c r="T64" s="67"/>
      <c r="U64" s="67"/>
      <c r="V64" s="67"/>
      <c r="W64" s="100">
        <f>IFERROR(VLOOKUP(A64,Forecast!B34:O66,14,0),0)</f>
        <v>215.50127645557112</v>
      </c>
      <c r="X64" s="50"/>
      <c r="Y64" s="50"/>
      <c r="Z64" s="50" t="str">
        <f>IFERROR(VLOOKUP(TEXT(A64,"DD/MM/AAAA")&amp;"NE - SEPARAÇÃO - Pedidos B2B",BASE!$A:$D,4,0),"")</f>
        <v/>
      </c>
      <c r="AA64" s="50"/>
      <c r="AB64" s="53"/>
      <c r="AC64" s="144">
        <v>8</v>
      </c>
      <c r="AD64" s="144" t="str">
        <f>IFERROR(VLOOKUP(TEXT(A64,"DD/MM/AAAA")&amp;"NE - EXPEDICAO - Abastecimento Boutiques",BASE!$A:$D,4,0),"")</f>
        <v/>
      </c>
      <c r="AE64" s="144" t="str">
        <f>IFERROR(VLOOKUP(TEXT(B64,"DD/MM/AAAA")&amp;"NE - EXPEDICAO - Abastecimento Boutiques",BASE!$A:$D,4,0),"")</f>
        <v/>
      </c>
      <c r="AF64" s="146"/>
      <c r="AG64" s="5"/>
      <c r="AH64" s="58">
        <v>18</v>
      </c>
      <c r="AI64" s="88" t="str">
        <f>IFERROR(VLOOKUP(TEXT(A64,"DD/MM/AAAA")&amp;"NE - EXPEDICAO - Custo Unitário por pallet separado Outros CDs",BASE!$A:$D,4,0),"")</f>
        <v/>
      </c>
      <c r="AJ64" s="16"/>
      <c r="AK64" s="205">
        <v>689.66666666666663</v>
      </c>
      <c r="AL64" s="49" t="str">
        <f>IFERROR(VLOOKUP(TEXT(A64,"DD/MM/AAAA")&amp;"NE - SEPARAÇÃO - Trade Acessórios",BASE!$A:$D,4,0),"")</f>
        <v/>
      </c>
      <c r="AM64" s="12" t="str">
        <f>IFERROR(VLOOKUP(TEXT(A64,"DD/MM/AAAA")&amp;"NE - SEPARAÇÃO - Trade Café",BASE!$A:$D,4,0),"")</f>
        <v/>
      </c>
      <c r="AN64" s="49" t="str">
        <f>IFERROR(VLOOKUP(TEXT(A64,"DD/MM/AAAA")&amp;"NE - SEPARAÇÃO - Trade maquinas",BASE!$A:$D,4,0),"")</f>
        <v/>
      </c>
      <c r="AO64" s="49">
        <f t="shared" si="4"/>
        <v>0</v>
      </c>
      <c r="AP64" s="5"/>
      <c r="AQ64" s="49">
        <v>3</v>
      </c>
      <c r="AR64" s="49" t="str">
        <f>IFERROR(VLOOKUP(TEXT(A63,"DD/MM/AAAA")&amp;"NE - SEPARAÇÃO - Custo Unitário por pallet separado (Agents B2B / POSM Trade)",BASE!$A:$D,4,0),"")</f>
        <v/>
      </c>
      <c r="AS64" s="149"/>
      <c r="AT64" s="205"/>
      <c r="AU64" s="2"/>
      <c r="AV64" s="5"/>
      <c r="AW64" s="2"/>
      <c r="AX64" s="2"/>
      <c r="AY64" s="5"/>
      <c r="AZ64" s="2"/>
      <c r="BA64" s="2"/>
      <c r="BB64" s="5"/>
      <c r="BC64" s="2"/>
      <c r="BD64" s="2"/>
      <c r="BE64" s="5"/>
      <c r="BF64" s="2"/>
      <c r="BG64" s="2"/>
      <c r="BH64" s="5"/>
      <c r="BI64" s="2"/>
      <c r="BJ64" s="2"/>
      <c r="BK64" s="5"/>
      <c r="BL64" s="105"/>
      <c r="BM64" s="105"/>
      <c r="BN64" s="5"/>
    </row>
    <row r="65" spans="1:71" s="1" customFormat="1" x14ac:dyDescent="0.25">
      <c r="A65" s="69">
        <v>45502</v>
      </c>
      <c r="B65" s="50" t="str">
        <f t="shared" si="2"/>
        <v>W31</v>
      </c>
      <c r="C65" s="50" t="str" cm="1">
        <f t="array" ref="C65">_xlfn.IFS(WEEKDAY(A65)=2,"Seg",WEEKDAY(A65)=3,"Ter",WEEKDAY(A65)=4,"Qua",WEEKDAY(A65)=5,"Qui",WEEKDAY(A65)=6,"Sex",WEEKDAY(A65)=7,"Sab",WEEKDAY(A65)=1,"Dom")</f>
        <v>Seg</v>
      </c>
      <c r="D65" s="50"/>
      <c r="E65" s="50"/>
      <c r="F65" s="51">
        <v>116</v>
      </c>
      <c r="G65" s="3">
        <f t="shared" si="3"/>
        <v>0</v>
      </c>
      <c r="H65" s="50"/>
      <c r="I65" s="50"/>
      <c r="J65" s="50"/>
      <c r="K65" s="52"/>
      <c r="L65" s="56">
        <f>IFERROR(VLOOKUP(A65,Forecast!B35:N68,13,0),0)</f>
        <v>2877.0407187918181</v>
      </c>
      <c r="M65" s="50"/>
      <c r="N65" s="49"/>
      <c r="O65" s="49" t="str">
        <f>IFERROR(VLOOKUP(TEXT(A65,"DD/MM/AAAA")&amp;"NE - SEPARAÇÃO - Pedidos B2C",BASE!$A:$D,4,0),"")</f>
        <v/>
      </c>
      <c r="P65" s="50"/>
      <c r="Q65" s="53"/>
      <c r="R65" s="68"/>
      <c r="S65" s="68"/>
      <c r="T65" s="67"/>
      <c r="U65" s="67"/>
      <c r="V65" s="67"/>
      <c r="W65" s="100">
        <f>IFERROR(VLOOKUP(A65,Forecast!B35:O67,14,0),0)</f>
        <v>191.39916000988222</v>
      </c>
      <c r="X65" s="50"/>
      <c r="Y65" s="50"/>
      <c r="Z65" s="50" t="str">
        <f>IFERROR(VLOOKUP(TEXT(A65,"DD/MM/AAAA")&amp;"NE - SEPARAÇÃO - Pedidos B2B",BASE!$A:$D,4,0),"")</f>
        <v/>
      </c>
      <c r="AA65" s="50"/>
      <c r="AB65" s="53"/>
      <c r="AC65" s="144">
        <v>8</v>
      </c>
      <c r="AD65" s="144" t="str">
        <f>IFERROR(VLOOKUP(TEXT(A65,"DD/MM/AAAA")&amp;"NE - EXPEDICAO - Abastecimento Boutiques",BASE!$A:$D,4,0),"")</f>
        <v/>
      </c>
      <c r="AE65" s="144" t="str">
        <f>IFERROR(VLOOKUP(TEXT(B65,"DD/MM/AAAA")&amp;"NE - EXPEDICAO - Abastecimento Boutiques",BASE!$A:$D,4,0),"")</f>
        <v/>
      </c>
      <c r="AF65" s="146"/>
      <c r="AG65" s="5"/>
      <c r="AH65" s="58">
        <v>18</v>
      </c>
      <c r="AI65" s="88" t="str">
        <f>IFERROR(VLOOKUP(TEXT(A65,"DD/MM/AAAA")&amp;"NE - EXPEDICAO - Custo Unitário por pallet separado Outros CDs",BASE!$A:$D,4,0),"")</f>
        <v/>
      </c>
      <c r="AJ65" s="16"/>
      <c r="AK65" s="205">
        <v>689.66666666666663</v>
      </c>
      <c r="AL65" s="49" t="str">
        <f>IFERROR(VLOOKUP(TEXT(A65,"DD/MM/AAAA")&amp;"NE - SEPARAÇÃO - Trade Acessórios",BASE!$A:$D,4,0),"")</f>
        <v/>
      </c>
      <c r="AM65" s="12" t="str">
        <f>IFERROR(VLOOKUP(TEXT(A65,"DD/MM/AAAA")&amp;"NE - SEPARAÇÃO - Trade Café",BASE!$A:$D,4,0),"")</f>
        <v/>
      </c>
      <c r="AN65" s="49" t="str">
        <f>IFERROR(VLOOKUP(TEXT(A65,"DD/MM/AAAA")&amp;"NE - SEPARAÇÃO - Trade maquinas",BASE!$A:$D,4,0),"")</f>
        <v/>
      </c>
      <c r="AO65" s="49">
        <f t="shared" si="4"/>
        <v>0</v>
      </c>
      <c r="AP65" s="5"/>
      <c r="AQ65" s="49">
        <v>3</v>
      </c>
      <c r="AR65" s="49" t="str">
        <f>IFERROR(VLOOKUP(TEXT(A64,"DD/MM/AAAA")&amp;"NE - SEPARAÇÃO - Custo Unitário por pallet separado (Agents B2B / POSM Trade)",BASE!$A:$D,4,0),"")</f>
        <v/>
      </c>
      <c r="AS65" s="149"/>
      <c r="AT65" s="2">
        <v>857.13043478260875</v>
      </c>
      <c r="AU65" s="2"/>
      <c r="AV65" s="5"/>
      <c r="AW65" s="2">
        <v>99.304347826086953</v>
      </c>
      <c r="AX65" s="2"/>
      <c r="AY65" s="5"/>
      <c r="AZ65" s="2">
        <v>151.86956521739131</v>
      </c>
      <c r="BA65" s="2"/>
      <c r="BB65" s="5"/>
      <c r="BC65" s="2">
        <v>21.739130434782609</v>
      </c>
      <c r="BD65" s="2"/>
      <c r="BE65" s="5"/>
      <c r="BF65" s="2">
        <v>392.69565217391306</v>
      </c>
      <c r="BG65" s="2"/>
      <c r="BH65" s="5"/>
      <c r="BI65" s="2">
        <v>76.565217391304344</v>
      </c>
      <c r="BJ65" s="2"/>
      <c r="BK65" s="5"/>
      <c r="BL65" s="105">
        <v>8</v>
      </c>
      <c r="BM65" s="105"/>
      <c r="BN65" s="5"/>
    </row>
    <row r="66" spans="1:71" s="1" customFormat="1" x14ac:dyDescent="0.25">
      <c r="A66" s="69">
        <v>45503</v>
      </c>
      <c r="B66" s="50" t="str">
        <f t="shared" si="2"/>
        <v>W31</v>
      </c>
      <c r="C66" s="50" t="str" cm="1">
        <f t="array" ref="C66">_xlfn.IFS(WEEKDAY(A66)=2,"Seg",WEEKDAY(A66)=3,"Ter",WEEKDAY(A66)=4,"Qua",WEEKDAY(A66)=5,"Qui",WEEKDAY(A66)=6,"Sex",WEEKDAY(A66)=7,"Sab",WEEKDAY(A66)=1,"Dom")</f>
        <v>Ter</v>
      </c>
      <c r="D66" s="50"/>
      <c r="E66" s="50"/>
      <c r="F66" s="51">
        <v>116</v>
      </c>
      <c r="G66" s="3"/>
      <c r="H66" s="50"/>
      <c r="I66" s="50"/>
      <c r="J66" s="50"/>
      <c r="K66" s="52"/>
      <c r="L66" s="56">
        <f>IFERROR(VLOOKUP(A66,Forecast!B36:N69,13,0),0)</f>
        <v>2996.9174154081438</v>
      </c>
      <c r="M66" s="50"/>
      <c r="N66" s="49"/>
      <c r="O66" s="49" t="str">
        <f>IFERROR(VLOOKUP(TEXT(A66,"DD/MM/AAAA")&amp;"NE - SEPARAÇÃO - Pedidos B2C",BASE!$A:$D,4,0),"")</f>
        <v/>
      </c>
      <c r="P66" s="50"/>
      <c r="Q66" s="53"/>
      <c r="R66" s="68"/>
      <c r="S66" s="68"/>
      <c r="T66" s="67"/>
      <c r="U66" s="67"/>
      <c r="V66" s="67"/>
      <c r="W66" s="100">
        <f>IFERROR(VLOOKUP(A66,Forecast!B36:O68,14,0),0)</f>
        <v>348.06291690685993</v>
      </c>
      <c r="X66" s="50"/>
      <c r="Y66" s="50"/>
      <c r="Z66" s="50" t="str">
        <f>IFERROR(VLOOKUP(TEXT(A66,"DD/MM/AAAA")&amp;"NE - SEPARAÇÃO - Pedidos B2B",BASE!$A:$D,4,0),"")</f>
        <v/>
      </c>
      <c r="AA66" s="50"/>
      <c r="AB66" s="53"/>
      <c r="AC66" s="144">
        <v>8</v>
      </c>
      <c r="AD66" s="144" t="str">
        <f>IFERROR(VLOOKUP(TEXT(A66,"DD/MM/AAAA")&amp;"NE - EXPEDICAO - Abastecimento Boutiques",BASE!$A:$D,4,0),"")</f>
        <v/>
      </c>
      <c r="AE66" s="144" t="str">
        <f>IFERROR(VLOOKUP(TEXT(B66,"DD/MM/AAAA")&amp;"NE - EXPEDICAO - Abastecimento Boutiques",BASE!$A:$D,4,0),"")</f>
        <v/>
      </c>
      <c r="AF66" s="146"/>
      <c r="AG66" s="5"/>
      <c r="AH66" s="58">
        <v>18</v>
      </c>
      <c r="AI66" s="88" t="str">
        <f>IFERROR(VLOOKUP(TEXT(A66,"DD/MM/AAAA")&amp;"NE - EXPEDICAO - Custo Unitário por pallet separado Outros CDs",BASE!$A:$D,4,0),"")</f>
        <v/>
      </c>
      <c r="AJ66" s="16"/>
      <c r="AK66" s="205">
        <v>689.66666666666663</v>
      </c>
      <c r="AL66" s="49" t="str">
        <f>IFERROR(VLOOKUP(TEXT(A66,"DD/MM/AAAA")&amp;"NE - SEPARAÇÃO - Trade Acessórios",BASE!$A:$D,4,0),"")</f>
        <v/>
      </c>
      <c r="AM66" s="12" t="str">
        <f>IFERROR(VLOOKUP(TEXT(A66,"DD/MM/AAAA")&amp;"NE - SEPARAÇÃO - Trade Café",BASE!$A:$D,4,0),"")</f>
        <v/>
      </c>
      <c r="AN66" s="49" t="str">
        <f>IFERROR(VLOOKUP(TEXT(A66,"DD/MM/AAAA")&amp;"NE - SEPARAÇÃO - Trade maquinas",BASE!$A:$D,4,0),"")</f>
        <v/>
      </c>
      <c r="AO66" s="49">
        <f t="shared" si="4"/>
        <v>0</v>
      </c>
      <c r="AP66" s="5"/>
      <c r="AQ66" s="49">
        <v>3</v>
      </c>
      <c r="AR66" s="49" t="str">
        <f>IFERROR(VLOOKUP(TEXT(A65,"DD/MM/AAAA")&amp;"NE - SEPARAÇÃO - Custo Unitário por pallet separado (Agents B2B / POSM Trade)",BASE!$A:$D,4,0),"")</f>
        <v/>
      </c>
      <c r="AS66" s="149"/>
      <c r="AT66" s="2">
        <v>857.13043478260875</v>
      </c>
      <c r="AU66" s="2"/>
      <c r="AV66" s="5"/>
      <c r="AW66" s="2">
        <v>99.304347826086953</v>
      </c>
      <c r="AX66" s="2"/>
      <c r="AY66" s="5"/>
      <c r="AZ66" s="2">
        <v>151.86956521739131</v>
      </c>
      <c r="BA66" s="2"/>
      <c r="BB66" s="5"/>
      <c r="BC66" s="2">
        <v>21.739130434782609</v>
      </c>
      <c r="BD66" s="2"/>
      <c r="BE66" s="5"/>
      <c r="BF66" s="2">
        <v>392.69565217391306</v>
      </c>
      <c r="BG66" s="2"/>
      <c r="BH66" s="5"/>
      <c r="BI66" s="2">
        <v>76.565217391304344</v>
      </c>
      <c r="BJ66" s="2"/>
      <c r="BK66" s="5"/>
      <c r="BL66" s="105">
        <v>8</v>
      </c>
      <c r="BM66" s="105"/>
      <c r="BN66" s="5"/>
    </row>
    <row r="67" spans="1:71" s="1" customFormat="1" x14ac:dyDescent="0.25">
      <c r="A67" s="69">
        <v>45504</v>
      </c>
      <c r="B67" s="50" t="str">
        <f t="shared" si="2"/>
        <v>W31</v>
      </c>
      <c r="C67" s="50" t="str" cm="1">
        <f t="array" ref="C67">_xlfn.IFS(WEEKDAY(A67)=2,"Seg",WEEKDAY(A67)=3,"Ter",WEEKDAY(A67)=4,"Qua",WEEKDAY(A67)=5,"Qui",WEEKDAY(A67)=6,"Sex",WEEKDAY(A67)=7,"Sab",WEEKDAY(A67)=1,"Dom")</f>
        <v>Qua</v>
      </c>
      <c r="D67" s="50"/>
      <c r="E67" s="50"/>
      <c r="F67" s="51">
        <v>116</v>
      </c>
      <c r="G67" s="3"/>
      <c r="H67" s="50"/>
      <c r="I67" s="50"/>
      <c r="J67" s="50"/>
      <c r="K67" s="52"/>
      <c r="L67" s="56">
        <f>IFERROR(VLOOKUP(A67,Forecast!B37:N70,13,0),0)</f>
        <v>2843.4752437392467</v>
      </c>
      <c r="M67" s="50"/>
      <c r="N67" s="115"/>
      <c r="O67" s="49" t="str">
        <f>IFERROR(VLOOKUP(TEXT(A67,"DD/MM/AAAA")&amp;"NE - SEPARAÇÃO - Pedidos B2C",BASE!$A:$D,4,0),"")</f>
        <v/>
      </c>
      <c r="P67" s="50"/>
      <c r="Q67" s="53"/>
      <c r="R67" s="68"/>
      <c r="S67" s="68"/>
      <c r="T67" s="67"/>
      <c r="U67" s="67"/>
      <c r="V67" s="67"/>
      <c r="W67" s="100">
        <f>IFERROR(VLOOKUP(A67,Forecast!B37:O69,14,0),0)</f>
        <v>318.99860001647039</v>
      </c>
      <c r="X67" s="50"/>
      <c r="Y67" s="50"/>
      <c r="Z67" s="50" t="str">
        <f>IFERROR(VLOOKUP(TEXT(A67,"DD/MM/AAAA")&amp;"NE - SEPARAÇÃO - Pedidos B2B",BASE!$A:$D,4,0),"")</f>
        <v/>
      </c>
      <c r="AA67" s="50"/>
      <c r="AB67" s="53"/>
      <c r="AC67" s="144">
        <v>8</v>
      </c>
      <c r="AD67" s="144"/>
      <c r="AE67" s="144"/>
      <c r="AF67" s="146"/>
      <c r="AG67" s="53"/>
      <c r="AH67" s="58">
        <v>18</v>
      </c>
      <c r="AI67" s="88"/>
      <c r="AJ67" s="70"/>
      <c r="AK67" s="205">
        <v>689.66666666666663</v>
      </c>
      <c r="AL67" s="49"/>
      <c r="AM67" s="12"/>
      <c r="AN67" s="49"/>
      <c r="AO67" s="49"/>
      <c r="AP67" s="53"/>
      <c r="AQ67" s="49">
        <v>3</v>
      </c>
      <c r="AR67" s="49"/>
      <c r="AS67" s="149"/>
      <c r="AT67" s="2">
        <v>857.13043478260875</v>
      </c>
      <c r="AU67" s="2"/>
      <c r="AV67" s="53"/>
      <c r="AW67" s="2">
        <v>99.304347826086953</v>
      </c>
      <c r="AX67" s="2"/>
      <c r="AY67" s="53"/>
      <c r="AZ67" s="2">
        <v>151.86956521739131</v>
      </c>
      <c r="BA67" s="2"/>
      <c r="BB67" s="53"/>
      <c r="BC67" s="2">
        <v>21.739130434782609</v>
      </c>
      <c r="BD67" s="2"/>
      <c r="BE67" s="53"/>
      <c r="BF67" s="2">
        <v>392.69565217391306</v>
      </c>
      <c r="BG67" s="2"/>
      <c r="BH67" s="53"/>
      <c r="BI67" s="2">
        <v>76.565217391304344</v>
      </c>
      <c r="BJ67" s="2"/>
      <c r="BK67" s="53"/>
      <c r="BL67" s="105">
        <v>8</v>
      </c>
      <c r="BM67" s="105"/>
      <c r="BN67" s="53"/>
    </row>
    <row r="68" spans="1:71" x14ac:dyDescent="0.25">
      <c r="A68" s="6" t="s">
        <v>84</v>
      </c>
      <c r="B68" s="50">
        <f>SUM(B37:B67)</f>
        <v>0</v>
      </c>
      <c r="C68" s="50">
        <f>SUM(C37:C67)</f>
        <v>0</v>
      </c>
      <c r="D68" s="50">
        <f>SUM(D37:D66)</f>
        <v>0</v>
      </c>
      <c r="E68" s="50">
        <f>SUM(E37:E66)</f>
        <v>0</v>
      </c>
      <c r="F68" s="50">
        <f>SUM(F37:F67)</f>
        <v>2688</v>
      </c>
      <c r="G68" s="50">
        <f t="shared" ref="G68:AM68" si="5">SUM(G37:G67)</f>
        <v>1142</v>
      </c>
      <c r="H68" s="143">
        <f t="shared" si="5"/>
        <v>805</v>
      </c>
      <c r="I68" s="50">
        <f t="shared" si="5"/>
        <v>14</v>
      </c>
      <c r="J68" s="50">
        <f t="shared" si="5"/>
        <v>323</v>
      </c>
      <c r="K68" s="50">
        <f t="shared" si="5"/>
        <v>0</v>
      </c>
      <c r="L68" s="50">
        <f t="shared" si="5"/>
        <v>75249.000000000015</v>
      </c>
      <c r="M68" s="50">
        <f t="shared" si="5"/>
        <v>0</v>
      </c>
      <c r="N68" s="50">
        <f t="shared" si="5"/>
        <v>0</v>
      </c>
      <c r="O68" s="50">
        <f t="shared" si="5"/>
        <v>46019</v>
      </c>
      <c r="P68" s="50">
        <f t="shared" si="5"/>
        <v>0</v>
      </c>
      <c r="Q68" s="50">
        <f t="shared" si="5"/>
        <v>0</v>
      </c>
      <c r="R68" s="50">
        <f t="shared" si="5"/>
        <v>0</v>
      </c>
      <c r="S68" s="50">
        <f t="shared" si="5"/>
        <v>0</v>
      </c>
      <c r="T68" s="148" t="str">
        <f>IFERROR(AVERAGE(T36:T67),"-")</f>
        <v>-</v>
      </c>
      <c r="U68" s="148">
        <f t="shared" si="5"/>
        <v>0</v>
      </c>
      <c r="V68" s="148" t="str">
        <f>IFERROR(AVERAGE(V37:V67),"-")</f>
        <v>-</v>
      </c>
      <c r="W68" s="50">
        <f t="shared" si="5"/>
        <v>8608.0000000000018</v>
      </c>
      <c r="X68" s="50">
        <f t="shared" si="5"/>
        <v>0</v>
      </c>
      <c r="Y68" s="50">
        <f t="shared" si="5"/>
        <v>0</v>
      </c>
      <c r="Z68" s="50">
        <f>SUM(Z37:Z67)</f>
        <v>7199</v>
      </c>
      <c r="AA68" s="50">
        <f t="shared" si="5"/>
        <v>0</v>
      </c>
      <c r="AB68" s="50">
        <f t="shared" si="5"/>
        <v>0</v>
      </c>
      <c r="AC68" s="50">
        <f t="shared" si="5"/>
        <v>195</v>
      </c>
      <c r="AD68" s="50">
        <f>SUM(AD37:AD67)</f>
        <v>156</v>
      </c>
      <c r="AE68" s="50">
        <f>SUM(AE37:AE67)</f>
        <v>0</v>
      </c>
      <c r="AF68" s="50">
        <f t="shared" si="5"/>
        <v>0</v>
      </c>
      <c r="AG68" s="50">
        <f t="shared" si="5"/>
        <v>0</v>
      </c>
      <c r="AH68" s="50">
        <f t="shared" si="5"/>
        <v>486</v>
      </c>
      <c r="AI68" s="50">
        <f t="shared" si="5"/>
        <v>473</v>
      </c>
      <c r="AJ68" s="50">
        <f t="shared" si="5"/>
        <v>0</v>
      </c>
      <c r="AK68" s="50">
        <f t="shared" si="5"/>
        <v>18621</v>
      </c>
      <c r="AL68" s="50">
        <f t="shared" si="5"/>
        <v>26</v>
      </c>
      <c r="AM68" s="50">
        <f t="shared" si="5"/>
        <v>108</v>
      </c>
      <c r="AN68" s="50">
        <f t="shared" ref="AN68:BN68" si="6">SUM(AN37:AN67)</f>
        <v>13973</v>
      </c>
      <c r="AO68" s="50">
        <f t="shared" si="6"/>
        <v>14107</v>
      </c>
      <c r="AP68" s="50">
        <f t="shared" si="6"/>
        <v>0</v>
      </c>
      <c r="AQ68" s="49">
        <f>SUM(AQ37:AQ67)</f>
        <v>60</v>
      </c>
      <c r="AR68" s="49">
        <f>SUM(AR36:AR67)</f>
        <v>42</v>
      </c>
      <c r="AS68" s="50">
        <f t="shared" si="6"/>
        <v>0</v>
      </c>
      <c r="AT68" s="50">
        <f t="shared" si="6"/>
        <v>19713.999999999993</v>
      </c>
      <c r="AU68" s="50">
        <f t="shared" si="6"/>
        <v>16583</v>
      </c>
      <c r="AV68" s="50">
        <f t="shared" si="6"/>
        <v>0</v>
      </c>
      <c r="AW68" s="50">
        <f t="shared" si="6"/>
        <v>2284.0000000000005</v>
      </c>
      <c r="AX68" s="50">
        <f t="shared" si="6"/>
        <v>1360</v>
      </c>
      <c r="AY68" s="50">
        <f t="shared" si="6"/>
        <v>0</v>
      </c>
      <c r="AZ68" s="50">
        <f t="shared" si="6"/>
        <v>3493.0000000000014</v>
      </c>
      <c r="BA68" s="50">
        <f t="shared" si="6"/>
        <v>0</v>
      </c>
      <c r="BB68" s="50">
        <f t="shared" si="6"/>
        <v>0</v>
      </c>
      <c r="BC68" s="50">
        <f t="shared" si="6"/>
        <v>500.00000000000023</v>
      </c>
      <c r="BD68" s="50"/>
      <c r="BE68" s="50">
        <f t="shared" si="6"/>
        <v>0</v>
      </c>
      <c r="BF68" s="50">
        <f>SUM(BF37:BF67)</f>
        <v>9032.0000000000018</v>
      </c>
      <c r="BG68" s="2">
        <f t="shared" si="6"/>
        <v>14947</v>
      </c>
      <c r="BH68" s="50">
        <f t="shared" si="6"/>
        <v>0</v>
      </c>
      <c r="BI68" s="50">
        <f t="shared" si="6"/>
        <v>1760.9999999999993</v>
      </c>
      <c r="BJ68" s="50">
        <f t="shared" si="6"/>
        <v>1193</v>
      </c>
      <c r="BK68" s="50">
        <f t="shared" si="6"/>
        <v>0</v>
      </c>
      <c r="BL68" s="2">
        <f t="shared" si="6"/>
        <v>199</v>
      </c>
      <c r="BM68" s="50">
        <f t="shared" si="6"/>
        <v>148</v>
      </c>
      <c r="BN68" s="50">
        <f t="shared" si="6"/>
        <v>0</v>
      </c>
      <c r="BO68" s="86">
        <f>SUM(BO37:BO66)</f>
        <v>0</v>
      </c>
      <c r="BP68" s="86">
        <f>SUM(BP37:BP66)</f>
        <v>0</v>
      </c>
      <c r="BQ68" s="86">
        <f>SUM(BQ37:BQ66)</f>
        <v>0</v>
      </c>
      <c r="BR68" s="86">
        <f>SUM(BR37:BR66)</f>
        <v>0</v>
      </c>
      <c r="BS68" s="86">
        <f>SUM(BS37:BS66)</f>
        <v>0</v>
      </c>
    </row>
    <row r="69" spans="1:71" x14ac:dyDescent="0.25">
      <c r="L69" s="98"/>
    </row>
    <row r="70" spans="1:71" x14ac:dyDescent="0.25">
      <c r="L70" s="98"/>
      <c r="M70" s="113"/>
      <c r="O70"/>
      <c r="P70"/>
      <c r="Q70"/>
      <c r="R70"/>
      <c r="S70"/>
      <c r="T70"/>
      <c r="U70"/>
    </row>
    <row r="71" spans="1:71" x14ac:dyDescent="0.25"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</row>
    <row r="72" spans="1:71" x14ac:dyDescent="0.25"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</row>
    <row r="73" spans="1:71" x14ac:dyDescent="0.25"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</row>
    <row r="74" spans="1:71" x14ac:dyDescent="0.25"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</row>
    <row r="75" spans="1:71" x14ac:dyDescent="0.25"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</row>
    <row r="76" spans="1:71" x14ac:dyDescent="0.25"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</row>
    <row r="77" spans="1:71" x14ac:dyDescent="0.25"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</row>
    <row r="78" spans="1:71" x14ac:dyDescent="0.25"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</row>
    <row r="79" spans="1:71" x14ac:dyDescent="0.25"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</row>
    <row r="80" spans="1:71" x14ac:dyDescent="0.25"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</row>
    <row r="81" spans="10:28" x14ac:dyDescent="0.25"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</row>
  </sheetData>
  <mergeCells count="17">
    <mergeCell ref="D1:K1"/>
    <mergeCell ref="D2:E2"/>
    <mergeCell ref="F2:K2"/>
    <mergeCell ref="AK1:AP1"/>
    <mergeCell ref="W1:AB1"/>
    <mergeCell ref="L1:Q1"/>
    <mergeCell ref="AC1:AG1"/>
    <mergeCell ref="AH1:AJ1"/>
    <mergeCell ref="R1:V1"/>
    <mergeCell ref="R2:S2"/>
    <mergeCell ref="T2:V2"/>
    <mergeCell ref="BP2:BQ2"/>
    <mergeCell ref="BO1:BR1"/>
    <mergeCell ref="BR2:BS2"/>
    <mergeCell ref="AQ1:AS1"/>
    <mergeCell ref="AT1:BH1"/>
    <mergeCell ref="BI1:BN1"/>
  </mergeCells>
  <phoneticPr fontId="20" type="noConversion"/>
  <conditionalFormatting sqref="A3:BS3 BA37:BA57 BA47:BB57 BB58 BA59:BB59 BA60:BA67">
    <cfRule type="cellIs" dxfId="66" priority="336" operator="equal">
      <formula>0</formula>
    </cfRule>
  </conditionalFormatting>
  <conditionalFormatting sqref="B37:AJ67">
    <cfRule type="cellIs" dxfId="65" priority="120" operator="equal">
      <formula>0</formula>
    </cfRule>
  </conditionalFormatting>
  <conditionalFormatting sqref="B68:AP68 AS68:BF68 BH68:BK68">
    <cfRule type="cellIs" dxfId="64" priority="508" operator="equal">
      <formula>0</formula>
    </cfRule>
  </conditionalFormatting>
  <conditionalFormatting sqref="B5:BN36">
    <cfRule type="cellIs" dxfId="63" priority="1185" operator="equal">
      <formula>0</formula>
    </cfRule>
  </conditionalFormatting>
  <conditionalFormatting sqref="G4 Z4 AD4:AF4 AI4 AL4:AO4 AR4 BG37:BH37 AL37:AP67 BH38:BH67 BG38:BG68 AV39:AV61 BB46 BB60 BA37:BB45 BK39:BK41 BD37:BE39 BK37:BL38">
    <cfRule type="cellIs" dxfId="62" priority="1917" operator="equal">
      <formula>0</formula>
    </cfRule>
  </conditionalFormatting>
  <conditionalFormatting sqref="N57:N67">
    <cfRule type="cellIs" dxfId="61" priority="1178" operator="equal">
      <formula>0</formula>
    </cfRule>
  </conditionalFormatting>
  <conditionalFormatting sqref="N4:O4">
    <cfRule type="cellIs" dxfId="60" priority="1218" operator="equal">
      <formula>0</formula>
    </cfRule>
  </conditionalFormatting>
  <conditionalFormatting sqref="AQ37:AR68">
    <cfRule type="cellIs" dxfId="59" priority="129" operator="equal">
      <formula>0</formula>
    </cfRule>
  </conditionalFormatting>
  <conditionalFormatting sqref="AS37:AS67">
    <cfRule type="cellIs" dxfId="58" priority="292" operator="equal">
      <formula>0</formula>
    </cfRule>
  </conditionalFormatting>
  <conditionalFormatting sqref="AU37:AU59">
    <cfRule type="cellIs" dxfId="57" priority="127" operator="equal">
      <formula>0</formula>
    </cfRule>
  </conditionalFormatting>
  <conditionalFormatting sqref="AU62:AV67">
    <cfRule type="cellIs" dxfId="56" priority="490" operator="equal">
      <formula>0</formula>
    </cfRule>
  </conditionalFormatting>
  <conditionalFormatting sqref="AV37:AY38">
    <cfRule type="cellIs" dxfId="55" priority="337" operator="equal">
      <formula>0</formula>
    </cfRule>
  </conditionalFormatting>
  <conditionalFormatting sqref="AW42:AY43 AX39:AY41 AW49:AY50 AX44:AY48 AW56:AY57 AX51:AY55 AW63:AY64 AX58:AY62 AX65:AY67">
    <cfRule type="cellIs" dxfId="54" priority="99" operator="equal">
      <formula>0</formula>
    </cfRule>
  </conditionalFormatting>
  <conditionalFormatting sqref="AZ37:AZ67">
    <cfRule type="cellIs" dxfId="53" priority="270" operator="equal">
      <formula>0</formula>
    </cfRule>
  </conditionalFormatting>
  <conditionalFormatting sqref="BA61:BB67">
    <cfRule type="cellIs" dxfId="52" priority="486" operator="equal">
      <formula>0</formula>
    </cfRule>
  </conditionalFormatting>
  <conditionalFormatting sqref="BD40:BE67">
    <cfRule type="cellIs" dxfId="51" priority="130" operator="equal">
      <formula>0</formula>
    </cfRule>
  </conditionalFormatting>
  <conditionalFormatting sqref="BF37:BF67">
    <cfRule type="cellIs" dxfId="50" priority="331" operator="equal">
      <formula>0</formula>
    </cfRule>
  </conditionalFormatting>
  <conditionalFormatting sqref="BI37:BJ67">
    <cfRule type="cellIs" dxfId="49" priority="283" operator="equal">
      <formula>0</formula>
    </cfRule>
  </conditionalFormatting>
  <conditionalFormatting sqref="BK42:BK67">
    <cfRule type="cellIs" dxfId="48" priority="481" operator="equal">
      <formula>0</formula>
    </cfRule>
  </conditionalFormatting>
  <conditionalFormatting sqref="BL38">
    <cfRule type="cellIs" dxfId="47" priority="285" operator="equal">
      <formula>0</formula>
    </cfRule>
  </conditionalFormatting>
  <conditionalFormatting sqref="BL68">
    <cfRule type="cellIs" dxfId="46" priority="77" operator="equal">
      <formula>0</formula>
    </cfRule>
  </conditionalFormatting>
  <conditionalFormatting sqref="BM37:BN68">
    <cfRule type="cellIs" dxfId="45" priority="480" operator="equal">
      <formula>0</formula>
    </cfRule>
  </conditionalFormatting>
  <conditionalFormatting sqref="BL42:BL43 BL49:BL50 BL56:BL57 BL63:BL64">
    <cfRule type="cellIs" dxfId="44" priority="74" operator="equal">
      <formula>0</formula>
    </cfRule>
  </conditionalFormatting>
  <conditionalFormatting sqref="AT37:AT48">
    <cfRule type="cellIs" dxfId="43" priority="51" operator="equal">
      <formula>0</formula>
    </cfRule>
  </conditionalFormatting>
  <conditionalFormatting sqref="AT51:AT55">
    <cfRule type="cellIs" dxfId="42" priority="50" operator="equal">
      <formula>0</formula>
    </cfRule>
  </conditionalFormatting>
  <conditionalFormatting sqref="AT58:AT62">
    <cfRule type="cellIs" dxfId="41" priority="49" operator="equal">
      <formula>0</formula>
    </cfRule>
  </conditionalFormatting>
  <conditionalFormatting sqref="AT65">
    <cfRule type="cellIs" dxfId="40" priority="48" operator="equal">
      <formula>0</formula>
    </cfRule>
  </conditionalFormatting>
  <conditionalFormatting sqref="AT66">
    <cfRule type="cellIs" dxfId="39" priority="47" operator="equal">
      <formula>0</formula>
    </cfRule>
  </conditionalFormatting>
  <conditionalFormatting sqref="AT67">
    <cfRule type="cellIs" dxfId="38" priority="46" operator="equal">
      <formula>0</formula>
    </cfRule>
  </conditionalFormatting>
  <conditionalFormatting sqref="AW39">
    <cfRule type="cellIs" dxfId="37" priority="45" operator="equal">
      <formula>0</formula>
    </cfRule>
  </conditionalFormatting>
  <conditionalFormatting sqref="AW40">
    <cfRule type="cellIs" dxfId="36" priority="44" operator="equal">
      <formula>0</formula>
    </cfRule>
  </conditionalFormatting>
  <conditionalFormatting sqref="AW41">
    <cfRule type="cellIs" dxfId="35" priority="43" operator="equal">
      <formula>0</formula>
    </cfRule>
  </conditionalFormatting>
  <conditionalFormatting sqref="AW44:AW45">
    <cfRule type="cellIs" dxfId="34" priority="42" operator="equal">
      <formula>0</formula>
    </cfRule>
  </conditionalFormatting>
  <conditionalFormatting sqref="AW46">
    <cfRule type="cellIs" dxfId="33" priority="41" operator="equal">
      <formula>0</formula>
    </cfRule>
  </conditionalFormatting>
  <conditionalFormatting sqref="AW47">
    <cfRule type="cellIs" dxfId="32" priority="40" operator="equal">
      <formula>0</formula>
    </cfRule>
  </conditionalFormatting>
  <conditionalFormatting sqref="AW48">
    <cfRule type="cellIs" dxfId="31" priority="39" operator="equal">
      <formula>0</formula>
    </cfRule>
  </conditionalFormatting>
  <conditionalFormatting sqref="AW51:AW52">
    <cfRule type="cellIs" dxfId="30" priority="38" operator="equal">
      <formula>0</formula>
    </cfRule>
  </conditionalFormatting>
  <conditionalFormatting sqref="AW53">
    <cfRule type="cellIs" dxfId="29" priority="37" operator="equal">
      <formula>0</formula>
    </cfRule>
  </conditionalFormatting>
  <conditionalFormatting sqref="AW54">
    <cfRule type="cellIs" dxfId="28" priority="36" operator="equal">
      <formula>0</formula>
    </cfRule>
  </conditionalFormatting>
  <conditionalFormatting sqref="AW55">
    <cfRule type="cellIs" dxfId="27" priority="35" operator="equal">
      <formula>0</formula>
    </cfRule>
  </conditionalFormatting>
  <conditionalFormatting sqref="AW58:AW59">
    <cfRule type="cellIs" dxfId="26" priority="34" operator="equal">
      <formula>0</formula>
    </cfRule>
  </conditionalFormatting>
  <conditionalFormatting sqref="AW60">
    <cfRule type="cellIs" dxfId="25" priority="33" operator="equal">
      <formula>0</formula>
    </cfRule>
  </conditionalFormatting>
  <conditionalFormatting sqref="AW61">
    <cfRule type="cellIs" dxfId="24" priority="32" operator="equal">
      <formula>0</formula>
    </cfRule>
  </conditionalFormatting>
  <conditionalFormatting sqref="AW62">
    <cfRule type="cellIs" dxfId="23" priority="31" operator="equal">
      <formula>0</formula>
    </cfRule>
  </conditionalFormatting>
  <conditionalFormatting sqref="AW65">
    <cfRule type="cellIs" dxfId="22" priority="30" operator="equal">
      <formula>0</formula>
    </cfRule>
  </conditionalFormatting>
  <conditionalFormatting sqref="AW66">
    <cfRule type="cellIs" dxfId="21" priority="29" operator="equal">
      <formula>0</formula>
    </cfRule>
  </conditionalFormatting>
  <conditionalFormatting sqref="AW67">
    <cfRule type="cellIs" dxfId="20" priority="28" operator="equal">
      <formula>0</formula>
    </cfRule>
  </conditionalFormatting>
  <conditionalFormatting sqref="BC37:BC67">
    <cfRule type="cellIs" dxfId="19" priority="27" operator="equal">
      <formula>0</formula>
    </cfRule>
  </conditionalFormatting>
  <conditionalFormatting sqref="BL39">
    <cfRule type="cellIs" dxfId="18" priority="26" operator="equal">
      <formula>0</formula>
    </cfRule>
  </conditionalFormatting>
  <conditionalFormatting sqref="BL40">
    <cfRule type="cellIs" dxfId="17" priority="25" operator="equal">
      <formula>0</formula>
    </cfRule>
  </conditionalFormatting>
  <conditionalFormatting sqref="BL41">
    <cfRule type="cellIs" dxfId="16" priority="24" operator="equal">
      <formula>0</formula>
    </cfRule>
  </conditionalFormatting>
  <conditionalFormatting sqref="BL44:BL45">
    <cfRule type="cellIs" dxfId="15" priority="23" operator="equal">
      <formula>0</formula>
    </cfRule>
  </conditionalFormatting>
  <conditionalFormatting sqref="BL45">
    <cfRule type="cellIs" dxfId="14" priority="22" operator="equal">
      <formula>0</formula>
    </cfRule>
  </conditionalFormatting>
  <conditionalFormatting sqref="BL46">
    <cfRule type="cellIs" dxfId="13" priority="21" operator="equal">
      <formula>0</formula>
    </cfRule>
  </conditionalFormatting>
  <conditionalFormatting sqref="BL47">
    <cfRule type="cellIs" dxfId="12" priority="20" operator="equal">
      <formula>0</formula>
    </cfRule>
  </conditionalFormatting>
  <conditionalFormatting sqref="BL48">
    <cfRule type="cellIs" dxfId="11" priority="19" operator="equal">
      <formula>0</formula>
    </cfRule>
  </conditionalFormatting>
  <conditionalFormatting sqref="BL51:BL52">
    <cfRule type="cellIs" dxfId="10" priority="18" operator="equal">
      <formula>0</formula>
    </cfRule>
  </conditionalFormatting>
  <conditionalFormatting sqref="BL52">
    <cfRule type="cellIs" dxfId="9" priority="17" operator="equal">
      <formula>0</formula>
    </cfRule>
  </conditionalFormatting>
  <conditionalFormatting sqref="BL53">
    <cfRule type="cellIs" dxfId="8" priority="16" operator="equal">
      <formula>0</formula>
    </cfRule>
  </conditionalFormatting>
  <conditionalFormatting sqref="BL54">
    <cfRule type="cellIs" dxfId="7" priority="15" operator="equal">
      <formula>0</formula>
    </cfRule>
  </conditionalFormatting>
  <conditionalFormatting sqref="BL55">
    <cfRule type="cellIs" dxfId="6" priority="14" operator="equal">
      <formula>0</formula>
    </cfRule>
  </conditionalFormatting>
  <conditionalFormatting sqref="BL65:BL67">
    <cfRule type="cellIs" dxfId="5" priority="8" operator="equal">
      <formula>0</formula>
    </cfRule>
  </conditionalFormatting>
  <conditionalFormatting sqref="BL62">
    <cfRule type="cellIs" dxfId="4" priority="5" operator="equal">
      <formula>0</formula>
    </cfRule>
  </conditionalFormatting>
  <conditionalFormatting sqref="BL61">
    <cfRule type="cellIs" dxfId="3" priority="4" operator="equal">
      <formula>0</formula>
    </cfRule>
  </conditionalFormatting>
  <conditionalFormatting sqref="BL60">
    <cfRule type="cellIs" dxfId="2" priority="3" operator="equal">
      <formula>0</formula>
    </cfRule>
  </conditionalFormatting>
  <conditionalFormatting sqref="BL59">
    <cfRule type="cellIs" dxfId="1" priority="2" operator="equal">
      <formula>0</formula>
    </cfRule>
  </conditionalFormatting>
  <conditionalFormatting sqref="BL58">
    <cfRule type="cellIs" dxfId="0" priority="1" operator="equal">
      <formula>0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Planilha3">
    <tabColor theme="1"/>
  </sheetPr>
  <dimension ref="B1:BZ27"/>
  <sheetViews>
    <sheetView showGridLines="0" workbookViewId="0">
      <pane xSplit="2" ySplit="3" topLeftCell="K4" activePane="bottomRight" state="frozen"/>
      <selection pane="topRight" activeCell="C1" sqref="C1"/>
      <selection pane="bottomLeft" activeCell="A4" sqref="A4"/>
      <selection pane="bottomRight" activeCell="A8" sqref="A8:XFD8"/>
    </sheetView>
  </sheetViews>
  <sheetFormatPr defaultColWidth="9.28515625" defaultRowHeight="15" outlineLevelCol="1" x14ac:dyDescent="0.25"/>
  <cols>
    <col min="1" max="1" width="1.5703125" style="22" customWidth="1"/>
    <col min="2" max="2" width="9.7109375" style="8" customWidth="1"/>
    <col min="3" max="10" width="6.7109375" style="22" hidden="1" customWidth="1" outlineLevel="1"/>
    <col min="11" max="11" width="6.7109375" style="22" customWidth="1" collapsed="1"/>
    <col min="12" max="14" width="6.7109375" style="22" customWidth="1"/>
    <col min="15" max="22" width="6.7109375" style="22" hidden="1" customWidth="1"/>
    <col min="23" max="23" width="2" style="22" customWidth="1"/>
    <col min="24" max="38" width="6.7109375" style="22" customWidth="1"/>
    <col min="39" max="39" width="7.7109375" style="22" bestFit="1" customWidth="1"/>
    <col min="40" max="42" width="6.7109375" style="22" customWidth="1"/>
    <col min="43" max="43" width="7.7109375" style="22" bestFit="1" customWidth="1"/>
    <col min="44" max="47" width="6.7109375" style="22" customWidth="1"/>
    <col min="48" max="48" width="2" style="22" customWidth="1"/>
    <col min="49" max="68" width="6.7109375" style="22" customWidth="1"/>
    <col min="69" max="69" width="2" style="22" customWidth="1"/>
    <col min="70" max="73" width="6.7109375" style="22" customWidth="1"/>
    <col min="74" max="74" width="2" style="22" customWidth="1"/>
    <col min="75" max="75" width="7.5703125" style="22" bestFit="1" customWidth="1"/>
    <col min="76" max="77" width="6.7109375" style="22" customWidth="1"/>
    <col min="78" max="16384" width="9.28515625" style="22"/>
  </cols>
  <sheetData>
    <row r="1" spans="2:78" ht="6" customHeight="1" x14ac:dyDescent="0.25"/>
    <row r="2" spans="2:78" ht="23.25" customHeight="1" x14ac:dyDescent="0.25">
      <c r="B2" s="268" t="s">
        <v>17</v>
      </c>
      <c r="C2" s="270" t="s">
        <v>117</v>
      </c>
      <c r="D2" s="271"/>
      <c r="E2" s="271"/>
      <c r="F2" s="272"/>
      <c r="G2" s="270" t="s">
        <v>118</v>
      </c>
      <c r="H2" s="271"/>
      <c r="I2" s="271"/>
      <c r="J2" s="272"/>
      <c r="K2" s="270" t="s">
        <v>119</v>
      </c>
      <c r="L2" s="271"/>
      <c r="M2" s="271"/>
      <c r="N2" s="272"/>
      <c r="O2" s="271" t="s">
        <v>120</v>
      </c>
      <c r="P2" s="271"/>
      <c r="Q2" s="271"/>
      <c r="R2" s="271"/>
      <c r="S2" s="270" t="s">
        <v>121</v>
      </c>
      <c r="T2" s="271"/>
      <c r="U2" s="271"/>
      <c r="V2" s="271"/>
      <c r="X2" s="270" t="s">
        <v>122</v>
      </c>
      <c r="Y2" s="271"/>
      <c r="Z2" s="271"/>
      <c r="AA2" s="271"/>
      <c r="AB2" s="270" t="s">
        <v>123</v>
      </c>
      <c r="AC2" s="271"/>
      <c r="AD2" s="271"/>
      <c r="AE2" s="271"/>
      <c r="AF2" s="270" t="s">
        <v>124</v>
      </c>
      <c r="AG2" s="271"/>
      <c r="AH2" s="271"/>
      <c r="AI2" s="271"/>
      <c r="AJ2" s="270" t="s">
        <v>125</v>
      </c>
      <c r="AK2" s="271"/>
      <c r="AL2" s="271"/>
      <c r="AM2" s="271"/>
      <c r="AN2" s="270" t="s">
        <v>126</v>
      </c>
      <c r="AO2" s="271"/>
      <c r="AP2" s="271"/>
      <c r="AQ2" s="271"/>
      <c r="AR2" s="270" t="s">
        <v>127</v>
      </c>
      <c r="AS2" s="271"/>
      <c r="AT2" s="271"/>
      <c r="AU2" s="271"/>
      <c r="AV2" s="41"/>
      <c r="AW2" s="270" t="s">
        <v>128</v>
      </c>
      <c r="AX2" s="271"/>
      <c r="AY2" s="271"/>
      <c r="AZ2" s="271"/>
      <c r="BA2" s="270" t="s">
        <v>129</v>
      </c>
      <c r="BB2" s="271"/>
      <c r="BC2" s="271"/>
      <c r="BD2" s="271"/>
      <c r="BE2" s="270" t="s">
        <v>130</v>
      </c>
      <c r="BF2" s="271"/>
      <c r="BG2" s="271"/>
      <c r="BH2" s="271"/>
      <c r="BI2" s="270" t="s">
        <v>131</v>
      </c>
      <c r="BJ2" s="271"/>
      <c r="BK2" s="271"/>
      <c r="BL2" s="271"/>
      <c r="BM2" s="270" t="s">
        <v>132</v>
      </c>
      <c r="BN2" s="271"/>
      <c r="BO2" s="271"/>
      <c r="BP2" s="271"/>
      <c r="BQ2" s="41"/>
      <c r="BR2" s="270" t="s">
        <v>133</v>
      </c>
      <c r="BS2" s="271"/>
      <c r="BT2" s="271"/>
      <c r="BU2" s="271"/>
      <c r="BV2" s="41"/>
      <c r="BW2" s="270" t="s">
        <v>134</v>
      </c>
      <c r="BX2" s="271"/>
      <c r="BY2" s="271"/>
      <c r="BZ2" s="26"/>
    </row>
    <row r="3" spans="2:78" s="23" customFormat="1" ht="12.75" x14ac:dyDescent="0.25">
      <c r="B3" s="269"/>
      <c r="C3" s="25" t="s">
        <v>135</v>
      </c>
      <c r="D3" s="24" t="s">
        <v>136</v>
      </c>
      <c r="E3" s="24" t="s">
        <v>137</v>
      </c>
      <c r="F3" s="28" t="s">
        <v>98</v>
      </c>
      <c r="G3" s="25" t="s">
        <v>135</v>
      </c>
      <c r="H3" s="24" t="s">
        <v>136</v>
      </c>
      <c r="I3" s="24" t="s">
        <v>137</v>
      </c>
      <c r="J3" s="28" t="s">
        <v>98</v>
      </c>
      <c r="K3" s="25" t="s">
        <v>135</v>
      </c>
      <c r="L3" s="24" t="s">
        <v>136</v>
      </c>
      <c r="M3" s="24" t="s">
        <v>137</v>
      </c>
      <c r="N3" s="27" t="s">
        <v>98</v>
      </c>
      <c r="O3" s="24" t="s">
        <v>135</v>
      </c>
      <c r="P3" s="24" t="s">
        <v>136</v>
      </c>
      <c r="Q3" s="24" t="s">
        <v>137</v>
      </c>
      <c r="R3" s="24" t="s">
        <v>98</v>
      </c>
      <c r="S3" s="25" t="s">
        <v>135</v>
      </c>
      <c r="T3" s="24" t="s">
        <v>136</v>
      </c>
      <c r="U3" s="24" t="s">
        <v>137</v>
      </c>
      <c r="V3" s="24" t="s">
        <v>98</v>
      </c>
      <c r="X3" s="25" t="s">
        <v>135</v>
      </c>
      <c r="Y3" s="24" t="s">
        <v>136</v>
      </c>
      <c r="Z3" s="24" t="s">
        <v>137</v>
      </c>
      <c r="AA3" s="24" t="s">
        <v>98</v>
      </c>
      <c r="AB3" s="25" t="s">
        <v>135</v>
      </c>
      <c r="AC3" s="24" t="s">
        <v>136</v>
      </c>
      <c r="AD3" s="24" t="s">
        <v>137</v>
      </c>
      <c r="AE3" s="24" t="s">
        <v>98</v>
      </c>
      <c r="AF3" s="25" t="s">
        <v>135</v>
      </c>
      <c r="AG3" s="24" t="s">
        <v>136</v>
      </c>
      <c r="AH3" s="24" t="s">
        <v>137</v>
      </c>
      <c r="AI3" s="24" t="s">
        <v>98</v>
      </c>
      <c r="AJ3" s="25" t="s">
        <v>135</v>
      </c>
      <c r="AK3" s="24" t="s">
        <v>136</v>
      </c>
      <c r="AL3" s="24" t="s">
        <v>137</v>
      </c>
      <c r="AM3" s="24" t="s">
        <v>98</v>
      </c>
      <c r="AN3" s="25" t="s">
        <v>135</v>
      </c>
      <c r="AO3" s="24" t="s">
        <v>136</v>
      </c>
      <c r="AP3" s="24" t="s">
        <v>137</v>
      </c>
      <c r="AQ3" s="24" t="s">
        <v>98</v>
      </c>
      <c r="AR3" s="25" t="s">
        <v>135</v>
      </c>
      <c r="AS3" s="24" t="s">
        <v>136</v>
      </c>
      <c r="AT3" s="24" t="s">
        <v>137</v>
      </c>
      <c r="AU3" s="24" t="s">
        <v>98</v>
      </c>
      <c r="AV3" s="43"/>
      <c r="AW3" s="25" t="s">
        <v>135</v>
      </c>
      <c r="AX3" s="24" t="s">
        <v>136</v>
      </c>
      <c r="AY3" s="24" t="s">
        <v>137</v>
      </c>
      <c r="AZ3" s="24" t="s">
        <v>98</v>
      </c>
      <c r="BA3" s="25" t="s">
        <v>135</v>
      </c>
      <c r="BB3" s="24" t="s">
        <v>136</v>
      </c>
      <c r="BC3" s="24" t="s">
        <v>137</v>
      </c>
      <c r="BD3" s="24" t="s">
        <v>98</v>
      </c>
      <c r="BE3" s="25" t="s">
        <v>135</v>
      </c>
      <c r="BF3" s="24" t="s">
        <v>136</v>
      </c>
      <c r="BG3" s="24" t="s">
        <v>137</v>
      </c>
      <c r="BH3" s="24" t="s">
        <v>98</v>
      </c>
      <c r="BI3" s="25" t="s">
        <v>135</v>
      </c>
      <c r="BJ3" s="24" t="s">
        <v>136</v>
      </c>
      <c r="BK3" s="24" t="s">
        <v>137</v>
      </c>
      <c r="BL3" s="24" t="s">
        <v>98</v>
      </c>
      <c r="BM3" s="25" t="s">
        <v>135</v>
      </c>
      <c r="BN3" s="24" t="s">
        <v>136</v>
      </c>
      <c r="BO3" s="24" t="s">
        <v>137</v>
      </c>
      <c r="BP3" s="24" t="s">
        <v>98</v>
      </c>
      <c r="BQ3" s="43"/>
      <c r="BR3" s="25" t="s">
        <v>135</v>
      </c>
      <c r="BS3" s="24" t="s">
        <v>136</v>
      </c>
      <c r="BT3" s="24" t="s">
        <v>137</v>
      </c>
      <c r="BU3" s="24" t="s">
        <v>98</v>
      </c>
      <c r="BV3" s="43"/>
      <c r="BW3" s="25" t="s">
        <v>138</v>
      </c>
      <c r="BX3" s="24" t="s">
        <v>139</v>
      </c>
      <c r="BY3" s="24" t="s">
        <v>98</v>
      </c>
      <c r="BZ3" s="42"/>
    </row>
    <row r="4" spans="2:78" x14ac:dyDescent="0.25">
      <c r="B4" s="29">
        <v>30</v>
      </c>
      <c r="C4" s="34" t="e">
        <f>SUMIF(Master!#REF!,$B4,Master!#REF!)</f>
        <v>#REF!</v>
      </c>
      <c r="D4" s="35" t="e">
        <f>SUMIF(Master!#REF!,$B4,Master!#REF!)</f>
        <v>#REF!</v>
      </c>
      <c r="E4" s="39" t="e">
        <f>IF(C4=0,"",D4-C4)</f>
        <v>#REF!</v>
      </c>
      <c r="F4" s="31" t="e">
        <f>IF(C4=0,"",D4/C4)</f>
        <v>#REF!</v>
      </c>
      <c r="G4" s="34" t="e">
        <f>SUMIF(Master!#REF!,$B4,Master!#REF!)</f>
        <v>#REF!</v>
      </c>
      <c r="H4" s="35" t="e">
        <f>SUMIF(Master!#REF!,$B4,Master!#REF!)</f>
        <v>#REF!</v>
      </c>
      <c r="I4" s="39" t="e">
        <f>IF(G4=0,"",H4-G4)</f>
        <v>#REF!</v>
      </c>
      <c r="J4" s="31" t="e">
        <f>IF(G4=0,"",H4/G4)</f>
        <v>#REF!</v>
      </c>
      <c r="K4" s="34" t="e">
        <f>SUMIF(Master!#REF!,$B4,Master!#REF!)</f>
        <v>#REF!</v>
      </c>
      <c r="L4" s="35" t="e">
        <f>SUMIF(Master!#REF!,$B4,Master!#REF!)</f>
        <v>#REF!</v>
      </c>
      <c r="M4" s="39" t="e">
        <f>IF(L4=0,"",L4-K4)</f>
        <v>#REF!</v>
      </c>
      <c r="N4" s="31" t="e">
        <f>IF(L4=0,"",L4/K4)</f>
        <v>#REF!</v>
      </c>
      <c r="O4" s="34"/>
      <c r="P4" s="35" t="e">
        <f>SUMIF(Master!#REF!,$B4,Master!#REF!)</f>
        <v>#REF!</v>
      </c>
      <c r="Q4" s="39" t="str">
        <f>IF(O4=0,"",P4-O4)</f>
        <v/>
      </c>
      <c r="R4" s="31" t="str">
        <f>IF(O4=0,"",P4/O4)</f>
        <v/>
      </c>
      <c r="S4" s="34"/>
      <c r="T4" s="35" t="e">
        <f>SUMIF(Master!#REF!,$B4,Master!#REF!)</f>
        <v>#REF!</v>
      </c>
      <c r="U4" s="39" t="str">
        <f>IF(S4=0,"",T4-S4)</f>
        <v/>
      </c>
      <c r="V4" s="31" t="str">
        <f>IF(S4=0,"",T4/S4)</f>
        <v/>
      </c>
      <c r="X4" s="34" t="e">
        <f>SUMIF(Master!#REF!,$B4,Master!#REF!)</f>
        <v>#REF!</v>
      </c>
      <c r="Y4" s="35" t="e">
        <f>SUMIF(Master!#REF!,$B4,Master!#REF!)</f>
        <v>#REF!</v>
      </c>
      <c r="Z4" s="39" t="e">
        <f>IF(Y4=0,"",Y4-X4)</f>
        <v>#REF!</v>
      </c>
      <c r="AA4" s="31" t="e">
        <f>IF(Y4=0,"",Y4/X4)</f>
        <v>#REF!</v>
      </c>
      <c r="AB4" s="34" t="e">
        <f>SUMIF(Master!#REF!,$B4,Master!#REF!)</f>
        <v>#REF!</v>
      </c>
      <c r="AC4" s="35" t="e">
        <f>SUMIF(Master!#REF!,$B4,Master!#REF!)</f>
        <v>#REF!</v>
      </c>
      <c r="AD4" s="39" t="e">
        <f>IF(AC4=0,"",AC4-AB4)</f>
        <v>#REF!</v>
      </c>
      <c r="AE4" s="31" t="e">
        <f>IF(AC4=0,"",AC4/AB4)</f>
        <v>#REF!</v>
      </c>
      <c r="AF4" s="34" t="e">
        <f>SUMIF(Master!#REF!,$B4,Master!#REF!)</f>
        <v>#REF!</v>
      </c>
      <c r="AG4" s="35" t="e">
        <f>SUMIF(Master!#REF!,$B4,Master!#REF!)</f>
        <v>#REF!</v>
      </c>
      <c r="AH4" s="39" t="e">
        <f>IF(AG4=0,"",AG4-AF4)</f>
        <v>#REF!</v>
      </c>
      <c r="AI4" s="31" t="e">
        <f>IF(AG4=0,"",AG4/AF4)</f>
        <v>#REF!</v>
      </c>
      <c r="AJ4" s="34" t="e">
        <f>SUMIF(Master!#REF!,$B4,Master!#REF!)</f>
        <v>#REF!</v>
      </c>
      <c r="AK4" s="35" t="e">
        <f>SUMIF(Master!#REF!,$B4,Master!#REF!)</f>
        <v>#REF!</v>
      </c>
      <c r="AL4" s="39" t="e">
        <f>IF(AK4=0,"",AK4-AJ4)</f>
        <v>#REF!</v>
      </c>
      <c r="AM4" s="31" t="e">
        <f>IF(AK4=0,"",AK4/AJ4)</f>
        <v>#REF!</v>
      </c>
      <c r="AN4" s="34" t="e">
        <f>SUMIF(Master!#REF!,$B4,Master!#REF!)</f>
        <v>#REF!</v>
      </c>
      <c r="AO4" s="35" t="e">
        <f>SUMIF(Master!#REF!,$B4,Master!#REF!)</f>
        <v>#REF!</v>
      </c>
      <c r="AP4" s="39" t="e">
        <f>IF(AO4=0,"",AO4-AN4)</f>
        <v>#REF!</v>
      </c>
      <c r="AQ4" s="31" t="e">
        <f>IF(AO4=0,"",AO4/AN4)</f>
        <v>#REF!</v>
      </c>
      <c r="AR4" s="34" t="e">
        <f>SUMIF(Master!#REF!,$B4,Master!#REF!)</f>
        <v>#REF!</v>
      </c>
      <c r="AS4" s="35" t="e">
        <f>SUMIF(Master!#REF!,$B4,Master!#REF!)</f>
        <v>#REF!</v>
      </c>
      <c r="AT4" s="39" t="e">
        <f>IF(AS4=0,"",AS4-AR4)</f>
        <v>#REF!</v>
      </c>
      <c r="AU4" s="31" t="e">
        <f>IF(AS4=0,"",AS4/AR4)</f>
        <v>#REF!</v>
      </c>
      <c r="AW4" s="34" t="e">
        <f>SUMIF(Master!#REF!,$B4,Master!#REF!)</f>
        <v>#REF!</v>
      </c>
      <c r="AX4" s="35" t="e">
        <f>SUMIF(Master!#REF!,$B4,Master!#REF!)</f>
        <v>#REF!</v>
      </c>
      <c r="AY4" s="39" t="e">
        <f>IF(AX4=0,"",AX4-AW4)</f>
        <v>#REF!</v>
      </c>
      <c r="AZ4" s="31" t="e">
        <f>IF(AX4=0,"",AX4/AW4)</f>
        <v>#REF!</v>
      </c>
      <c r="BA4" s="34" t="e">
        <f>SUMIF(Master!#REF!,$B4,Master!#REF!)</f>
        <v>#REF!</v>
      </c>
      <c r="BB4" s="35" t="e">
        <f>SUMIF(Master!#REF!,$B4,Master!#REF!)</f>
        <v>#REF!</v>
      </c>
      <c r="BC4" s="39" t="e">
        <f>IF(BB4=0,"",BB4-BA4)</f>
        <v>#REF!</v>
      </c>
      <c r="BD4" s="31" t="e">
        <f>IF(BB4=0,"",BB4/BA4)</f>
        <v>#REF!</v>
      </c>
      <c r="BE4" s="34" t="e">
        <f>SUMIF(Master!#REF!,$B4,Master!#REF!)</f>
        <v>#REF!</v>
      </c>
      <c r="BF4" s="35" t="e">
        <f>SUMIF(Master!#REF!,$B4,Master!#REF!)</f>
        <v>#REF!</v>
      </c>
      <c r="BG4" s="39" t="e">
        <f>IF(BF4=0,"",BF4-BE4)</f>
        <v>#REF!</v>
      </c>
      <c r="BH4" s="31" t="e">
        <f>IF(BF4=0,"",BF4/BE4)</f>
        <v>#REF!</v>
      </c>
      <c r="BI4" s="34" t="e">
        <f>SUMIF(Master!#REF!,$B4,Master!#REF!)</f>
        <v>#REF!</v>
      </c>
      <c r="BJ4" s="35" t="e">
        <f>SUMIF(Master!#REF!,$B4,Master!#REF!)</f>
        <v>#REF!</v>
      </c>
      <c r="BK4" s="39" t="e">
        <f>IF(BJ4=0,"",BJ4-BI4)</f>
        <v>#REF!</v>
      </c>
      <c r="BL4" s="31" t="e">
        <f>IF(BJ4=0,"",BJ4/BI4)</f>
        <v>#REF!</v>
      </c>
      <c r="BM4" s="34" t="e">
        <f>SUMIF(Master!#REF!,$B4,Master!#REF!)</f>
        <v>#REF!</v>
      </c>
      <c r="BN4" s="35" t="e">
        <f>SUMIF(Master!#REF!,$B4,Master!#REF!)</f>
        <v>#REF!</v>
      </c>
      <c r="BO4" s="39" t="e">
        <f>IF(BN4=0,"",BN4-BM4)</f>
        <v>#REF!</v>
      </c>
      <c r="BP4" s="31" t="e">
        <f>IF(BN4=0,"",BN4/BM4)</f>
        <v>#REF!</v>
      </c>
      <c r="BR4" s="34" t="e">
        <f>SUMIF(Master!#REF!,$B4,Master!#REF!)</f>
        <v>#REF!</v>
      </c>
      <c r="BS4" s="35" t="e">
        <f>SUMIF(Master!#REF!,$B4,Master!#REF!)</f>
        <v>#REF!</v>
      </c>
      <c r="BT4" s="39" t="e">
        <f>IF(BS4=0,"",BS4-BR4)</f>
        <v>#REF!</v>
      </c>
      <c r="BU4" s="31" t="e">
        <f>IF(BS4=0,"",BS4/BR4)</f>
        <v>#REF!</v>
      </c>
      <c r="BW4" s="34" t="str">
        <f>IF(ISERROR(LARGE(Master!#REF!,1)),"",LARGE(Master!#REF!,1))</f>
        <v/>
      </c>
      <c r="BX4" s="35" t="str">
        <f>IF(ISERROR(LARGE(Master!#REF!,1)),"",LARGE(Master!#REF!,1))</f>
        <v/>
      </c>
      <c r="BY4" s="44" t="str">
        <f>IF(BX4="","",(BX4/BW4))</f>
        <v/>
      </c>
    </row>
    <row r="5" spans="2:78" x14ac:dyDescent="0.25">
      <c r="B5" s="29">
        <f t="shared" ref="B5:B27" si="0">B4+1</f>
        <v>31</v>
      </c>
      <c r="C5" s="36" t="e">
        <f>SUMIF(Master!#REF!,$B5,Master!#REF!)</f>
        <v>#REF!</v>
      </c>
      <c r="D5" s="35" t="e">
        <f>SUMIF(Master!#REF!,$B5,Master!#REF!)</f>
        <v>#REF!</v>
      </c>
      <c r="E5" s="39" t="e">
        <f t="shared" ref="E5:E27" si="1">IF(C5=0,"",D5-C5)</f>
        <v>#REF!</v>
      </c>
      <c r="F5" s="31" t="e">
        <f t="shared" ref="F5:F27" si="2">IF(C5=0,"",D5/C5)</f>
        <v>#REF!</v>
      </c>
      <c r="G5" s="36" t="e">
        <f>SUMIF(Master!#REF!,$B5,Master!#REF!)</f>
        <v>#REF!</v>
      </c>
      <c r="H5" s="35" t="e">
        <f>SUMIF(Master!#REF!,$B5,Master!#REF!)</f>
        <v>#REF!</v>
      </c>
      <c r="I5" s="39" t="e">
        <f t="shared" ref="I5:I27" si="3">IF(G5=0,"",H5-G5)</f>
        <v>#REF!</v>
      </c>
      <c r="J5" s="31" t="e">
        <f t="shared" ref="J5:J27" si="4">IF(G5=0,"",H5/G5)</f>
        <v>#REF!</v>
      </c>
      <c r="K5" s="36" t="e">
        <f>SUMIF(Master!#REF!,$B5,Master!#REF!)</f>
        <v>#REF!</v>
      </c>
      <c r="L5" s="35" t="e">
        <f>SUMIF(Master!#REF!,$B5,Master!#REF!)</f>
        <v>#REF!</v>
      </c>
      <c r="M5" s="39" t="e">
        <f t="shared" ref="M5:M27" si="5">IF(L5=0,"",L5-K5)</f>
        <v>#REF!</v>
      </c>
      <c r="N5" s="31" t="e">
        <f t="shared" ref="N5:N27" si="6">IF(L5=0,"",L5/K5)</f>
        <v>#REF!</v>
      </c>
      <c r="O5" s="36"/>
      <c r="P5" s="35" t="e">
        <f>SUMIF(Master!#REF!,$B5,Master!#REF!)</f>
        <v>#REF!</v>
      </c>
      <c r="Q5" s="39" t="str">
        <f t="shared" ref="Q5:Q27" si="7">IF(O5=0,"",P5-O5)</f>
        <v/>
      </c>
      <c r="R5" s="31" t="str">
        <f t="shared" ref="R5:R27" si="8">IF(O5=0,"",P5/O5)</f>
        <v/>
      </c>
      <c r="S5" s="36"/>
      <c r="T5" s="35" t="e">
        <f>SUMIF(Master!#REF!,$B5,Master!#REF!)</f>
        <v>#REF!</v>
      </c>
      <c r="U5" s="39" t="str">
        <f t="shared" ref="U5:U27" si="9">IF(S5=0,"",T5-S5)</f>
        <v/>
      </c>
      <c r="V5" s="31" t="str">
        <f t="shared" ref="V5:V27" si="10">IF(S5=0,"",T5/S5)</f>
        <v/>
      </c>
      <c r="X5" s="36" t="e">
        <f>SUMIF(Master!#REF!,$B5,Master!#REF!)</f>
        <v>#REF!</v>
      </c>
      <c r="Y5" s="35" t="e">
        <f>SUMIF(Master!#REF!,$B5,Master!#REF!)</f>
        <v>#REF!</v>
      </c>
      <c r="Z5" s="39" t="e">
        <f t="shared" ref="Z5:Z27" si="11">IF(Y5=0,"",Y5-X5)</f>
        <v>#REF!</v>
      </c>
      <c r="AA5" s="31" t="e">
        <f t="shared" ref="AA5:AA27" si="12">IF(Y5=0,"",Y5/X5)</f>
        <v>#REF!</v>
      </c>
      <c r="AB5" s="36" t="e">
        <f>SUMIF(Master!#REF!,$B5,Master!#REF!)</f>
        <v>#REF!</v>
      </c>
      <c r="AC5" s="35" t="e">
        <f>SUMIF(Master!#REF!,$B5,Master!#REF!)</f>
        <v>#REF!</v>
      </c>
      <c r="AD5" s="39" t="e">
        <f t="shared" ref="AD5:AD27" si="13">IF(AC5=0,"",AC5-AB5)</f>
        <v>#REF!</v>
      </c>
      <c r="AE5" s="31" t="e">
        <f t="shared" ref="AE5:AE27" si="14">IF(AC5=0,"",AC5/AB5)</f>
        <v>#REF!</v>
      </c>
      <c r="AF5" s="36" t="e">
        <f>SUMIF(Master!#REF!,$B5,Master!#REF!)</f>
        <v>#REF!</v>
      </c>
      <c r="AG5" s="35" t="e">
        <f>SUMIF(Master!#REF!,$B5,Master!#REF!)</f>
        <v>#REF!</v>
      </c>
      <c r="AH5" s="39" t="e">
        <f t="shared" ref="AH5:AH27" si="15">IF(AG5=0,"",AG5-AF5)</f>
        <v>#REF!</v>
      </c>
      <c r="AI5" s="31" t="e">
        <f t="shared" ref="AI5:AI27" si="16">IF(AG5=0,"",AG5/AF5)</f>
        <v>#REF!</v>
      </c>
      <c r="AJ5" s="36" t="e">
        <f>SUMIF(Master!#REF!,$B5,Master!#REF!)</f>
        <v>#REF!</v>
      </c>
      <c r="AK5" s="35" t="e">
        <f>SUMIF(Master!#REF!,$B5,Master!#REF!)</f>
        <v>#REF!</v>
      </c>
      <c r="AL5" s="39" t="e">
        <f t="shared" ref="AL5:AL27" si="17">IF(AK5=0,"",AK5-AJ5)</f>
        <v>#REF!</v>
      </c>
      <c r="AM5" s="31" t="e">
        <f t="shared" ref="AM5:AM27" si="18">IF(AK5=0,"",AK5/AJ5)</f>
        <v>#REF!</v>
      </c>
      <c r="AN5" s="36" t="e">
        <f>SUMIF(Master!#REF!,$B5,Master!#REF!)</f>
        <v>#REF!</v>
      </c>
      <c r="AO5" s="35" t="e">
        <f>SUMIF(Master!#REF!,$B5,Master!#REF!)</f>
        <v>#REF!</v>
      </c>
      <c r="AP5" s="39" t="e">
        <f t="shared" ref="AP5:AP27" si="19">IF(AO5=0,"",AO5-AN5)</f>
        <v>#REF!</v>
      </c>
      <c r="AQ5" s="31" t="e">
        <f t="shared" ref="AQ5:AQ27" si="20">IF(AO5=0,"",AO5/AN5)</f>
        <v>#REF!</v>
      </c>
      <c r="AR5" s="36" t="e">
        <f>SUMIF(Master!#REF!,$B5,Master!#REF!)</f>
        <v>#REF!</v>
      </c>
      <c r="AS5" s="35" t="e">
        <f>SUMIF(Master!#REF!,$B5,Master!#REF!)</f>
        <v>#REF!</v>
      </c>
      <c r="AT5" s="39" t="e">
        <f t="shared" ref="AT5:AT27" si="21">IF(AS5=0,"",AS5-AR5)</f>
        <v>#REF!</v>
      </c>
      <c r="AU5" s="31" t="e">
        <f t="shared" ref="AU5:AU27" si="22">IF(AS5=0,"",AS5/AR5)</f>
        <v>#REF!</v>
      </c>
      <c r="AW5" s="36" t="e">
        <f>SUMIF(Master!#REF!,$B5,Master!#REF!)</f>
        <v>#REF!</v>
      </c>
      <c r="AX5" s="35" t="e">
        <f>SUMIF(Master!#REF!,$B5,Master!#REF!)</f>
        <v>#REF!</v>
      </c>
      <c r="AY5" s="39" t="e">
        <f t="shared" ref="AY5:AY27" si="23">IF(AX5=0,"",AX5-AW5)</f>
        <v>#REF!</v>
      </c>
      <c r="AZ5" s="31" t="e">
        <f t="shared" ref="AZ5:AZ27" si="24">IF(AX5=0,"",AX5/AW5)</f>
        <v>#REF!</v>
      </c>
      <c r="BA5" s="36" t="e">
        <f>SUMIF(Master!#REF!,$B5,Master!#REF!)</f>
        <v>#REF!</v>
      </c>
      <c r="BB5" s="35" t="e">
        <f>SUMIF(Master!#REF!,$B5,Master!#REF!)</f>
        <v>#REF!</v>
      </c>
      <c r="BC5" s="39" t="e">
        <f t="shared" ref="BC5:BC27" si="25">IF(BB5=0,"",BB5-BA5)</f>
        <v>#REF!</v>
      </c>
      <c r="BD5" s="31" t="e">
        <f t="shared" ref="BD5:BD27" si="26">IF(BB5=0,"",BB5/BA5)</f>
        <v>#REF!</v>
      </c>
      <c r="BE5" s="36" t="e">
        <f>SUMIF(Master!#REF!,$B5,Master!#REF!)</f>
        <v>#REF!</v>
      </c>
      <c r="BF5" s="35" t="e">
        <f>SUMIF(Master!#REF!,$B5,Master!#REF!)</f>
        <v>#REF!</v>
      </c>
      <c r="BG5" s="39" t="e">
        <f t="shared" ref="BG5:BG27" si="27">IF(BF5=0,"",BF5-BE5)</f>
        <v>#REF!</v>
      </c>
      <c r="BH5" s="31" t="e">
        <f t="shared" ref="BH5:BH27" si="28">IF(BF5=0,"",BF5/BE5)</f>
        <v>#REF!</v>
      </c>
      <c r="BI5" s="36" t="e">
        <f>SUMIF(Master!#REF!,$B5,Master!#REF!)</f>
        <v>#REF!</v>
      </c>
      <c r="BJ5" s="35" t="e">
        <f>SUMIF(Master!#REF!,$B5,Master!#REF!)</f>
        <v>#REF!</v>
      </c>
      <c r="BK5" s="39" t="e">
        <f t="shared" ref="BK5:BK27" si="29">IF(BJ5=0,"",BJ5-BI5)</f>
        <v>#REF!</v>
      </c>
      <c r="BL5" s="31" t="e">
        <f t="shared" ref="BL5:BL27" si="30">IF(BJ5=0,"",BJ5/BI5)</f>
        <v>#REF!</v>
      </c>
      <c r="BM5" s="36" t="e">
        <f>SUMIF(Master!#REF!,$B5,Master!#REF!)</f>
        <v>#REF!</v>
      </c>
      <c r="BN5" s="35" t="e">
        <f>SUMIF(Master!#REF!,$B5,Master!#REF!)</f>
        <v>#REF!</v>
      </c>
      <c r="BO5" s="39" t="e">
        <f t="shared" ref="BO5:BO27" si="31">IF(BN5=0,"",BN5-BM5)</f>
        <v>#REF!</v>
      </c>
      <c r="BP5" s="31" t="e">
        <f t="shared" ref="BP5:BP27" si="32">IF(BN5=0,"",BN5/BM5)</f>
        <v>#REF!</v>
      </c>
      <c r="BR5" s="36" t="e">
        <f>SUMIF(Master!#REF!,$B5,Master!#REF!)</f>
        <v>#REF!</v>
      </c>
      <c r="BS5" s="35" t="e">
        <f>SUMIF(Master!#REF!,$B5,Master!#REF!)</f>
        <v>#REF!</v>
      </c>
      <c r="BT5" s="39" t="e">
        <f t="shared" ref="BT5:BT27" si="33">IF(BS5=0,"",BS5-BR5)</f>
        <v>#REF!</v>
      </c>
      <c r="BU5" s="31" t="e">
        <f t="shared" ref="BU5:BU27" si="34">IF(BS5=0,"",BS5/BR5)</f>
        <v>#REF!</v>
      </c>
      <c r="BW5" s="36" t="str">
        <f>IF(ISERROR(LARGE(Master!#REF!,1)),"",LARGE(Master!#REF!,1))</f>
        <v/>
      </c>
      <c r="BX5" s="35" t="str">
        <f>IF(ISERROR(LARGE(Master!#REF!,1)),"",LARGE(Master!#REF!,1))</f>
        <v/>
      </c>
      <c r="BY5" s="44" t="str">
        <f t="shared" ref="BY5:BY27" si="35">IF(BX5="","",(BX5/BW5))</f>
        <v/>
      </c>
    </row>
    <row r="6" spans="2:78" x14ac:dyDescent="0.25">
      <c r="B6" s="29">
        <f t="shared" si="0"/>
        <v>32</v>
      </c>
      <c r="C6" s="36" t="e">
        <f>SUMIF(Master!#REF!,$B6,Master!#REF!)</f>
        <v>#REF!</v>
      </c>
      <c r="D6" s="35" t="e">
        <f>SUMIF(Master!#REF!,$B6,Master!#REF!)</f>
        <v>#REF!</v>
      </c>
      <c r="E6" s="39" t="e">
        <f t="shared" si="1"/>
        <v>#REF!</v>
      </c>
      <c r="F6" s="31" t="e">
        <f t="shared" si="2"/>
        <v>#REF!</v>
      </c>
      <c r="G6" s="36" t="e">
        <f>SUMIF(Master!#REF!,$B6,Master!#REF!)</f>
        <v>#REF!</v>
      </c>
      <c r="H6" s="35" t="e">
        <f>SUMIF(Master!#REF!,$B6,Master!#REF!)</f>
        <v>#REF!</v>
      </c>
      <c r="I6" s="39" t="e">
        <f t="shared" si="3"/>
        <v>#REF!</v>
      </c>
      <c r="J6" s="31" t="e">
        <f t="shared" si="4"/>
        <v>#REF!</v>
      </c>
      <c r="K6" s="36" t="e">
        <f>SUMIF(Master!#REF!,$B6,Master!#REF!)</f>
        <v>#REF!</v>
      </c>
      <c r="L6" s="35" t="e">
        <f>SUMIF(Master!#REF!,$B6,Master!#REF!)</f>
        <v>#REF!</v>
      </c>
      <c r="M6" s="39" t="e">
        <f t="shared" si="5"/>
        <v>#REF!</v>
      </c>
      <c r="N6" s="31" t="e">
        <f t="shared" si="6"/>
        <v>#REF!</v>
      </c>
      <c r="O6" s="36"/>
      <c r="P6" s="35" t="e">
        <f>SUMIF(Master!#REF!,$B6,Master!#REF!)</f>
        <v>#REF!</v>
      </c>
      <c r="Q6" s="39" t="str">
        <f t="shared" si="7"/>
        <v/>
      </c>
      <c r="R6" s="31" t="str">
        <f t="shared" si="8"/>
        <v/>
      </c>
      <c r="S6" s="36"/>
      <c r="T6" s="35" t="e">
        <f>SUMIF(Master!#REF!,$B6,Master!#REF!)</f>
        <v>#REF!</v>
      </c>
      <c r="U6" s="39" t="str">
        <f t="shared" si="9"/>
        <v/>
      </c>
      <c r="V6" s="31" t="str">
        <f t="shared" si="10"/>
        <v/>
      </c>
      <c r="X6" s="36" t="e">
        <f>SUMIF(Master!#REF!,$B6,Master!#REF!)</f>
        <v>#REF!</v>
      </c>
      <c r="Y6" s="35" t="e">
        <f>SUMIF(Master!#REF!,$B6,Master!#REF!)</f>
        <v>#REF!</v>
      </c>
      <c r="Z6" s="39" t="e">
        <f t="shared" si="11"/>
        <v>#REF!</v>
      </c>
      <c r="AA6" s="31" t="e">
        <f t="shared" si="12"/>
        <v>#REF!</v>
      </c>
      <c r="AB6" s="36" t="e">
        <f>SUMIF(Master!#REF!,$B6,Master!#REF!)</f>
        <v>#REF!</v>
      </c>
      <c r="AC6" s="35" t="e">
        <f>SUMIF(Master!#REF!,$B6,Master!#REF!)</f>
        <v>#REF!</v>
      </c>
      <c r="AD6" s="39" t="e">
        <f t="shared" si="13"/>
        <v>#REF!</v>
      </c>
      <c r="AE6" s="31" t="e">
        <f t="shared" si="14"/>
        <v>#REF!</v>
      </c>
      <c r="AF6" s="36" t="e">
        <f>SUMIF(Master!#REF!,$B6,Master!#REF!)</f>
        <v>#REF!</v>
      </c>
      <c r="AG6" s="35" t="e">
        <f>SUMIF(Master!#REF!,$B6,Master!#REF!)</f>
        <v>#REF!</v>
      </c>
      <c r="AH6" s="39" t="e">
        <f t="shared" si="15"/>
        <v>#REF!</v>
      </c>
      <c r="AI6" s="31" t="e">
        <f t="shared" si="16"/>
        <v>#REF!</v>
      </c>
      <c r="AJ6" s="36" t="e">
        <f>SUMIF(Master!#REF!,$B6,Master!#REF!)</f>
        <v>#REF!</v>
      </c>
      <c r="AK6" s="35" t="e">
        <f>SUMIF(Master!#REF!,$B6,Master!#REF!)</f>
        <v>#REF!</v>
      </c>
      <c r="AL6" s="39" t="e">
        <f t="shared" si="17"/>
        <v>#REF!</v>
      </c>
      <c r="AM6" s="31" t="e">
        <f t="shared" si="18"/>
        <v>#REF!</v>
      </c>
      <c r="AN6" s="36" t="e">
        <f>SUMIF(Master!#REF!,$B6,Master!#REF!)</f>
        <v>#REF!</v>
      </c>
      <c r="AO6" s="35" t="e">
        <f>SUMIF(Master!#REF!,$B6,Master!#REF!)</f>
        <v>#REF!</v>
      </c>
      <c r="AP6" s="39" t="e">
        <f t="shared" si="19"/>
        <v>#REF!</v>
      </c>
      <c r="AQ6" s="31" t="e">
        <f t="shared" si="20"/>
        <v>#REF!</v>
      </c>
      <c r="AR6" s="36" t="e">
        <f>SUMIF(Master!#REF!,$B6,Master!#REF!)</f>
        <v>#REF!</v>
      </c>
      <c r="AS6" s="35" t="e">
        <f>SUMIF(Master!#REF!,$B6,Master!#REF!)</f>
        <v>#REF!</v>
      </c>
      <c r="AT6" s="39" t="e">
        <f t="shared" si="21"/>
        <v>#REF!</v>
      </c>
      <c r="AU6" s="31" t="e">
        <f t="shared" si="22"/>
        <v>#REF!</v>
      </c>
      <c r="AW6" s="36" t="e">
        <f>SUMIF(Master!#REF!,$B6,Master!#REF!)</f>
        <v>#REF!</v>
      </c>
      <c r="AX6" s="35" t="e">
        <f>SUMIF(Master!#REF!,$B6,Master!#REF!)</f>
        <v>#REF!</v>
      </c>
      <c r="AY6" s="39" t="e">
        <f t="shared" si="23"/>
        <v>#REF!</v>
      </c>
      <c r="AZ6" s="31" t="e">
        <f t="shared" si="24"/>
        <v>#REF!</v>
      </c>
      <c r="BA6" s="36" t="e">
        <f>SUMIF(Master!#REF!,$B6,Master!#REF!)</f>
        <v>#REF!</v>
      </c>
      <c r="BB6" s="35" t="e">
        <f>SUMIF(Master!#REF!,$B6,Master!#REF!)</f>
        <v>#REF!</v>
      </c>
      <c r="BC6" s="39" t="e">
        <f t="shared" si="25"/>
        <v>#REF!</v>
      </c>
      <c r="BD6" s="31" t="e">
        <f t="shared" si="26"/>
        <v>#REF!</v>
      </c>
      <c r="BE6" s="36" t="e">
        <f>SUMIF(Master!#REF!,$B6,Master!#REF!)</f>
        <v>#REF!</v>
      </c>
      <c r="BF6" s="35" t="e">
        <f>SUMIF(Master!#REF!,$B6,Master!#REF!)</f>
        <v>#REF!</v>
      </c>
      <c r="BG6" s="39" t="e">
        <f t="shared" si="27"/>
        <v>#REF!</v>
      </c>
      <c r="BH6" s="31" t="e">
        <f t="shared" si="28"/>
        <v>#REF!</v>
      </c>
      <c r="BI6" s="36" t="e">
        <f>SUMIF(Master!#REF!,$B6,Master!#REF!)</f>
        <v>#REF!</v>
      </c>
      <c r="BJ6" s="35" t="e">
        <f>SUMIF(Master!#REF!,$B6,Master!#REF!)</f>
        <v>#REF!</v>
      </c>
      <c r="BK6" s="39" t="e">
        <f t="shared" si="29"/>
        <v>#REF!</v>
      </c>
      <c r="BL6" s="31" t="e">
        <f t="shared" si="30"/>
        <v>#REF!</v>
      </c>
      <c r="BM6" s="36" t="e">
        <f>SUMIF(Master!#REF!,$B6,Master!#REF!)</f>
        <v>#REF!</v>
      </c>
      <c r="BN6" s="35" t="e">
        <f>SUMIF(Master!#REF!,$B6,Master!#REF!)</f>
        <v>#REF!</v>
      </c>
      <c r="BO6" s="39" t="e">
        <f t="shared" si="31"/>
        <v>#REF!</v>
      </c>
      <c r="BP6" s="31" t="e">
        <f t="shared" si="32"/>
        <v>#REF!</v>
      </c>
      <c r="BR6" s="36" t="e">
        <f>SUMIF(Master!#REF!,$B6,Master!#REF!)</f>
        <v>#REF!</v>
      </c>
      <c r="BS6" s="35" t="e">
        <f>SUMIF(Master!#REF!,$B6,Master!#REF!)</f>
        <v>#REF!</v>
      </c>
      <c r="BT6" s="39" t="e">
        <f t="shared" si="33"/>
        <v>#REF!</v>
      </c>
      <c r="BU6" s="31" t="e">
        <f t="shared" si="34"/>
        <v>#REF!</v>
      </c>
      <c r="BW6" s="36" t="str">
        <f>IF(ISERROR(LARGE(Master!#REF!,1)),"",LARGE(Master!#REF!,1))</f>
        <v/>
      </c>
      <c r="BX6" s="35" t="str">
        <f>IF(ISERROR(LARGE(Master!#REF!,1)),"",LARGE(Master!#REF!,1))</f>
        <v/>
      </c>
      <c r="BY6" s="44" t="str">
        <f t="shared" si="35"/>
        <v/>
      </c>
    </row>
    <row r="7" spans="2:78" x14ac:dyDescent="0.25">
      <c r="B7" s="29">
        <f t="shared" si="0"/>
        <v>33</v>
      </c>
      <c r="C7" s="36" t="e">
        <f>SUMIF(Master!#REF!,$B7,Master!#REF!)</f>
        <v>#REF!</v>
      </c>
      <c r="D7" s="35" t="e">
        <f>SUMIF(Master!#REF!,$B7,Master!#REF!)</f>
        <v>#REF!</v>
      </c>
      <c r="E7" s="39" t="e">
        <f t="shared" si="1"/>
        <v>#REF!</v>
      </c>
      <c r="F7" s="31" t="e">
        <f t="shared" si="2"/>
        <v>#REF!</v>
      </c>
      <c r="G7" s="36" t="e">
        <f>SUMIF(Master!#REF!,$B7,Master!#REF!)</f>
        <v>#REF!</v>
      </c>
      <c r="H7" s="35" t="e">
        <f>SUMIF(Master!#REF!,$B7,Master!#REF!)</f>
        <v>#REF!</v>
      </c>
      <c r="I7" s="39" t="e">
        <f t="shared" si="3"/>
        <v>#REF!</v>
      </c>
      <c r="J7" s="31" t="e">
        <f t="shared" si="4"/>
        <v>#REF!</v>
      </c>
      <c r="K7" s="36" t="e">
        <f>SUMIF(Master!#REF!,$B7,Master!#REF!)</f>
        <v>#REF!</v>
      </c>
      <c r="L7" s="35" t="e">
        <f>SUMIF(Master!#REF!,$B7,Master!#REF!)</f>
        <v>#REF!</v>
      </c>
      <c r="M7" s="39" t="e">
        <f t="shared" si="5"/>
        <v>#REF!</v>
      </c>
      <c r="N7" s="31" t="e">
        <f t="shared" si="6"/>
        <v>#REF!</v>
      </c>
      <c r="O7" s="36"/>
      <c r="P7" s="35" t="e">
        <f>SUMIF(Master!#REF!,$B7,Master!#REF!)</f>
        <v>#REF!</v>
      </c>
      <c r="Q7" s="39" t="str">
        <f t="shared" si="7"/>
        <v/>
      </c>
      <c r="R7" s="31" t="str">
        <f t="shared" si="8"/>
        <v/>
      </c>
      <c r="S7" s="36"/>
      <c r="T7" s="35" t="e">
        <f>SUMIF(Master!#REF!,$B7,Master!#REF!)</f>
        <v>#REF!</v>
      </c>
      <c r="U7" s="39" t="str">
        <f t="shared" si="9"/>
        <v/>
      </c>
      <c r="V7" s="31" t="str">
        <f t="shared" si="10"/>
        <v/>
      </c>
      <c r="X7" s="36" t="e">
        <f>SUMIF(Master!#REF!,$B7,Master!#REF!)</f>
        <v>#REF!</v>
      </c>
      <c r="Y7" s="35" t="e">
        <f>SUMIF(Master!#REF!,$B7,Master!#REF!)</f>
        <v>#REF!</v>
      </c>
      <c r="Z7" s="39" t="e">
        <f t="shared" si="11"/>
        <v>#REF!</v>
      </c>
      <c r="AA7" s="31" t="e">
        <f t="shared" si="12"/>
        <v>#REF!</v>
      </c>
      <c r="AB7" s="36" t="e">
        <f>SUMIF(Master!#REF!,$B7,Master!#REF!)</f>
        <v>#REF!</v>
      </c>
      <c r="AC7" s="35" t="e">
        <f>SUMIF(Master!#REF!,$B7,Master!#REF!)</f>
        <v>#REF!</v>
      </c>
      <c r="AD7" s="39" t="e">
        <f t="shared" si="13"/>
        <v>#REF!</v>
      </c>
      <c r="AE7" s="31" t="e">
        <f t="shared" si="14"/>
        <v>#REF!</v>
      </c>
      <c r="AF7" s="36" t="e">
        <f>SUMIF(Master!#REF!,$B7,Master!#REF!)</f>
        <v>#REF!</v>
      </c>
      <c r="AG7" s="35" t="e">
        <f>SUMIF(Master!#REF!,$B7,Master!#REF!)</f>
        <v>#REF!</v>
      </c>
      <c r="AH7" s="39" t="e">
        <f t="shared" si="15"/>
        <v>#REF!</v>
      </c>
      <c r="AI7" s="31" t="e">
        <f t="shared" si="16"/>
        <v>#REF!</v>
      </c>
      <c r="AJ7" s="36" t="e">
        <f>SUMIF(Master!#REF!,$B7,Master!#REF!)</f>
        <v>#REF!</v>
      </c>
      <c r="AK7" s="35" t="e">
        <f>SUMIF(Master!#REF!,$B7,Master!#REF!)</f>
        <v>#REF!</v>
      </c>
      <c r="AL7" s="39" t="e">
        <f t="shared" si="17"/>
        <v>#REF!</v>
      </c>
      <c r="AM7" s="31" t="e">
        <f t="shared" si="18"/>
        <v>#REF!</v>
      </c>
      <c r="AN7" s="36" t="e">
        <f>SUMIF(Master!#REF!,$B7,Master!#REF!)</f>
        <v>#REF!</v>
      </c>
      <c r="AO7" s="35" t="e">
        <f>SUMIF(Master!#REF!,$B7,Master!#REF!)</f>
        <v>#REF!</v>
      </c>
      <c r="AP7" s="39" t="e">
        <f t="shared" si="19"/>
        <v>#REF!</v>
      </c>
      <c r="AQ7" s="31" t="e">
        <f t="shared" si="20"/>
        <v>#REF!</v>
      </c>
      <c r="AR7" s="36" t="e">
        <f>SUMIF(Master!#REF!,$B7,Master!#REF!)</f>
        <v>#REF!</v>
      </c>
      <c r="AS7" s="35" t="e">
        <f>SUMIF(Master!#REF!,$B7,Master!#REF!)</f>
        <v>#REF!</v>
      </c>
      <c r="AT7" s="39" t="e">
        <f t="shared" si="21"/>
        <v>#REF!</v>
      </c>
      <c r="AU7" s="31" t="e">
        <f t="shared" si="22"/>
        <v>#REF!</v>
      </c>
      <c r="AW7" s="36" t="e">
        <f>SUMIF(Master!#REF!,$B7,Master!#REF!)</f>
        <v>#REF!</v>
      </c>
      <c r="AX7" s="35" t="e">
        <f>SUMIF(Master!#REF!,$B7,Master!#REF!)</f>
        <v>#REF!</v>
      </c>
      <c r="AY7" s="39" t="e">
        <f t="shared" si="23"/>
        <v>#REF!</v>
      </c>
      <c r="AZ7" s="31" t="e">
        <f t="shared" si="24"/>
        <v>#REF!</v>
      </c>
      <c r="BA7" s="36" t="e">
        <f>SUMIF(Master!#REF!,$B7,Master!#REF!)</f>
        <v>#REF!</v>
      </c>
      <c r="BB7" s="35" t="e">
        <f>SUMIF(Master!#REF!,$B7,Master!#REF!)</f>
        <v>#REF!</v>
      </c>
      <c r="BC7" s="39" t="e">
        <f t="shared" si="25"/>
        <v>#REF!</v>
      </c>
      <c r="BD7" s="31" t="e">
        <f t="shared" si="26"/>
        <v>#REF!</v>
      </c>
      <c r="BE7" s="36" t="e">
        <f>SUMIF(Master!#REF!,$B7,Master!#REF!)</f>
        <v>#REF!</v>
      </c>
      <c r="BF7" s="35" t="e">
        <f>SUMIF(Master!#REF!,$B7,Master!#REF!)</f>
        <v>#REF!</v>
      </c>
      <c r="BG7" s="39" t="e">
        <f t="shared" si="27"/>
        <v>#REF!</v>
      </c>
      <c r="BH7" s="31" t="e">
        <f t="shared" si="28"/>
        <v>#REF!</v>
      </c>
      <c r="BI7" s="36" t="e">
        <f>SUMIF(Master!#REF!,$B7,Master!#REF!)</f>
        <v>#REF!</v>
      </c>
      <c r="BJ7" s="35" t="e">
        <f>SUMIF(Master!#REF!,$B7,Master!#REF!)</f>
        <v>#REF!</v>
      </c>
      <c r="BK7" s="39" t="e">
        <f t="shared" si="29"/>
        <v>#REF!</v>
      </c>
      <c r="BL7" s="31" t="e">
        <f t="shared" si="30"/>
        <v>#REF!</v>
      </c>
      <c r="BM7" s="36" t="e">
        <f>SUMIF(Master!#REF!,$B7,Master!#REF!)</f>
        <v>#REF!</v>
      </c>
      <c r="BN7" s="35" t="e">
        <f>SUMIF(Master!#REF!,$B7,Master!#REF!)</f>
        <v>#REF!</v>
      </c>
      <c r="BO7" s="39" t="e">
        <f t="shared" si="31"/>
        <v>#REF!</v>
      </c>
      <c r="BP7" s="31" t="e">
        <f t="shared" si="32"/>
        <v>#REF!</v>
      </c>
      <c r="BR7" s="36" t="e">
        <f>SUMIF(Master!#REF!,$B7,Master!#REF!)</f>
        <v>#REF!</v>
      </c>
      <c r="BS7" s="35" t="e">
        <f>SUMIF(Master!#REF!,$B7,Master!#REF!)</f>
        <v>#REF!</v>
      </c>
      <c r="BT7" s="39" t="e">
        <f t="shared" si="33"/>
        <v>#REF!</v>
      </c>
      <c r="BU7" s="31" t="e">
        <f t="shared" si="34"/>
        <v>#REF!</v>
      </c>
      <c r="BW7" s="36" t="str">
        <f>IF(ISERROR(LARGE(Master!#REF!,1)),"",LARGE(Master!#REF!,1))</f>
        <v/>
      </c>
      <c r="BX7" s="35" t="str">
        <f>IF(ISERROR(LARGE(Master!#REF!,1)),"",LARGE(Master!#REF!,1))</f>
        <v/>
      </c>
      <c r="BY7" s="44" t="str">
        <f t="shared" si="35"/>
        <v/>
      </c>
    </row>
    <row r="8" spans="2:78" x14ac:dyDescent="0.25">
      <c r="B8" s="29">
        <f t="shared" si="0"/>
        <v>34</v>
      </c>
      <c r="C8" s="36" t="e">
        <f>SUMIF(Master!#REF!,$B8,Master!#REF!)</f>
        <v>#REF!</v>
      </c>
      <c r="D8" s="35" t="e">
        <f>SUMIF(Master!#REF!,$B8,Master!#REF!)</f>
        <v>#REF!</v>
      </c>
      <c r="E8" s="39" t="e">
        <f t="shared" si="1"/>
        <v>#REF!</v>
      </c>
      <c r="F8" s="31" t="e">
        <f t="shared" si="2"/>
        <v>#REF!</v>
      </c>
      <c r="G8" s="36" t="e">
        <f>SUMIF(Master!#REF!,$B8,Master!#REF!)</f>
        <v>#REF!</v>
      </c>
      <c r="H8" s="35" t="e">
        <f>SUMIF(Master!#REF!,$B8,Master!#REF!)</f>
        <v>#REF!</v>
      </c>
      <c r="I8" s="39" t="e">
        <f t="shared" si="3"/>
        <v>#REF!</v>
      </c>
      <c r="J8" s="31" t="e">
        <f t="shared" si="4"/>
        <v>#REF!</v>
      </c>
      <c r="K8" s="36" t="e">
        <f>SUMIF(Master!#REF!,$B8,Master!#REF!)</f>
        <v>#REF!</v>
      </c>
      <c r="L8" s="35" t="e">
        <f>SUMIF(Master!#REF!,$B8,Master!#REF!)</f>
        <v>#REF!</v>
      </c>
      <c r="M8" s="39" t="e">
        <f t="shared" si="5"/>
        <v>#REF!</v>
      </c>
      <c r="N8" s="31" t="e">
        <f t="shared" si="6"/>
        <v>#REF!</v>
      </c>
      <c r="O8" s="36"/>
      <c r="P8" s="35" t="e">
        <f>SUMIF(Master!#REF!,$B8,Master!#REF!)</f>
        <v>#REF!</v>
      </c>
      <c r="Q8" s="39" t="str">
        <f t="shared" si="7"/>
        <v/>
      </c>
      <c r="R8" s="31" t="str">
        <f t="shared" si="8"/>
        <v/>
      </c>
      <c r="S8" s="36"/>
      <c r="T8" s="35" t="e">
        <f>SUMIF(Master!#REF!,$B8,Master!#REF!)</f>
        <v>#REF!</v>
      </c>
      <c r="U8" s="39" t="str">
        <f t="shared" si="9"/>
        <v/>
      </c>
      <c r="V8" s="31" t="str">
        <f t="shared" si="10"/>
        <v/>
      </c>
      <c r="X8" s="36" t="e">
        <f>SUMIF(Master!#REF!,$B8,Master!#REF!)</f>
        <v>#REF!</v>
      </c>
      <c r="Y8" s="35" t="e">
        <f>SUMIF(Master!#REF!,$B8,Master!#REF!)</f>
        <v>#REF!</v>
      </c>
      <c r="Z8" s="39" t="e">
        <f t="shared" si="11"/>
        <v>#REF!</v>
      </c>
      <c r="AA8" s="31" t="e">
        <f t="shared" si="12"/>
        <v>#REF!</v>
      </c>
      <c r="AB8" s="36" t="e">
        <f>SUMIF(Master!#REF!,$B8,Master!#REF!)</f>
        <v>#REF!</v>
      </c>
      <c r="AC8" s="35" t="e">
        <f>SUMIF(Master!#REF!,$B8,Master!#REF!)</f>
        <v>#REF!</v>
      </c>
      <c r="AD8" s="39" t="e">
        <f t="shared" si="13"/>
        <v>#REF!</v>
      </c>
      <c r="AE8" s="31" t="e">
        <f t="shared" si="14"/>
        <v>#REF!</v>
      </c>
      <c r="AF8" s="36" t="e">
        <f>SUMIF(Master!#REF!,$B8,Master!#REF!)</f>
        <v>#REF!</v>
      </c>
      <c r="AG8" s="35" t="e">
        <f>SUMIF(Master!#REF!,$B8,Master!#REF!)</f>
        <v>#REF!</v>
      </c>
      <c r="AH8" s="39" t="e">
        <f t="shared" si="15"/>
        <v>#REF!</v>
      </c>
      <c r="AI8" s="31" t="e">
        <f t="shared" si="16"/>
        <v>#REF!</v>
      </c>
      <c r="AJ8" s="36" t="e">
        <f>SUMIF(Master!#REF!,$B8,Master!#REF!)</f>
        <v>#REF!</v>
      </c>
      <c r="AK8" s="35" t="e">
        <f>SUMIF(Master!#REF!,$B8,Master!#REF!)</f>
        <v>#REF!</v>
      </c>
      <c r="AL8" s="39" t="e">
        <f t="shared" si="17"/>
        <v>#REF!</v>
      </c>
      <c r="AM8" s="31" t="e">
        <f t="shared" si="18"/>
        <v>#REF!</v>
      </c>
      <c r="AN8" s="36" t="e">
        <f>SUMIF(Master!#REF!,$B8,Master!#REF!)</f>
        <v>#REF!</v>
      </c>
      <c r="AO8" s="35" t="e">
        <f>SUMIF(Master!#REF!,$B8,Master!#REF!)</f>
        <v>#REF!</v>
      </c>
      <c r="AP8" s="39" t="e">
        <f t="shared" si="19"/>
        <v>#REF!</v>
      </c>
      <c r="AQ8" s="31" t="e">
        <f t="shared" si="20"/>
        <v>#REF!</v>
      </c>
      <c r="AR8" s="36" t="e">
        <f>SUMIF(Master!#REF!,$B8,Master!#REF!)</f>
        <v>#REF!</v>
      </c>
      <c r="AS8" s="35" t="e">
        <f>SUMIF(Master!#REF!,$B8,Master!#REF!)</f>
        <v>#REF!</v>
      </c>
      <c r="AT8" s="39" t="e">
        <f t="shared" si="21"/>
        <v>#REF!</v>
      </c>
      <c r="AU8" s="31" t="e">
        <f t="shared" si="22"/>
        <v>#REF!</v>
      </c>
      <c r="AW8" s="36" t="e">
        <f>SUMIF(Master!#REF!,$B8,Master!#REF!)</f>
        <v>#REF!</v>
      </c>
      <c r="AX8" s="35" t="e">
        <f>SUMIF(Master!#REF!,$B8,Master!#REF!)</f>
        <v>#REF!</v>
      </c>
      <c r="AY8" s="39" t="e">
        <f t="shared" si="23"/>
        <v>#REF!</v>
      </c>
      <c r="AZ8" s="31" t="e">
        <f t="shared" si="24"/>
        <v>#REF!</v>
      </c>
      <c r="BA8" s="36" t="e">
        <f>SUMIF(Master!#REF!,$B8,Master!#REF!)</f>
        <v>#REF!</v>
      </c>
      <c r="BB8" s="35" t="e">
        <f>SUMIF(Master!#REF!,$B8,Master!#REF!)</f>
        <v>#REF!</v>
      </c>
      <c r="BC8" s="39" t="e">
        <f t="shared" si="25"/>
        <v>#REF!</v>
      </c>
      <c r="BD8" s="31" t="e">
        <f t="shared" si="26"/>
        <v>#REF!</v>
      </c>
      <c r="BE8" s="36" t="e">
        <f>SUMIF(Master!#REF!,$B8,Master!#REF!)</f>
        <v>#REF!</v>
      </c>
      <c r="BF8" s="35" t="e">
        <f>SUMIF(Master!#REF!,$B8,Master!#REF!)</f>
        <v>#REF!</v>
      </c>
      <c r="BG8" s="39" t="e">
        <f t="shared" si="27"/>
        <v>#REF!</v>
      </c>
      <c r="BH8" s="31" t="e">
        <f t="shared" si="28"/>
        <v>#REF!</v>
      </c>
      <c r="BI8" s="36" t="e">
        <f>SUMIF(Master!#REF!,$B8,Master!#REF!)</f>
        <v>#REF!</v>
      </c>
      <c r="BJ8" s="35" t="e">
        <f>SUMIF(Master!#REF!,$B8,Master!#REF!)</f>
        <v>#REF!</v>
      </c>
      <c r="BK8" s="39" t="e">
        <f t="shared" si="29"/>
        <v>#REF!</v>
      </c>
      <c r="BL8" s="31" t="e">
        <f t="shared" si="30"/>
        <v>#REF!</v>
      </c>
      <c r="BM8" s="36" t="e">
        <f>SUMIF(Master!#REF!,$B8,Master!#REF!)</f>
        <v>#REF!</v>
      </c>
      <c r="BN8" s="35" t="e">
        <f>SUMIF(Master!#REF!,$B8,Master!#REF!)</f>
        <v>#REF!</v>
      </c>
      <c r="BO8" s="39" t="e">
        <f t="shared" si="31"/>
        <v>#REF!</v>
      </c>
      <c r="BP8" s="31" t="e">
        <f t="shared" si="32"/>
        <v>#REF!</v>
      </c>
      <c r="BR8" s="36" t="e">
        <f>SUMIF(Master!#REF!,$B8,Master!#REF!)</f>
        <v>#REF!</v>
      </c>
      <c r="BS8" s="35" t="e">
        <f>SUMIF(Master!#REF!,$B8,Master!#REF!)</f>
        <v>#REF!</v>
      </c>
      <c r="BT8" s="39" t="e">
        <f t="shared" si="33"/>
        <v>#REF!</v>
      </c>
      <c r="BU8" s="31" t="e">
        <f t="shared" si="34"/>
        <v>#REF!</v>
      </c>
      <c r="BW8" s="36" t="str">
        <f>IF(ISERROR(LARGE(Master!#REF!,1)),"",LARGE(Master!#REF!,1))</f>
        <v/>
      </c>
      <c r="BX8" s="35" t="str">
        <f>IF(ISERROR(LARGE(Master!#REF!,1)),"",LARGE(Master!#REF!,1))</f>
        <v/>
      </c>
      <c r="BY8" s="44" t="str">
        <f t="shared" si="35"/>
        <v/>
      </c>
    </row>
    <row r="9" spans="2:78" s="33" customFormat="1" x14ac:dyDescent="0.25">
      <c r="B9" s="32">
        <f t="shared" si="0"/>
        <v>35</v>
      </c>
      <c r="C9" s="37" t="e">
        <f>SUMIF(Master!#REF!,$B9,Master!#REF!)</f>
        <v>#REF!</v>
      </c>
      <c r="D9" s="38" t="e">
        <f>SUMIF(Master!#REF!,$B9,Master!#REF!)</f>
        <v>#REF!</v>
      </c>
      <c r="E9" s="40" t="e">
        <f t="shared" si="1"/>
        <v>#REF!</v>
      </c>
      <c r="F9" s="30" t="e">
        <f t="shared" si="2"/>
        <v>#REF!</v>
      </c>
      <c r="G9" s="37" t="e">
        <f>SUMIF(Master!#REF!,$B9,Master!#REF!)</f>
        <v>#REF!</v>
      </c>
      <c r="H9" s="38" t="e">
        <f>SUMIF(Master!#REF!,$B9,Master!#REF!)</f>
        <v>#REF!</v>
      </c>
      <c r="I9" s="40" t="e">
        <f t="shared" si="3"/>
        <v>#REF!</v>
      </c>
      <c r="J9" s="30" t="e">
        <f t="shared" si="4"/>
        <v>#REF!</v>
      </c>
      <c r="K9" s="37" t="e">
        <f>SUMIF(Master!#REF!,$B9,Master!#REF!)</f>
        <v>#REF!</v>
      </c>
      <c r="L9" s="38" t="e">
        <f>SUMIF(Master!#REF!,$B9,Master!#REF!)</f>
        <v>#REF!</v>
      </c>
      <c r="M9" s="40" t="e">
        <f t="shared" si="5"/>
        <v>#REF!</v>
      </c>
      <c r="N9" s="30" t="e">
        <f t="shared" si="6"/>
        <v>#REF!</v>
      </c>
      <c r="O9" s="37"/>
      <c r="P9" s="38" t="e">
        <f>SUMIF(Master!#REF!,$B9,Master!#REF!)</f>
        <v>#REF!</v>
      </c>
      <c r="Q9" s="40" t="str">
        <f t="shared" si="7"/>
        <v/>
      </c>
      <c r="R9" s="30" t="str">
        <f t="shared" si="8"/>
        <v/>
      </c>
      <c r="S9" s="37"/>
      <c r="T9" s="38" t="e">
        <f>SUMIF(Master!#REF!,$B9,Master!#REF!)</f>
        <v>#REF!</v>
      </c>
      <c r="U9" s="40" t="str">
        <f t="shared" si="9"/>
        <v/>
      </c>
      <c r="V9" s="30" t="str">
        <f t="shared" si="10"/>
        <v/>
      </c>
      <c r="X9" s="37" t="e">
        <f>SUMIF(Master!#REF!,$B9,Master!#REF!)</f>
        <v>#REF!</v>
      </c>
      <c r="Y9" s="38" t="e">
        <f>SUMIF(Master!#REF!,$B9,Master!#REF!)</f>
        <v>#REF!</v>
      </c>
      <c r="Z9" s="40" t="e">
        <f t="shared" si="11"/>
        <v>#REF!</v>
      </c>
      <c r="AA9" s="30" t="e">
        <f t="shared" si="12"/>
        <v>#REF!</v>
      </c>
      <c r="AB9" s="37" t="e">
        <f>SUMIF(Master!#REF!,$B9,Master!#REF!)</f>
        <v>#REF!</v>
      </c>
      <c r="AC9" s="38" t="e">
        <f>SUMIF(Master!#REF!,$B9,Master!#REF!)</f>
        <v>#REF!</v>
      </c>
      <c r="AD9" s="40" t="e">
        <f t="shared" si="13"/>
        <v>#REF!</v>
      </c>
      <c r="AE9" s="30" t="e">
        <f t="shared" si="14"/>
        <v>#REF!</v>
      </c>
      <c r="AF9" s="37" t="e">
        <f>SUMIF(Master!#REF!,$B9,Master!#REF!)</f>
        <v>#REF!</v>
      </c>
      <c r="AG9" s="38" t="e">
        <f>SUMIF(Master!#REF!,$B9,Master!#REF!)</f>
        <v>#REF!</v>
      </c>
      <c r="AH9" s="40" t="e">
        <f t="shared" si="15"/>
        <v>#REF!</v>
      </c>
      <c r="AI9" s="30" t="e">
        <f t="shared" si="16"/>
        <v>#REF!</v>
      </c>
      <c r="AJ9" s="37" t="e">
        <f>SUMIF(Master!#REF!,$B9,Master!#REF!)</f>
        <v>#REF!</v>
      </c>
      <c r="AK9" s="38" t="e">
        <f>SUMIF(Master!#REF!,$B9,Master!#REF!)</f>
        <v>#REF!</v>
      </c>
      <c r="AL9" s="40" t="e">
        <f t="shared" si="17"/>
        <v>#REF!</v>
      </c>
      <c r="AM9" s="30" t="e">
        <f t="shared" si="18"/>
        <v>#REF!</v>
      </c>
      <c r="AN9" s="37" t="e">
        <f>SUMIF(Master!#REF!,$B9,Master!#REF!)</f>
        <v>#REF!</v>
      </c>
      <c r="AO9" s="38" t="e">
        <f>SUMIF(Master!#REF!,$B9,Master!#REF!)</f>
        <v>#REF!</v>
      </c>
      <c r="AP9" s="40" t="e">
        <f t="shared" si="19"/>
        <v>#REF!</v>
      </c>
      <c r="AQ9" s="30" t="e">
        <f t="shared" si="20"/>
        <v>#REF!</v>
      </c>
      <c r="AR9" s="37" t="e">
        <f>SUMIF(Master!#REF!,$B9,Master!#REF!)</f>
        <v>#REF!</v>
      </c>
      <c r="AS9" s="38" t="e">
        <f>SUMIF(Master!#REF!,$B9,Master!#REF!)</f>
        <v>#REF!</v>
      </c>
      <c r="AT9" s="40" t="e">
        <f t="shared" si="21"/>
        <v>#REF!</v>
      </c>
      <c r="AU9" s="30" t="e">
        <f t="shared" si="22"/>
        <v>#REF!</v>
      </c>
      <c r="AW9" s="37" t="e">
        <f>SUMIF(Master!#REF!,$B9,Master!#REF!)</f>
        <v>#REF!</v>
      </c>
      <c r="AX9" s="38" t="e">
        <f>SUMIF(Master!#REF!,$B9,Master!#REF!)</f>
        <v>#REF!</v>
      </c>
      <c r="AY9" s="40" t="e">
        <f t="shared" si="23"/>
        <v>#REF!</v>
      </c>
      <c r="AZ9" s="30" t="e">
        <f t="shared" si="24"/>
        <v>#REF!</v>
      </c>
      <c r="BA9" s="37" t="e">
        <f>SUMIF(Master!#REF!,$B9,Master!#REF!)</f>
        <v>#REF!</v>
      </c>
      <c r="BB9" s="38" t="e">
        <f>SUMIF(Master!#REF!,$B9,Master!#REF!)</f>
        <v>#REF!</v>
      </c>
      <c r="BC9" s="40" t="e">
        <f t="shared" si="25"/>
        <v>#REF!</v>
      </c>
      <c r="BD9" s="30" t="e">
        <f t="shared" si="26"/>
        <v>#REF!</v>
      </c>
      <c r="BE9" s="37" t="e">
        <f>SUMIF(Master!#REF!,$B9,Master!#REF!)</f>
        <v>#REF!</v>
      </c>
      <c r="BF9" s="38" t="e">
        <f>SUMIF(Master!#REF!,$B9,Master!#REF!)</f>
        <v>#REF!</v>
      </c>
      <c r="BG9" s="40" t="e">
        <f t="shared" si="27"/>
        <v>#REF!</v>
      </c>
      <c r="BH9" s="30" t="e">
        <f t="shared" si="28"/>
        <v>#REF!</v>
      </c>
      <c r="BI9" s="37" t="e">
        <f>SUMIF(Master!#REF!,$B9,Master!#REF!)</f>
        <v>#REF!</v>
      </c>
      <c r="BJ9" s="38" t="e">
        <f>SUMIF(Master!#REF!,$B9,Master!#REF!)</f>
        <v>#REF!</v>
      </c>
      <c r="BK9" s="40" t="e">
        <f t="shared" si="29"/>
        <v>#REF!</v>
      </c>
      <c r="BL9" s="30" t="e">
        <f t="shared" si="30"/>
        <v>#REF!</v>
      </c>
      <c r="BM9" s="37" t="e">
        <f>SUMIF(Master!#REF!,$B9,Master!#REF!)</f>
        <v>#REF!</v>
      </c>
      <c r="BN9" s="38" t="e">
        <f>SUMIF(Master!#REF!,$B9,Master!#REF!)</f>
        <v>#REF!</v>
      </c>
      <c r="BO9" s="40" t="e">
        <f t="shared" si="31"/>
        <v>#REF!</v>
      </c>
      <c r="BP9" s="30" t="e">
        <f t="shared" si="32"/>
        <v>#REF!</v>
      </c>
      <c r="BR9" s="37" t="e">
        <f>SUMIF(Master!#REF!,$B9,Master!#REF!)</f>
        <v>#REF!</v>
      </c>
      <c r="BS9" s="38" t="e">
        <f>SUMIF(Master!#REF!,$B9,Master!#REF!)</f>
        <v>#REF!</v>
      </c>
      <c r="BT9" s="40" t="e">
        <f t="shared" si="33"/>
        <v>#REF!</v>
      </c>
      <c r="BU9" s="30" t="e">
        <f t="shared" si="34"/>
        <v>#REF!</v>
      </c>
      <c r="BW9" s="37" t="str">
        <f>IF(ISERROR(LARGE(Master!#REF!,1)),"",LARGE(Master!#REF!,1))</f>
        <v/>
      </c>
      <c r="BX9" s="38" t="str">
        <f>IF(ISERROR(LARGE(Master!#REF!,1)),"",LARGE(Master!#REF!,1))</f>
        <v/>
      </c>
      <c r="BY9" s="45" t="str">
        <f t="shared" si="35"/>
        <v/>
      </c>
    </row>
    <row r="10" spans="2:78" x14ac:dyDescent="0.25">
      <c r="B10" s="29">
        <f t="shared" si="0"/>
        <v>36</v>
      </c>
      <c r="C10" s="36" t="e">
        <f>SUMIF(Master!#REF!,$B10,Master!#REF!)</f>
        <v>#REF!</v>
      </c>
      <c r="D10" s="35" t="e">
        <f>SUMIF(Master!#REF!,$B10,Master!#REF!)</f>
        <v>#REF!</v>
      </c>
      <c r="E10" s="39" t="e">
        <f t="shared" si="1"/>
        <v>#REF!</v>
      </c>
      <c r="F10" s="31" t="e">
        <f t="shared" si="2"/>
        <v>#REF!</v>
      </c>
      <c r="G10" s="36" t="e">
        <f>SUMIF(Master!#REF!,$B10,Master!#REF!)</f>
        <v>#REF!</v>
      </c>
      <c r="H10" s="35" t="e">
        <f>SUMIF(Master!#REF!,$B10,Master!#REF!)</f>
        <v>#REF!</v>
      </c>
      <c r="I10" s="39" t="e">
        <f t="shared" si="3"/>
        <v>#REF!</v>
      </c>
      <c r="J10" s="31" t="e">
        <f t="shared" si="4"/>
        <v>#REF!</v>
      </c>
      <c r="K10" s="36" t="e">
        <f>SUMIF(Master!#REF!,$B10,Master!#REF!)</f>
        <v>#REF!</v>
      </c>
      <c r="L10" s="35" t="e">
        <f>SUMIF(Master!#REF!,$B10,Master!#REF!)</f>
        <v>#REF!</v>
      </c>
      <c r="M10" s="39" t="e">
        <f t="shared" si="5"/>
        <v>#REF!</v>
      </c>
      <c r="N10" s="31" t="e">
        <f t="shared" si="6"/>
        <v>#REF!</v>
      </c>
      <c r="O10" s="36"/>
      <c r="P10" s="35" t="e">
        <f>SUMIF(Master!#REF!,$B10,Master!#REF!)</f>
        <v>#REF!</v>
      </c>
      <c r="Q10" s="39" t="str">
        <f t="shared" si="7"/>
        <v/>
      </c>
      <c r="R10" s="31" t="str">
        <f t="shared" si="8"/>
        <v/>
      </c>
      <c r="S10" s="36"/>
      <c r="T10" s="35" t="e">
        <f>SUMIF(Master!#REF!,$B10,Master!#REF!)</f>
        <v>#REF!</v>
      </c>
      <c r="U10" s="39" t="str">
        <f t="shared" si="9"/>
        <v/>
      </c>
      <c r="V10" s="31" t="str">
        <f t="shared" si="10"/>
        <v/>
      </c>
      <c r="X10" s="36" t="e">
        <f>SUMIF(Master!#REF!,$B10,Master!#REF!)</f>
        <v>#REF!</v>
      </c>
      <c r="Y10" s="35" t="e">
        <f>SUMIF(Master!#REF!,$B10,Master!#REF!)</f>
        <v>#REF!</v>
      </c>
      <c r="Z10" s="39" t="e">
        <f t="shared" si="11"/>
        <v>#REF!</v>
      </c>
      <c r="AA10" s="31" t="e">
        <f t="shared" si="12"/>
        <v>#REF!</v>
      </c>
      <c r="AB10" s="36" t="e">
        <f>SUMIF(Master!#REF!,$B10,Master!#REF!)</f>
        <v>#REF!</v>
      </c>
      <c r="AC10" s="35" t="e">
        <f>SUMIF(Master!#REF!,$B10,Master!#REF!)</f>
        <v>#REF!</v>
      </c>
      <c r="AD10" s="39" t="e">
        <f t="shared" si="13"/>
        <v>#REF!</v>
      </c>
      <c r="AE10" s="31" t="e">
        <f t="shared" si="14"/>
        <v>#REF!</v>
      </c>
      <c r="AF10" s="36" t="e">
        <f>SUMIF(Master!#REF!,$B10,Master!#REF!)</f>
        <v>#REF!</v>
      </c>
      <c r="AG10" s="35" t="e">
        <f>SUMIF(Master!#REF!,$B10,Master!#REF!)</f>
        <v>#REF!</v>
      </c>
      <c r="AH10" s="39" t="e">
        <f t="shared" si="15"/>
        <v>#REF!</v>
      </c>
      <c r="AI10" s="31" t="e">
        <f t="shared" si="16"/>
        <v>#REF!</v>
      </c>
      <c r="AJ10" s="36" t="e">
        <f>SUMIF(Master!#REF!,$B10,Master!#REF!)</f>
        <v>#REF!</v>
      </c>
      <c r="AK10" s="35" t="e">
        <f>SUMIF(Master!#REF!,$B10,Master!#REF!)</f>
        <v>#REF!</v>
      </c>
      <c r="AL10" s="39" t="e">
        <f t="shared" si="17"/>
        <v>#REF!</v>
      </c>
      <c r="AM10" s="31" t="e">
        <f t="shared" si="18"/>
        <v>#REF!</v>
      </c>
      <c r="AN10" s="36" t="e">
        <f>SUMIF(Master!#REF!,$B10,Master!#REF!)</f>
        <v>#REF!</v>
      </c>
      <c r="AO10" s="35" t="e">
        <f>SUMIF(Master!#REF!,$B10,Master!#REF!)</f>
        <v>#REF!</v>
      </c>
      <c r="AP10" s="39" t="e">
        <f t="shared" si="19"/>
        <v>#REF!</v>
      </c>
      <c r="AQ10" s="31" t="e">
        <f t="shared" si="20"/>
        <v>#REF!</v>
      </c>
      <c r="AR10" s="36" t="e">
        <f>SUMIF(Master!#REF!,$B10,Master!#REF!)</f>
        <v>#REF!</v>
      </c>
      <c r="AS10" s="35" t="e">
        <f>SUMIF(Master!#REF!,$B10,Master!#REF!)</f>
        <v>#REF!</v>
      </c>
      <c r="AT10" s="39" t="e">
        <f t="shared" si="21"/>
        <v>#REF!</v>
      </c>
      <c r="AU10" s="31" t="e">
        <f t="shared" si="22"/>
        <v>#REF!</v>
      </c>
      <c r="AW10" s="36" t="e">
        <f>SUMIF(Master!#REF!,$B10,Master!#REF!)</f>
        <v>#REF!</v>
      </c>
      <c r="AX10" s="35" t="e">
        <f>SUMIF(Master!#REF!,$B10,Master!#REF!)</f>
        <v>#REF!</v>
      </c>
      <c r="AY10" s="39" t="e">
        <f t="shared" si="23"/>
        <v>#REF!</v>
      </c>
      <c r="AZ10" s="31" t="e">
        <f t="shared" si="24"/>
        <v>#REF!</v>
      </c>
      <c r="BA10" s="36" t="e">
        <f>SUMIF(Master!#REF!,$B10,Master!#REF!)</f>
        <v>#REF!</v>
      </c>
      <c r="BB10" s="35" t="e">
        <f>SUMIF(Master!#REF!,$B10,Master!#REF!)</f>
        <v>#REF!</v>
      </c>
      <c r="BC10" s="39" t="e">
        <f t="shared" si="25"/>
        <v>#REF!</v>
      </c>
      <c r="BD10" s="31" t="e">
        <f t="shared" si="26"/>
        <v>#REF!</v>
      </c>
      <c r="BE10" s="36" t="e">
        <f>SUMIF(Master!#REF!,$B10,Master!#REF!)</f>
        <v>#REF!</v>
      </c>
      <c r="BF10" s="35" t="e">
        <f>SUMIF(Master!#REF!,$B10,Master!#REF!)</f>
        <v>#REF!</v>
      </c>
      <c r="BG10" s="39" t="e">
        <f t="shared" si="27"/>
        <v>#REF!</v>
      </c>
      <c r="BH10" s="31" t="e">
        <f t="shared" si="28"/>
        <v>#REF!</v>
      </c>
      <c r="BI10" s="36" t="e">
        <f>SUMIF(Master!#REF!,$B10,Master!#REF!)</f>
        <v>#REF!</v>
      </c>
      <c r="BJ10" s="35" t="e">
        <f>SUMIF(Master!#REF!,$B10,Master!#REF!)</f>
        <v>#REF!</v>
      </c>
      <c r="BK10" s="39" t="e">
        <f t="shared" si="29"/>
        <v>#REF!</v>
      </c>
      <c r="BL10" s="31" t="e">
        <f t="shared" si="30"/>
        <v>#REF!</v>
      </c>
      <c r="BM10" s="36" t="e">
        <f>SUMIF(Master!#REF!,$B10,Master!#REF!)</f>
        <v>#REF!</v>
      </c>
      <c r="BN10" s="35" t="e">
        <f>SUMIF(Master!#REF!,$B10,Master!#REF!)</f>
        <v>#REF!</v>
      </c>
      <c r="BO10" s="39" t="e">
        <f t="shared" si="31"/>
        <v>#REF!</v>
      </c>
      <c r="BP10" s="31" t="e">
        <f t="shared" si="32"/>
        <v>#REF!</v>
      </c>
      <c r="BR10" s="36" t="e">
        <f>SUMIF(Master!#REF!,$B10,Master!#REF!)</f>
        <v>#REF!</v>
      </c>
      <c r="BS10" s="35" t="e">
        <f>SUMIF(Master!#REF!,$B10,Master!#REF!)</f>
        <v>#REF!</v>
      </c>
      <c r="BT10" s="39" t="e">
        <f t="shared" si="33"/>
        <v>#REF!</v>
      </c>
      <c r="BU10" s="31" t="e">
        <f t="shared" si="34"/>
        <v>#REF!</v>
      </c>
      <c r="BW10" s="36" t="str">
        <f>IF(ISERROR(LARGE(Master!#REF!,1)),"",LARGE(Master!#REF!,1))</f>
        <v/>
      </c>
      <c r="BX10" s="35" t="str">
        <f>IF(ISERROR(LARGE(Master!#REF!,1)),"",LARGE(Master!#REF!,1))</f>
        <v/>
      </c>
      <c r="BY10" s="44" t="str">
        <f t="shared" si="35"/>
        <v/>
      </c>
    </row>
    <row r="11" spans="2:78" x14ac:dyDescent="0.25">
      <c r="B11" s="29">
        <f t="shared" si="0"/>
        <v>37</v>
      </c>
      <c r="C11" s="36" t="e">
        <f>SUMIF(Master!#REF!,$B11,Master!#REF!)</f>
        <v>#REF!</v>
      </c>
      <c r="D11" s="35" t="e">
        <f>SUMIF(Master!#REF!,$B11,Master!#REF!)</f>
        <v>#REF!</v>
      </c>
      <c r="E11" s="39" t="e">
        <f t="shared" si="1"/>
        <v>#REF!</v>
      </c>
      <c r="F11" s="31" t="e">
        <f t="shared" si="2"/>
        <v>#REF!</v>
      </c>
      <c r="G11" s="36" t="e">
        <f>SUMIF(Master!#REF!,$B11,Master!#REF!)</f>
        <v>#REF!</v>
      </c>
      <c r="H11" s="35" t="e">
        <f>SUMIF(Master!#REF!,$B11,Master!#REF!)</f>
        <v>#REF!</v>
      </c>
      <c r="I11" s="39" t="e">
        <f t="shared" si="3"/>
        <v>#REF!</v>
      </c>
      <c r="J11" s="31" t="e">
        <f t="shared" si="4"/>
        <v>#REF!</v>
      </c>
      <c r="K11" s="36" t="e">
        <f>SUMIF(Master!#REF!,$B11,Master!#REF!)</f>
        <v>#REF!</v>
      </c>
      <c r="L11" s="35" t="e">
        <f>SUMIF(Master!#REF!,$B11,Master!#REF!)</f>
        <v>#REF!</v>
      </c>
      <c r="M11" s="39" t="e">
        <f t="shared" si="5"/>
        <v>#REF!</v>
      </c>
      <c r="N11" s="31" t="e">
        <f t="shared" si="6"/>
        <v>#REF!</v>
      </c>
      <c r="O11" s="36"/>
      <c r="P11" s="35" t="e">
        <f>SUMIF(Master!#REF!,$B11,Master!#REF!)</f>
        <v>#REF!</v>
      </c>
      <c r="Q11" s="39" t="str">
        <f t="shared" si="7"/>
        <v/>
      </c>
      <c r="R11" s="31" t="str">
        <f t="shared" si="8"/>
        <v/>
      </c>
      <c r="S11" s="36"/>
      <c r="T11" s="35" t="e">
        <f>SUMIF(Master!#REF!,$B11,Master!#REF!)</f>
        <v>#REF!</v>
      </c>
      <c r="U11" s="39" t="str">
        <f t="shared" si="9"/>
        <v/>
      </c>
      <c r="V11" s="31" t="str">
        <f t="shared" si="10"/>
        <v/>
      </c>
      <c r="X11" s="36" t="e">
        <f>SUMIF(Master!#REF!,$B11,Master!#REF!)</f>
        <v>#REF!</v>
      </c>
      <c r="Y11" s="35" t="e">
        <f>SUMIF(Master!#REF!,$B11,Master!#REF!)</f>
        <v>#REF!</v>
      </c>
      <c r="Z11" s="39" t="e">
        <f t="shared" si="11"/>
        <v>#REF!</v>
      </c>
      <c r="AA11" s="31" t="e">
        <f t="shared" si="12"/>
        <v>#REF!</v>
      </c>
      <c r="AB11" s="36" t="e">
        <f>SUMIF(Master!#REF!,$B11,Master!#REF!)</f>
        <v>#REF!</v>
      </c>
      <c r="AC11" s="35" t="e">
        <f>SUMIF(Master!#REF!,$B11,Master!#REF!)</f>
        <v>#REF!</v>
      </c>
      <c r="AD11" s="39" t="e">
        <f t="shared" si="13"/>
        <v>#REF!</v>
      </c>
      <c r="AE11" s="31" t="e">
        <f t="shared" si="14"/>
        <v>#REF!</v>
      </c>
      <c r="AF11" s="36" t="e">
        <f>SUMIF(Master!#REF!,$B11,Master!#REF!)</f>
        <v>#REF!</v>
      </c>
      <c r="AG11" s="35" t="e">
        <f>SUMIF(Master!#REF!,$B11,Master!#REF!)</f>
        <v>#REF!</v>
      </c>
      <c r="AH11" s="39" t="e">
        <f t="shared" si="15"/>
        <v>#REF!</v>
      </c>
      <c r="AI11" s="31" t="e">
        <f t="shared" si="16"/>
        <v>#REF!</v>
      </c>
      <c r="AJ11" s="36" t="e">
        <f>SUMIF(Master!#REF!,$B11,Master!#REF!)</f>
        <v>#REF!</v>
      </c>
      <c r="AK11" s="35" t="e">
        <f>SUMIF(Master!#REF!,$B11,Master!#REF!)</f>
        <v>#REF!</v>
      </c>
      <c r="AL11" s="39" t="e">
        <f t="shared" si="17"/>
        <v>#REF!</v>
      </c>
      <c r="AM11" s="31" t="e">
        <f t="shared" si="18"/>
        <v>#REF!</v>
      </c>
      <c r="AN11" s="36" t="e">
        <f>SUMIF(Master!#REF!,$B11,Master!#REF!)</f>
        <v>#REF!</v>
      </c>
      <c r="AO11" s="35" t="e">
        <f>SUMIF(Master!#REF!,$B11,Master!#REF!)</f>
        <v>#REF!</v>
      </c>
      <c r="AP11" s="39" t="e">
        <f t="shared" si="19"/>
        <v>#REF!</v>
      </c>
      <c r="AQ11" s="31" t="e">
        <f t="shared" si="20"/>
        <v>#REF!</v>
      </c>
      <c r="AR11" s="36" t="e">
        <f>SUMIF(Master!#REF!,$B11,Master!#REF!)</f>
        <v>#REF!</v>
      </c>
      <c r="AS11" s="35" t="e">
        <f>SUMIF(Master!#REF!,$B11,Master!#REF!)</f>
        <v>#REF!</v>
      </c>
      <c r="AT11" s="39" t="e">
        <f t="shared" si="21"/>
        <v>#REF!</v>
      </c>
      <c r="AU11" s="31" t="e">
        <f t="shared" si="22"/>
        <v>#REF!</v>
      </c>
      <c r="AW11" s="36" t="e">
        <f>SUMIF(Master!#REF!,$B11,Master!#REF!)</f>
        <v>#REF!</v>
      </c>
      <c r="AX11" s="35" t="e">
        <f>SUMIF(Master!#REF!,$B11,Master!#REF!)</f>
        <v>#REF!</v>
      </c>
      <c r="AY11" s="39" t="e">
        <f t="shared" si="23"/>
        <v>#REF!</v>
      </c>
      <c r="AZ11" s="31" t="e">
        <f t="shared" si="24"/>
        <v>#REF!</v>
      </c>
      <c r="BA11" s="36" t="e">
        <f>SUMIF(Master!#REF!,$B11,Master!#REF!)</f>
        <v>#REF!</v>
      </c>
      <c r="BB11" s="35" t="e">
        <f>SUMIF(Master!#REF!,$B11,Master!#REF!)</f>
        <v>#REF!</v>
      </c>
      <c r="BC11" s="39" t="e">
        <f t="shared" si="25"/>
        <v>#REF!</v>
      </c>
      <c r="BD11" s="31" t="e">
        <f t="shared" si="26"/>
        <v>#REF!</v>
      </c>
      <c r="BE11" s="36" t="e">
        <f>SUMIF(Master!#REF!,$B11,Master!#REF!)</f>
        <v>#REF!</v>
      </c>
      <c r="BF11" s="35" t="e">
        <f>SUMIF(Master!#REF!,$B11,Master!#REF!)</f>
        <v>#REF!</v>
      </c>
      <c r="BG11" s="39" t="e">
        <f t="shared" si="27"/>
        <v>#REF!</v>
      </c>
      <c r="BH11" s="31" t="e">
        <f t="shared" si="28"/>
        <v>#REF!</v>
      </c>
      <c r="BI11" s="36" t="e">
        <f>SUMIF(Master!#REF!,$B11,Master!#REF!)</f>
        <v>#REF!</v>
      </c>
      <c r="BJ11" s="35" t="e">
        <f>SUMIF(Master!#REF!,$B11,Master!#REF!)</f>
        <v>#REF!</v>
      </c>
      <c r="BK11" s="39" t="e">
        <f t="shared" si="29"/>
        <v>#REF!</v>
      </c>
      <c r="BL11" s="31" t="e">
        <f t="shared" si="30"/>
        <v>#REF!</v>
      </c>
      <c r="BM11" s="36" t="e">
        <f>SUMIF(Master!#REF!,$B11,Master!#REF!)</f>
        <v>#REF!</v>
      </c>
      <c r="BN11" s="35" t="e">
        <f>SUMIF(Master!#REF!,$B11,Master!#REF!)</f>
        <v>#REF!</v>
      </c>
      <c r="BO11" s="39" t="e">
        <f t="shared" si="31"/>
        <v>#REF!</v>
      </c>
      <c r="BP11" s="31" t="e">
        <f t="shared" si="32"/>
        <v>#REF!</v>
      </c>
      <c r="BR11" s="36" t="e">
        <f>SUMIF(Master!#REF!,$B11,Master!#REF!)</f>
        <v>#REF!</v>
      </c>
      <c r="BS11" s="35" t="e">
        <f>SUMIF(Master!#REF!,$B11,Master!#REF!)</f>
        <v>#REF!</v>
      </c>
      <c r="BT11" s="39" t="e">
        <f t="shared" si="33"/>
        <v>#REF!</v>
      </c>
      <c r="BU11" s="31" t="e">
        <f t="shared" si="34"/>
        <v>#REF!</v>
      </c>
      <c r="BW11" s="36" t="str">
        <f>IF(ISERROR(LARGE(Master!#REF!,1)),"",LARGE(Master!#REF!,1))</f>
        <v/>
      </c>
      <c r="BX11" s="35" t="str">
        <f>IF(ISERROR(LARGE(Master!#REF!,1)),"",LARGE(Master!#REF!,1))</f>
        <v/>
      </c>
      <c r="BY11" s="44" t="str">
        <f t="shared" si="35"/>
        <v/>
      </c>
    </row>
    <row r="12" spans="2:78" x14ac:dyDescent="0.25">
      <c r="B12" s="29">
        <f t="shared" si="0"/>
        <v>38</v>
      </c>
      <c r="C12" s="36" t="e">
        <f>SUMIF(Master!#REF!,$B12,Master!#REF!)</f>
        <v>#REF!</v>
      </c>
      <c r="D12" s="35" t="e">
        <f>SUMIF(Master!#REF!,$B12,Master!#REF!)</f>
        <v>#REF!</v>
      </c>
      <c r="E12" s="39" t="e">
        <f t="shared" si="1"/>
        <v>#REF!</v>
      </c>
      <c r="F12" s="31" t="e">
        <f t="shared" si="2"/>
        <v>#REF!</v>
      </c>
      <c r="G12" s="36" t="e">
        <f>SUMIF(Master!#REF!,$B12,Master!#REF!)</f>
        <v>#REF!</v>
      </c>
      <c r="H12" s="35" t="e">
        <f>SUMIF(Master!#REF!,$B12,Master!#REF!)</f>
        <v>#REF!</v>
      </c>
      <c r="I12" s="39" t="e">
        <f t="shared" si="3"/>
        <v>#REF!</v>
      </c>
      <c r="J12" s="31" t="e">
        <f t="shared" si="4"/>
        <v>#REF!</v>
      </c>
      <c r="K12" s="36" t="e">
        <f>SUMIF(Master!#REF!,$B12,Master!#REF!)</f>
        <v>#REF!</v>
      </c>
      <c r="L12" s="35" t="e">
        <f>SUMIF(Master!#REF!,$B12,Master!#REF!)</f>
        <v>#REF!</v>
      </c>
      <c r="M12" s="39" t="e">
        <f t="shared" si="5"/>
        <v>#REF!</v>
      </c>
      <c r="N12" s="31" t="e">
        <f t="shared" si="6"/>
        <v>#REF!</v>
      </c>
      <c r="O12" s="36"/>
      <c r="P12" s="35" t="e">
        <f>SUMIF(Master!#REF!,$B12,Master!#REF!)</f>
        <v>#REF!</v>
      </c>
      <c r="Q12" s="39" t="str">
        <f t="shared" si="7"/>
        <v/>
      </c>
      <c r="R12" s="31" t="str">
        <f t="shared" si="8"/>
        <v/>
      </c>
      <c r="S12" s="36"/>
      <c r="T12" s="35" t="e">
        <f>SUMIF(Master!#REF!,$B12,Master!#REF!)</f>
        <v>#REF!</v>
      </c>
      <c r="U12" s="39" t="str">
        <f t="shared" si="9"/>
        <v/>
      </c>
      <c r="V12" s="31" t="str">
        <f t="shared" si="10"/>
        <v/>
      </c>
      <c r="X12" s="36" t="e">
        <f>SUMIF(Master!#REF!,$B12,Master!#REF!)</f>
        <v>#REF!</v>
      </c>
      <c r="Y12" s="35" t="e">
        <f>SUMIF(Master!#REF!,$B12,Master!#REF!)</f>
        <v>#REF!</v>
      </c>
      <c r="Z12" s="39" t="e">
        <f t="shared" si="11"/>
        <v>#REF!</v>
      </c>
      <c r="AA12" s="31" t="e">
        <f t="shared" si="12"/>
        <v>#REF!</v>
      </c>
      <c r="AB12" s="36" t="e">
        <f>SUMIF(Master!#REF!,$B12,Master!#REF!)</f>
        <v>#REF!</v>
      </c>
      <c r="AC12" s="35" t="e">
        <f>SUMIF(Master!#REF!,$B12,Master!#REF!)</f>
        <v>#REF!</v>
      </c>
      <c r="AD12" s="39" t="e">
        <f t="shared" si="13"/>
        <v>#REF!</v>
      </c>
      <c r="AE12" s="31" t="e">
        <f t="shared" si="14"/>
        <v>#REF!</v>
      </c>
      <c r="AF12" s="36" t="e">
        <f>SUMIF(Master!#REF!,$B12,Master!#REF!)</f>
        <v>#REF!</v>
      </c>
      <c r="AG12" s="35" t="e">
        <f>SUMIF(Master!#REF!,$B12,Master!#REF!)</f>
        <v>#REF!</v>
      </c>
      <c r="AH12" s="39" t="e">
        <f t="shared" si="15"/>
        <v>#REF!</v>
      </c>
      <c r="AI12" s="31" t="e">
        <f t="shared" si="16"/>
        <v>#REF!</v>
      </c>
      <c r="AJ12" s="36" t="e">
        <f>SUMIF(Master!#REF!,$B12,Master!#REF!)</f>
        <v>#REF!</v>
      </c>
      <c r="AK12" s="35" t="e">
        <f>SUMIF(Master!#REF!,$B12,Master!#REF!)</f>
        <v>#REF!</v>
      </c>
      <c r="AL12" s="39" t="e">
        <f t="shared" si="17"/>
        <v>#REF!</v>
      </c>
      <c r="AM12" s="31" t="e">
        <f t="shared" si="18"/>
        <v>#REF!</v>
      </c>
      <c r="AN12" s="36" t="e">
        <f>SUMIF(Master!#REF!,$B12,Master!#REF!)</f>
        <v>#REF!</v>
      </c>
      <c r="AO12" s="35" t="e">
        <f>SUMIF(Master!#REF!,$B12,Master!#REF!)</f>
        <v>#REF!</v>
      </c>
      <c r="AP12" s="39" t="e">
        <f t="shared" si="19"/>
        <v>#REF!</v>
      </c>
      <c r="AQ12" s="31" t="e">
        <f t="shared" si="20"/>
        <v>#REF!</v>
      </c>
      <c r="AR12" s="36" t="e">
        <f>SUMIF(Master!#REF!,$B12,Master!#REF!)</f>
        <v>#REF!</v>
      </c>
      <c r="AS12" s="35" t="e">
        <f>SUMIF(Master!#REF!,$B12,Master!#REF!)</f>
        <v>#REF!</v>
      </c>
      <c r="AT12" s="39" t="e">
        <f t="shared" si="21"/>
        <v>#REF!</v>
      </c>
      <c r="AU12" s="31" t="e">
        <f t="shared" si="22"/>
        <v>#REF!</v>
      </c>
      <c r="AW12" s="36" t="e">
        <f>SUMIF(Master!#REF!,$B12,Master!#REF!)</f>
        <v>#REF!</v>
      </c>
      <c r="AX12" s="35" t="e">
        <f>SUMIF(Master!#REF!,$B12,Master!#REF!)</f>
        <v>#REF!</v>
      </c>
      <c r="AY12" s="39" t="e">
        <f t="shared" si="23"/>
        <v>#REF!</v>
      </c>
      <c r="AZ12" s="31" t="e">
        <f t="shared" si="24"/>
        <v>#REF!</v>
      </c>
      <c r="BA12" s="36" t="e">
        <f>SUMIF(Master!#REF!,$B12,Master!#REF!)</f>
        <v>#REF!</v>
      </c>
      <c r="BB12" s="35" t="e">
        <f>SUMIF(Master!#REF!,$B12,Master!#REF!)</f>
        <v>#REF!</v>
      </c>
      <c r="BC12" s="39" t="e">
        <f t="shared" si="25"/>
        <v>#REF!</v>
      </c>
      <c r="BD12" s="31" t="e">
        <f t="shared" si="26"/>
        <v>#REF!</v>
      </c>
      <c r="BE12" s="36" t="e">
        <f>SUMIF(Master!#REF!,$B12,Master!#REF!)</f>
        <v>#REF!</v>
      </c>
      <c r="BF12" s="35" t="e">
        <f>SUMIF(Master!#REF!,$B12,Master!#REF!)</f>
        <v>#REF!</v>
      </c>
      <c r="BG12" s="39" t="e">
        <f t="shared" si="27"/>
        <v>#REF!</v>
      </c>
      <c r="BH12" s="31" t="e">
        <f t="shared" si="28"/>
        <v>#REF!</v>
      </c>
      <c r="BI12" s="36" t="e">
        <f>SUMIF(Master!#REF!,$B12,Master!#REF!)</f>
        <v>#REF!</v>
      </c>
      <c r="BJ12" s="35" t="e">
        <f>SUMIF(Master!#REF!,$B12,Master!#REF!)</f>
        <v>#REF!</v>
      </c>
      <c r="BK12" s="39" t="e">
        <f t="shared" si="29"/>
        <v>#REF!</v>
      </c>
      <c r="BL12" s="31" t="e">
        <f t="shared" si="30"/>
        <v>#REF!</v>
      </c>
      <c r="BM12" s="36" t="e">
        <f>SUMIF(Master!#REF!,$B12,Master!#REF!)</f>
        <v>#REF!</v>
      </c>
      <c r="BN12" s="35" t="e">
        <f>SUMIF(Master!#REF!,$B12,Master!#REF!)</f>
        <v>#REF!</v>
      </c>
      <c r="BO12" s="39" t="e">
        <f t="shared" si="31"/>
        <v>#REF!</v>
      </c>
      <c r="BP12" s="31" t="e">
        <f t="shared" si="32"/>
        <v>#REF!</v>
      </c>
      <c r="BR12" s="36" t="e">
        <f>SUMIF(Master!#REF!,$B12,Master!#REF!)</f>
        <v>#REF!</v>
      </c>
      <c r="BS12" s="35" t="e">
        <f>SUMIF(Master!#REF!,$B12,Master!#REF!)</f>
        <v>#REF!</v>
      </c>
      <c r="BT12" s="39" t="e">
        <f t="shared" si="33"/>
        <v>#REF!</v>
      </c>
      <c r="BU12" s="31" t="e">
        <f t="shared" si="34"/>
        <v>#REF!</v>
      </c>
      <c r="BW12" s="36" t="str">
        <f>IF(ISERROR(LARGE(Master!#REF!,1)),"",LARGE(Master!#REF!,1))</f>
        <v/>
      </c>
      <c r="BX12" s="35" t="str">
        <f>IF(ISERROR(LARGE(Master!#REF!,1)),"",LARGE(Master!#REF!,1))</f>
        <v/>
      </c>
      <c r="BY12" s="44" t="str">
        <f t="shared" si="35"/>
        <v/>
      </c>
    </row>
    <row r="13" spans="2:78" x14ac:dyDescent="0.25">
      <c r="B13" s="29">
        <f t="shared" si="0"/>
        <v>39</v>
      </c>
      <c r="C13" s="36" t="e">
        <f>SUMIF(Master!#REF!,$B13,Master!#REF!)</f>
        <v>#REF!</v>
      </c>
      <c r="D13" s="35" t="e">
        <f>SUMIF(Master!#REF!,$B13,Master!#REF!)</f>
        <v>#REF!</v>
      </c>
      <c r="E13" s="39" t="e">
        <f t="shared" si="1"/>
        <v>#REF!</v>
      </c>
      <c r="F13" s="31" t="e">
        <f t="shared" si="2"/>
        <v>#REF!</v>
      </c>
      <c r="G13" s="36" t="e">
        <f>SUMIF(Master!#REF!,$B13,Master!#REF!)</f>
        <v>#REF!</v>
      </c>
      <c r="H13" s="35" t="e">
        <f>SUMIF(Master!#REF!,$B13,Master!#REF!)</f>
        <v>#REF!</v>
      </c>
      <c r="I13" s="39" t="e">
        <f t="shared" si="3"/>
        <v>#REF!</v>
      </c>
      <c r="J13" s="31" t="e">
        <f t="shared" si="4"/>
        <v>#REF!</v>
      </c>
      <c r="K13" s="36" t="e">
        <f>SUMIF(Master!#REF!,$B13,Master!#REF!)</f>
        <v>#REF!</v>
      </c>
      <c r="L13" s="35" t="e">
        <f>SUMIF(Master!#REF!,$B13,Master!#REF!)</f>
        <v>#REF!</v>
      </c>
      <c r="M13" s="39" t="e">
        <f t="shared" si="5"/>
        <v>#REF!</v>
      </c>
      <c r="N13" s="31" t="e">
        <f t="shared" si="6"/>
        <v>#REF!</v>
      </c>
      <c r="O13" s="36"/>
      <c r="P13" s="35" t="e">
        <f>SUMIF(Master!#REF!,$B13,Master!#REF!)</f>
        <v>#REF!</v>
      </c>
      <c r="Q13" s="39" t="str">
        <f t="shared" si="7"/>
        <v/>
      </c>
      <c r="R13" s="31" t="str">
        <f t="shared" si="8"/>
        <v/>
      </c>
      <c r="S13" s="36"/>
      <c r="T13" s="35" t="e">
        <f>SUMIF(Master!#REF!,$B13,Master!#REF!)</f>
        <v>#REF!</v>
      </c>
      <c r="U13" s="39" t="str">
        <f t="shared" si="9"/>
        <v/>
      </c>
      <c r="V13" s="31" t="str">
        <f t="shared" si="10"/>
        <v/>
      </c>
      <c r="X13" s="36" t="e">
        <f>SUMIF(Master!#REF!,$B13,Master!#REF!)</f>
        <v>#REF!</v>
      </c>
      <c r="Y13" s="35" t="e">
        <f>SUMIF(Master!#REF!,$B13,Master!#REF!)</f>
        <v>#REF!</v>
      </c>
      <c r="Z13" s="39" t="e">
        <f t="shared" si="11"/>
        <v>#REF!</v>
      </c>
      <c r="AA13" s="31" t="e">
        <f t="shared" si="12"/>
        <v>#REF!</v>
      </c>
      <c r="AB13" s="36" t="e">
        <f>SUMIF(Master!#REF!,$B13,Master!#REF!)</f>
        <v>#REF!</v>
      </c>
      <c r="AC13" s="35" t="e">
        <f>SUMIF(Master!#REF!,$B13,Master!#REF!)</f>
        <v>#REF!</v>
      </c>
      <c r="AD13" s="39" t="e">
        <f t="shared" si="13"/>
        <v>#REF!</v>
      </c>
      <c r="AE13" s="31" t="e">
        <f t="shared" si="14"/>
        <v>#REF!</v>
      </c>
      <c r="AF13" s="36" t="e">
        <f>SUMIF(Master!#REF!,$B13,Master!#REF!)</f>
        <v>#REF!</v>
      </c>
      <c r="AG13" s="35" t="e">
        <f>SUMIF(Master!#REF!,$B13,Master!#REF!)</f>
        <v>#REF!</v>
      </c>
      <c r="AH13" s="39" t="e">
        <f t="shared" si="15"/>
        <v>#REF!</v>
      </c>
      <c r="AI13" s="31" t="e">
        <f t="shared" si="16"/>
        <v>#REF!</v>
      </c>
      <c r="AJ13" s="36" t="e">
        <f>SUMIF(Master!#REF!,$B13,Master!#REF!)</f>
        <v>#REF!</v>
      </c>
      <c r="AK13" s="35" t="e">
        <f>SUMIF(Master!#REF!,$B13,Master!#REF!)</f>
        <v>#REF!</v>
      </c>
      <c r="AL13" s="39" t="e">
        <f t="shared" si="17"/>
        <v>#REF!</v>
      </c>
      <c r="AM13" s="31" t="e">
        <f t="shared" si="18"/>
        <v>#REF!</v>
      </c>
      <c r="AN13" s="36" t="e">
        <f>SUMIF(Master!#REF!,$B13,Master!#REF!)</f>
        <v>#REF!</v>
      </c>
      <c r="AO13" s="35" t="e">
        <f>SUMIF(Master!#REF!,$B13,Master!#REF!)</f>
        <v>#REF!</v>
      </c>
      <c r="AP13" s="39" t="e">
        <f t="shared" si="19"/>
        <v>#REF!</v>
      </c>
      <c r="AQ13" s="31" t="e">
        <f t="shared" si="20"/>
        <v>#REF!</v>
      </c>
      <c r="AR13" s="36" t="e">
        <f>SUMIF(Master!#REF!,$B13,Master!#REF!)</f>
        <v>#REF!</v>
      </c>
      <c r="AS13" s="35" t="e">
        <f>SUMIF(Master!#REF!,$B13,Master!#REF!)</f>
        <v>#REF!</v>
      </c>
      <c r="AT13" s="39" t="e">
        <f t="shared" si="21"/>
        <v>#REF!</v>
      </c>
      <c r="AU13" s="31" t="e">
        <f t="shared" si="22"/>
        <v>#REF!</v>
      </c>
      <c r="AW13" s="36" t="e">
        <f>SUMIF(Master!#REF!,$B13,Master!#REF!)</f>
        <v>#REF!</v>
      </c>
      <c r="AX13" s="35" t="e">
        <f>SUMIF(Master!#REF!,$B13,Master!#REF!)</f>
        <v>#REF!</v>
      </c>
      <c r="AY13" s="39" t="e">
        <f t="shared" si="23"/>
        <v>#REF!</v>
      </c>
      <c r="AZ13" s="31" t="e">
        <f t="shared" si="24"/>
        <v>#REF!</v>
      </c>
      <c r="BA13" s="36" t="e">
        <f>SUMIF(Master!#REF!,$B13,Master!#REF!)</f>
        <v>#REF!</v>
      </c>
      <c r="BB13" s="35" t="e">
        <f>SUMIF(Master!#REF!,$B13,Master!#REF!)</f>
        <v>#REF!</v>
      </c>
      <c r="BC13" s="39" t="e">
        <f t="shared" si="25"/>
        <v>#REF!</v>
      </c>
      <c r="BD13" s="31" t="e">
        <f t="shared" si="26"/>
        <v>#REF!</v>
      </c>
      <c r="BE13" s="36" t="e">
        <f>SUMIF(Master!#REF!,$B13,Master!#REF!)</f>
        <v>#REF!</v>
      </c>
      <c r="BF13" s="35" t="e">
        <f>SUMIF(Master!#REF!,$B13,Master!#REF!)</f>
        <v>#REF!</v>
      </c>
      <c r="BG13" s="39" t="e">
        <f t="shared" si="27"/>
        <v>#REF!</v>
      </c>
      <c r="BH13" s="31" t="e">
        <f t="shared" si="28"/>
        <v>#REF!</v>
      </c>
      <c r="BI13" s="36" t="e">
        <f>SUMIF(Master!#REF!,$B13,Master!#REF!)</f>
        <v>#REF!</v>
      </c>
      <c r="BJ13" s="35" t="e">
        <f>SUMIF(Master!#REF!,$B13,Master!#REF!)</f>
        <v>#REF!</v>
      </c>
      <c r="BK13" s="39" t="e">
        <f t="shared" si="29"/>
        <v>#REF!</v>
      </c>
      <c r="BL13" s="31" t="e">
        <f t="shared" si="30"/>
        <v>#REF!</v>
      </c>
      <c r="BM13" s="36" t="e">
        <f>SUMIF(Master!#REF!,$B13,Master!#REF!)</f>
        <v>#REF!</v>
      </c>
      <c r="BN13" s="35" t="e">
        <f>SUMIF(Master!#REF!,$B13,Master!#REF!)</f>
        <v>#REF!</v>
      </c>
      <c r="BO13" s="39" t="e">
        <f t="shared" si="31"/>
        <v>#REF!</v>
      </c>
      <c r="BP13" s="31" t="e">
        <f t="shared" si="32"/>
        <v>#REF!</v>
      </c>
      <c r="BR13" s="36" t="e">
        <f>SUMIF(Master!#REF!,$B13,Master!#REF!)</f>
        <v>#REF!</v>
      </c>
      <c r="BS13" s="35" t="e">
        <f>SUMIF(Master!#REF!,$B13,Master!#REF!)</f>
        <v>#REF!</v>
      </c>
      <c r="BT13" s="39" t="e">
        <f t="shared" si="33"/>
        <v>#REF!</v>
      </c>
      <c r="BU13" s="31" t="e">
        <f t="shared" si="34"/>
        <v>#REF!</v>
      </c>
      <c r="BW13" s="36" t="str">
        <f>IF(ISERROR(LARGE(Master!#REF!,1)),"",LARGE(Master!#REF!,1))</f>
        <v/>
      </c>
      <c r="BX13" s="35" t="str">
        <f>IF(ISERROR(LARGE(Master!#REF!,1)),"",LARGE(Master!#REF!,1))</f>
        <v/>
      </c>
      <c r="BY13" s="44" t="str">
        <f t="shared" si="35"/>
        <v/>
      </c>
    </row>
    <row r="14" spans="2:78" x14ac:dyDescent="0.25">
      <c r="B14" s="29">
        <f t="shared" si="0"/>
        <v>40</v>
      </c>
      <c r="C14" s="36" t="e">
        <f>SUMIF(Master!#REF!,$B14,Master!#REF!)</f>
        <v>#REF!</v>
      </c>
      <c r="D14" s="35" t="e">
        <f>SUMIF(Master!#REF!,$B14,Master!#REF!)</f>
        <v>#REF!</v>
      </c>
      <c r="E14" s="39" t="e">
        <f t="shared" si="1"/>
        <v>#REF!</v>
      </c>
      <c r="F14" s="31" t="e">
        <f t="shared" si="2"/>
        <v>#REF!</v>
      </c>
      <c r="G14" s="36" t="e">
        <f>SUMIF(Master!#REF!,$B14,Master!#REF!)</f>
        <v>#REF!</v>
      </c>
      <c r="H14" s="35" t="e">
        <f>SUMIF(Master!#REF!,$B14,Master!#REF!)</f>
        <v>#REF!</v>
      </c>
      <c r="I14" s="39" t="e">
        <f t="shared" si="3"/>
        <v>#REF!</v>
      </c>
      <c r="J14" s="31" t="e">
        <f t="shared" si="4"/>
        <v>#REF!</v>
      </c>
      <c r="K14" s="36" t="e">
        <f>SUMIF(Master!#REF!,$B14,Master!#REF!)</f>
        <v>#REF!</v>
      </c>
      <c r="L14" s="35" t="e">
        <f>SUMIF(Master!#REF!,$B14,Master!#REF!)</f>
        <v>#REF!</v>
      </c>
      <c r="M14" s="39" t="e">
        <f t="shared" si="5"/>
        <v>#REF!</v>
      </c>
      <c r="N14" s="31" t="e">
        <f t="shared" si="6"/>
        <v>#REF!</v>
      </c>
      <c r="O14" s="36"/>
      <c r="P14" s="35" t="e">
        <f>SUMIF(Master!#REF!,$B14,Master!#REF!)</f>
        <v>#REF!</v>
      </c>
      <c r="Q14" s="39" t="str">
        <f t="shared" si="7"/>
        <v/>
      </c>
      <c r="R14" s="31" t="str">
        <f t="shared" si="8"/>
        <v/>
      </c>
      <c r="S14" s="36"/>
      <c r="T14" s="35" t="e">
        <f>SUMIF(Master!#REF!,$B14,Master!#REF!)</f>
        <v>#REF!</v>
      </c>
      <c r="U14" s="39" t="str">
        <f t="shared" si="9"/>
        <v/>
      </c>
      <c r="V14" s="31" t="str">
        <f t="shared" si="10"/>
        <v/>
      </c>
      <c r="X14" s="36" t="e">
        <f>SUMIF(Master!#REF!,$B14,Master!#REF!)</f>
        <v>#REF!</v>
      </c>
      <c r="Y14" s="35" t="e">
        <f>SUMIF(Master!#REF!,$B14,Master!#REF!)</f>
        <v>#REF!</v>
      </c>
      <c r="Z14" s="39" t="e">
        <f t="shared" si="11"/>
        <v>#REF!</v>
      </c>
      <c r="AA14" s="31" t="e">
        <f t="shared" si="12"/>
        <v>#REF!</v>
      </c>
      <c r="AB14" s="36" t="e">
        <f>SUMIF(Master!#REF!,$B14,Master!#REF!)</f>
        <v>#REF!</v>
      </c>
      <c r="AC14" s="35" t="e">
        <f>SUMIF(Master!#REF!,$B14,Master!#REF!)</f>
        <v>#REF!</v>
      </c>
      <c r="AD14" s="39" t="e">
        <f t="shared" si="13"/>
        <v>#REF!</v>
      </c>
      <c r="AE14" s="31" t="e">
        <f t="shared" si="14"/>
        <v>#REF!</v>
      </c>
      <c r="AF14" s="36" t="e">
        <f>SUMIF(Master!#REF!,$B14,Master!#REF!)</f>
        <v>#REF!</v>
      </c>
      <c r="AG14" s="35" t="e">
        <f>SUMIF(Master!#REF!,$B14,Master!#REF!)</f>
        <v>#REF!</v>
      </c>
      <c r="AH14" s="39" t="e">
        <f t="shared" si="15"/>
        <v>#REF!</v>
      </c>
      <c r="AI14" s="31" t="e">
        <f t="shared" si="16"/>
        <v>#REF!</v>
      </c>
      <c r="AJ14" s="36" t="e">
        <f>SUMIF(Master!#REF!,$B14,Master!#REF!)</f>
        <v>#REF!</v>
      </c>
      <c r="AK14" s="35" t="e">
        <f>SUMIF(Master!#REF!,$B14,Master!#REF!)</f>
        <v>#REF!</v>
      </c>
      <c r="AL14" s="39" t="e">
        <f t="shared" si="17"/>
        <v>#REF!</v>
      </c>
      <c r="AM14" s="31" t="e">
        <f t="shared" si="18"/>
        <v>#REF!</v>
      </c>
      <c r="AN14" s="36" t="e">
        <f>SUMIF(Master!#REF!,$B14,Master!#REF!)</f>
        <v>#REF!</v>
      </c>
      <c r="AO14" s="35" t="e">
        <f>SUMIF(Master!#REF!,$B14,Master!#REF!)</f>
        <v>#REF!</v>
      </c>
      <c r="AP14" s="39" t="e">
        <f t="shared" si="19"/>
        <v>#REF!</v>
      </c>
      <c r="AQ14" s="31" t="e">
        <f t="shared" si="20"/>
        <v>#REF!</v>
      </c>
      <c r="AR14" s="36" t="e">
        <f>SUMIF(Master!#REF!,$B14,Master!#REF!)</f>
        <v>#REF!</v>
      </c>
      <c r="AS14" s="35" t="e">
        <f>SUMIF(Master!#REF!,$B14,Master!#REF!)</f>
        <v>#REF!</v>
      </c>
      <c r="AT14" s="39" t="e">
        <f t="shared" si="21"/>
        <v>#REF!</v>
      </c>
      <c r="AU14" s="31" t="e">
        <f t="shared" si="22"/>
        <v>#REF!</v>
      </c>
      <c r="AW14" s="36" t="e">
        <f>SUMIF(Master!#REF!,$B14,Master!#REF!)</f>
        <v>#REF!</v>
      </c>
      <c r="AX14" s="35" t="e">
        <f>SUMIF(Master!#REF!,$B14,Master!#REF!)</f>
        <v>#REF!</v>
      </c>
      <c r="AY14" s="39" t="e">
        <f t="shared" si="23"/>
        <v>#REF!</v>
      </c>
      <c r="AZ14" s="31" t="e">
        <f t="shared" si="24"/>
        <v>#REF!</v>
      </c>
      <c r="BA14" s="36" t="e">
        <f>SUMIF(Master!#REF!,$B14,Master!#REF!)</f>
        <v>#REF!</v>
      </c>
      <c r="BB14" s="35" t="e">
        <f>SUMIF(Master!#REF!,$B14,Master!#REF!)</f>
        <v>#REF!</v>
      </c>
      <c r="BC14" s="39" t="e">
        <f t="shared" si="25"/>
        <v>#REF!</v>
      </c>
      <c r="BD14" s="31" t="e">
        <f t="shared" si="26"/>
        <v>#REF!</v>
      </c>
      <c r="BE14" s="36" t="e">
        <f>SUMIF(Master!#REF!,$B14,Master!#REF!)</f>
        <v>#REF!</v>
      </c>
      <c r="BF14" s="35" t="e">
        <f>SUMIF(Master!#REF!,$B14,Master!#REF!)</f>
        <v>#REF!</v>
      </c>
      <c r="BG14" s="39" t="e">
        <f t="shared" si="27"/>
        <v>#REF!</v>
      </c>
      <c r="BH14" s="31" t="e">
        <f t="shared" si="28"/>
        <v>#REF!</v>
      </c>
      <c r="BI14" s="36" t="e">
        <f>SUMIF(Master!#REF!,$B14,Master!#REF!)</f>
        <v>#REF!</v>
      </c>
      <c r="BJ14" s="35" t="e">
        <f>SUMIF(Master!#REF!,$B14,Master!#REF!)</f>
        <v>#REF!</v>
      </c>
      <c r="BK14" s="39" t="e">
        <f t="shared" si="29"/>
        <v>#REF!</v>
      </c>
      <c r="BL14" s="31" t="e">
        <f t="shared" si="30"/>
        <v>#REF!</v>
      </c>
      <c r="BM14" s="36" t="e">
        <f>SUMIF(Master!#REF!,$B14,Master!#REF!)</f>
        <v>#REF!</v>
      </c>
      <c r="BN14" s="35" t="e">
        <f>SUMIF(Master!#REF!,$B14,Master!#REF!)</f>
        <v>#REF!</v>
      </c>
      <c r="BO14" s="39" t="e">
        <f t="shared" si="31"/>
        <v>#REF!</v>
      </c>
      <c r="BP14" s="31" t="e">
        <f t="shared" si="32"/>
        <v>#REF!</v>
      </c>
      <c r="BR14" s="36" t="e">
        <f>SUMIF(Master!#REF!,$B14,Master!#REF!)</f>
        <v>#REF!</v>
      </c>
      <c r="BS14" s="35" t="e">
        <f>SUMIF(Master!#REF!,$B14,Master!#REF!)</f>
        <v>#REF!</v>
      </c>
      <c r="BT14" s="39" t="e">
        <f t="shared" si="33"/>
        <v>#REF!</v>
      </c>
      <c r="BU14" s="31" t="e">
        <f t="shared" si="34"/>
        <v>#REF!</v>
      </c>
      <c r="BW14" s="36" t="str">
        <f>IF(ISERROR(LARGE(Master!#REF!,1)),"",LARGE(Master!#REF!,1))</f>
        <v/>
      </c>
      <c r="BX14" s="35" t="str">
        <f>IF(ISERROR(LARGE(Master!#REF!,1)),"",LARGE(Master!#REF!,1))</f>
        <v/>
      </c>
      <c r="BY14" s="44" t="str">
        <f t="shared" si="35"/>
        <v/>
      </c>
    </row>
    <row r="15" spans="2:78" x14ac:dyDescent="0.25">
      <c r="B15" s="29">
        <f t="shared" si="0"/>
        <v>41</v>
      </c>
      <c r="C15" s="36" t="e">
        <f>SUMIF(Master!#REF!,$B15,Master!#REF!)</f>
        <v>#REF!</v>
      </c>
      <c r="D15" s="35" t="e">
        <f>SUMIF(Master!#REF!,$B15,Master!#REF!)</f>
        <v>#REF!</v>
      </c>
      <c r="E15" s="39" t="e">
        <f t="shared" si="1"/>
        <v>#REF!</v>
      </c>
      <c r="F15" s="31" t="e">
        <f t="shared" si="2"/>
        <v>#REF!</v>
      </c>
      <c r="G15" s="36" t="e">
        <f>SUMIF(Master!#REF!,$B15,Master!#REF!)</f>
        <v>#REF!</v>
      </c>
      <c r="H15" s="35" t="e">
        <f>SUMIF(Master!#REF!,$B15,Master!#REF!)</f>
        <v>#REF!</v>
      </c>
      <c r="I15" s="39" t="e">
        <f t="shared" si="3"/>
        <v>#REF!</v>
      </c>
      <c r="J15" s="31" t="e">
        <f t="shared" si="4"/>
        <v>#REF!</v>
      </c>
      <c r="K15" s="36" t="e">
        <f>SUMIF(Master!#REF!,$B15,Master!#REF!)</f>
        <v>#REF!</v>
      </c>
      <c r="L15" s="35" t="e">
        <f>SUMIF(Master!#REF!,$B15,Master!#REF!)</f>
        <v>#REF!</v>
      </c>
      <c r="M15" s="39" t="e">
        <f t="shared" si="5"/>
        <v>#REF!</v>
      </c>
      <c r="N15" s="31" t="e">
        <f t="shared" si="6"/>
        <v>#REF!</v>
      </c>
      <c r="O15" s="36"/>
      <c r="P15" s="35" t="e">
        <f>SUMIF(Master!#REF!,$B15,Master!#REF!)</f>
        <v>#REF!</v>
      </c>
      <c r="Q15" s="39" t="str">
        <f t="shared" si="7"/>
        <v/>
      </c>
      <c r="R15" s="31" t="str">
        <f t="shared" si="8"/>
        <v/>
      </c>
      <c r="S15" s="36"/>
      <c r="T15" s="35" t="e">
        <f>SUMIF(Master!#REF!,$B15,Master!#REF!)</f>
        <v>#REF!</v>
      </c>
      <c r="U15" s="39" t="str">
        <f t="shared" si="9"/>
        <v/>
      </c>
      <c r="V15" s="31" t="str">
        <f t="shared" si="10"/>
        <v/>
      </c>
      <c r="X15" s="36" t="e">
        <f>SUMIF(Master!#REF!,$B15,Master!#REF!)</f>
        <v>#REF!</v>
      </c>
      <c r="Y15" s="35" t="e">
        <f>SUMIF(Master!#REF!,$B15,Master!#REF!)</f>
        <v>#REF!</v>
      </c>
      <c r="Z15" s="39" t="e">
        <f t="shared" si="11"/>
        <v>#REF!</v>
      </c>
      <c r="AA15" s="31" t="e">
        <f t="shared" si="12"/>
        <v>#REF!</v>
      </c>
      <c r="AB15" s="36" t="e">
        <f>SUMIF(Master!#REF!,$B15,Master!#REF!)</f>
        <v>#REF!</v>
      </c>
      <c r="AC15" s="35" t="e">
        <f>SUMIF(Master!#REF!,$B15,Master!#REF!)</f>
        <v>#REF!</v>
      </c>
      <c r="AD15" s="39" t="e">
        <f t="shared" si="13"/>
        <v>#REF!</v>
      </c>
      <c r="AE15" s="31" t="e">
        <f t="shared" si="14"/>
        <v>#REF!</v>
      </c>
      <c r="AF15" s="36" t="e">
        <f>SUMIF(Master!#REF!,$B15,Master!#REF!)</f>
        <v>#REF!</v>
      </c>
      <c r="AG15" s="35" t="e">
        <f>SUMIF(Master!#REF!,$B15,Master!#REF!)</f>
        <v>#REF!</v>
      </c>
      <c r="AH15" s="39" t="e">
        <f t="shared" si="15"/>
        <v>#REF!</v>
      </c>
      <c r="AI15" s="31" t="e">
        <f t="shared" si="16"/>
        <v>#REF!</v>
      </c>
      <c r="AJ15" s="36" t="e">
        <f>SUMIF(Master!#REF!,$B15,Master!#REF!)</f>
        <v>#REF!</v>
      </c>
      <c r="AK15" s="35" t="e">
        <f>SUMIF(Master!#REF!,$B15,Master!#REF!)</f>
        <v>#REF!</v>
      </c>
      <c r="AL15" s="39" t="e">
        <f t="shared" si="17"/>
        <v>#REF!</v>
      </c>
      <c r="AM15" s="31" t="e">
        <f t="shared" si="18"/>
        <v>#REF!</v>
      </c>
      <c r="AN15" s="36" t="e">
        <f>SUMIF(Master!#REF!,$B15,Master!#REF!)</f>
        <v>#REF!</v>
      </c>
      <c r="AO15" s="35" t="e">
        <f>SUMIF(Master!#REF!,$B15,Master!#REF!)</f>
        <v>#REF!</v>
      </c>
      <c r="AP15" s="39" t="e">
        <f t="shared" si="19"/>
        <v>#REF!</v>
      </c>
      <c r="AQ15" s="31" t="e">
        <f t="shared" si="20"/>
        <v>#REF!</v>
      </c>
      <c r="AR15" s="36" t="e">
        <f>SUMIF(Master!#REF!,$B15,Master!#REF!)</f>
        <v>#REF!</v>
      </c>
      <c r="AS15" s="35" t="e">
        <f>SUMIF(Master!#REF!,$B15,Master!#REF!)</f>
        <v>#REF!</v>
      </c>
      <c r="AT15" s="39" t="e">
        <f t="shared" si="21"/>
        <v>#REF!</v>
      </c>
      <c r="AU15" s="31" t="e">
        <f t="shared" si="22"/>
        <v>#REF!</v>
      </c>
      <c r="AW15" s="36" t="e">
        <f>SUMIF(Master!#REF!,$B15,Master!#REF!)</f>
        <v>#REF!</v>
      </c>
      <c r="AX15" s="35" t="e">
        <f>SUMIF(Master!#REF!,$B15,Master!#REF!)</f>
        <v>#REF!</v>
      </c>
      <c r="AY15" s="39" t="e">
        <f t="shared" si="23"/>
        <v>#REF!</v>
      </c>
      <c r="AZ15" s="31" t="e">
        <f t="shared" si="24"/>
        <v>#REF!</v>
      </c>
      <c r="BA15" s="36" t="e">
        <f>SUMIF(Master!#REF!,$B15,Master!#REF!)</f>
        <v>#REF!</v>
      </c>
      <c r="BB15" s="35" t="e">
        <f>SUMIF(Master!#REF!,$B15,Master!#REF!)</f>
        <v>#REF!</v>
      </c>
      <c r="BC15" s="39" t="e">
        <f t="shared" si="25"/>
        <v>#REF!</v>
      </c>
      <c r="BD15" s="31" t="e">
        <f t="shared" si="26"/>
        <v>#REF!</v>
      </c>
      <c r="BE15" s="36" t="e">
        <f>SUMIF(Master!#REF!,$B15,Master!#REF!)</f>
        <v>#REF!</v>
      </c>
      <c r="BF15" s="35" t="e">
        <f>SUMIF(Master!#REF!,$B15,Master!#REF!)</f>
        <v>#REF!</v>
      </c>
      <c r="BG15" s="39" t="e">
        <f t="shared" si="27"/>
        <v>#REF!</v>
      </c>
      <c r="BH15" s="31" t="e">
        <f t="shared" si="28"/>
        <v>#REF!</v>
      </c>
      <c r="BI15" s="36" t="e">
        <f>SUMIF(Master!#REF!,$B15,Master!#REF!)</f>
        <v>#REF!</v>
      </c>
      <c r="BJ15" s="35" t="e">
        <f>SUMIF(Master!#REF!,$B15,Master!#REF!)</f>
        <v>#REF!</v>
      </c>
      <c r="BK15" s="39" t="e">
        <f t="shared" si="29"/>
        <v>#REF!</v>
      </c>
      <c r="BL15" s="31" t="e">
        <f t="shared" si="30"/>
        <v>#REF!</v>
      </c>
      <c r="BM15" s="36" t="e">
        <f>SUMIF(Master!#REF!,$B15,Master!#REF!)</f>
        <v>#REF!</v>
      </c>
      <c r="BN15" s="35" t="e">
        <f>SUMIF(Master!#REF!,$B15,Master!#REF!)</f>
        <v>#REF!</v>
      </c>
      <c r="BO15" s="39" t="e">
        <f t="shared" si="31"/>
        <v>#REF!</v>
      </c>
      <c r="BP15" s="31" t="e">
        <f t="shared" si="32"/>
        <v>#REF!</v>
      </c>
      <c r="BR15" s="36" t="e">
        <f>SUMIF(Master!#REF!,$B15,Master!#REF!)</f>
        <v>#REF!</v>
      </c>
      <c r="BS15" s="35" t="e">
        <f>SUMIF(Master!#REF!,$B15,Master!#REF!)</f>
        <v>#REF!</v>
      </c>
      <c r="BT15" s="39" t="e">
        <f t="shared" si="33"/>
        <v>#REF!</v>
      </c>
      <c r="BU15" s="31" t="e">
        <f t="shared" si="34"/>
        <v>#REF!</v>
      </c>
      <c r="BW15" s="36" t="str">
        <f>IF(ISERROR(LARGE(Master!#REF!,1)),"",LARGE(Master!#REF!,1))</f>
        <v/>
      </c>
      <c r="BX15" s="35" t="str">
        <f>IF(ISERROR(LARGE(Master!#REF!,1)),"",LARGE(Master!#REF!,1))</f>
        <v/>
      </c>
      <c r="BY15" s="44" t="str">
        <f t="shared" si="35"/>
        <v/>
      </c>
    </row>
    <row r="16" spans="2:78" x14ac:dyDescent="0.25">
      <c r="B16" s="29">
        <f t="shared" si="0"/>
        <v>42</v>
      </c>
      <c r="C16" s="36" t="e">
        <f>SUMIF(Master!#REF!,$B16,Master!#REF!)</f>
        <v>#REF!</v>
      </c>
      <c r="D16" s="35" t="e">
        <f>SUMIF(Master!#REF!,$B16,Master!#REF!)</f>
        <v>#REF!</v>
      </c>
      <c r="E16" s="39" t="e">
        <f t="shared" si="1"/>
        <v>#REF!</v>
      </c>
      <c r="F16" s="31" t="e">
        <f t="shared" si="2"/>
        <v>#REF!</v>
      </c>
      <c r="G16" s="36" t="e">
        <f>SUMIF(Master!#REF!,$B16,Master!#REF!)</f>
        <v>#REF!</v>
      </c>
      <c r="H16" s="35" t="e">
        <f>SUMIF(Master!#REF!,$B16,Master!#REF!)</f>
        <v>#REF!</v>
      </c>
      <c r="I16" s="39" t="e">
        <f t="shared" si="3"/>
        <v>#REF!</v>
      </c>
      <c r="J16" s="31" t="e">
        <f t="shared" si="4"/>
        <v>#REF!</v>
      </c>
      <c r="K16" s="36" t="e">
        <f>SUMIF(Master!#REF!,$B16,Master!#REF!)</f>
        <v>#REF!</v>
      </c>
      <c r="L16" s="35" t="e">
        <f>SUMIF(Master!#REF!,$B16,Master!#REF!)</f>
        <v>#REF!</v>
      </c>
      <c r="M16" s="39" t="e">
        <f t="shared" si="5"/>
        <v>#REF!</v>
      </c>
      <c r="N16" s="31" t="e">
        <f t="shared" si="6"/>
        <v>#REF!</v>
      </c>
      <c r="O16" s="36"/>
      <c r="P16" s="35" t="e">
        <f>SUMIF(Master!#REF!,$B16,Master!#REF!)</f>
        <v>#REF!</v>
      </c>
      <c r="Q16" s="39" t="str">
        <f t="shared" si="7"/>
        <v/>
      </c>
      <c r="R16" s="31" t="str">
        <f t="shared" si="8"/>
        <v/>
      </c>
      <c r="S16" s="36"/>
      <c r="T16" s="35" t="e">
        <f>SUMIF(Master!#REF!,$B16,Master!#REF!)</f>
        <v>#REF!</v>
      </c>
      <c r="U16" s="39" t="str">
        <f t="shared" si="9"/>
        <v/>
      </c>
      <c r="V16" s="31" t="str">
        <f t="shared" si="10"/>
        <v/>
      </c>
      <c r="X16" s="36" t="e">
        <f>SUMIF(Master!#REF!,$B16,Master!#REF!)</f>
        <v>#REF!</v>
      </c>
      <c r="Y16" s="35" t="e">
        <f>SUMIF(Master!#REF!,$B16,Master!#REF!)</f>
        <v>#REF!</v>
      </c>
      <c r="Z16" s="39" t="e">
        <f t="shared" si="11"/>
        <v>#REF!</v>
      </c>
      <c r="AA16" s="31" t="e">
        <f t="shared" si="12"/>
        <v>#REF!</v>
      </c>
      <c r="AB16" s="36" t="e">
        <f>SUMIF(Master!#REF!,$B16,Master!#REF!)</f>
        <v>#REF!</v>
      </c>
      <c r="AC16" s="35" t="e">
        <f>SUMIF(Master!#REF!,$B16,Master!#REF!)</f>
        <v>#REF!</v>
      </c>
      <c r="AD16" s="39" t="e">
        <f t="shared" si="13"/>
        <v>#REF!</v>
      </c>
      <c r="AE16" s="31" t="e">
        <f t="shared" si="14"/>
        <v>#REF!</v>
      </c>
      <c r="AF16" s="36" t="e">
        <f>SUMIF(Master!#REF!,$B16,Master!#REF!)</f>
        <v>#REF!</v>
      </c>
      <c r="AG16" s="35" t="e">
        <f>SUMIF(Master!#REF!,$B16,Master!#REF!)</f>
        <v>#REF!</v>
      </c>
      <c r="AH16" s="39" t="e">
        <f t="shared" si="15"/>
        <v>#REF!</v>
      </c>
      <c r="AI16" s="31" t="e">
        <f t="shared" si="16"/>
        <v>#REF!</v>
      </c>
      <c r="AJ16" s="36" t="e">
        <f>SUMIF(Master!#REF!,$B16,Master!#REF!)</f>
        <v>#REF!</v>
      </c>
      <c r="AK16" s="35" t="e">
        <f>SUMIF(Master!#REF!,$B16,Master!#REF!)</f>
        <v>#REF!</v>
      </c>
      <c r="AL16" s="39" t="e">
        <f t="shared" si="17"/>
        <v>#REF!</v>
      </c>
      <c r="AM16" s="31" t="e">
        <f t="shared" si="18"/>
        <v>#REF!</v>
      </c>
      <c r="AN16" s="36" t="e">
        <f>SUMIF(Master!#REF!,$B16,Master!#REF!)</f>
        <v>#REF!</v>
      </c>
      <c r="AO16" s="35" t="e">
        <f>SUMIF(Master!#REF!,$B16,Master!#REF!)</f>
        <v>#REF!</v>
      </c>
      <c r="AP16" s="39" t="e">
        <f t="shared" si="19"/>
        <v>#REF!</v>
      </c>
      <c r="AQ16" s="31" t="e">
        <f t="shared" si="20"/>
        <v>#REF!</v>
      </c>
      <c r="AR16" s="36" t="e">
        <f>SUMIF(Master!#REF!,$B16,Master!#REF!)</f>
        <v>#REF!</v>
      </c>
      <c r="AS16" s="35" t="e">
        <f>SUMIF(Master!#REF!,$B16,Master!#REF!)</f>
        <v>#REF!</v>
      </c>
      <c r="AT16" s="39" t="e">
        <f t="shared" si="21"/>
        <v>#REF!</v>
      </c>
      <c r="AU16" s="31" t="e">
        <f t="shared" si="22"/>
        <v>#REF!</v>
      </c>
      <c r="AW16" s="36" t="e">
        <f>SUMIF(Master!#REF!,$B16,Master!#REF!)</f>
        <v>#REF!</v>
      </c>
      <c r="AX16" s="35" t="e">
        <f>SUMIF(Master!#REF!,$B16,Master!#REF!)</f>
        <v>#REF!</v>
      </c>
      <c r="AY16" s="39" t="e">
        <f t="shared" si="23"/>
        <v>#REF!</v>
      </c>
      <c r="AZ16" s="31" t="e">
        <f t="shared" si="24"/>
        <v>#REF!</v>
      </c>
      <c r="BA16" s="36" t="e">
        <f>SUMIF(Master!#REF!,$B16,Master!#REF!)</f>
        <v>#REF!</v>
      </c>
      <c r="BB16" s="35" t="e">
        <f>SUMIF(Master!#REF!,$B16,Master!#REF!)</f>
        <v>#REF!</v>
      </c>
      <c r="BC16" s="39" t="e">
        <f t="shared" si="25"/>
        <v>#REF!</v>
      </c>
      <c r="BD16" s="31" t="e">
        <f t="shared" si="26"/>
        <v>#REF!</v>
      </c>
      <c r="BE16" s="36" t="e">
        <f>SUMIF(Master!#REF!,$B16,Master!#REF!)</f>
        <v>#REF!</v>
      </c>
      <c r="BF16" s="35" t="e">
        <f>SUMIF(Master!#REF!,$B16,Master!#REF!)</f>
        <v>#REF!</v>
      </c>
      <c r="BG16" s="39" t="e">
        <f t="shared" si="27"/>
        <v>#REF!</v>
      </c>
      <c r="BH16" s="31" t="e">
        <f t="shared" si="28"/>
        <v>#REF!</v>
      </c>
      <c r="BI16" s="36" t="e">
        <f>SUMIF(Master!#REF!,$B16,Master!#REF!)</f>
        <v>#REF!</v>
      </c>
      <c r="BJ16" s="35" t="e">
        <f>SUMIF(Master!#REF!,$B16,Master!#REF!)</f>
        <v>#REF!</v>
      </c>
      <c r="BK16" s="39" t="e">
        <f t="shared" si="29"/>
        <v>#REF!</v>
      </c>
      <c r="BL16" s="31" t="e">
        <f t="shared" si="30"/>
        <v>#REF!</v>
      </c>
      <c r="BM16" s="36" t="e">
        <f>SUMIF(Master!#REF!,$B16,Master!#REF!)</f>
        <v>#REF!</v>
      </c>
      <c r="BN16" s="35" t="e">
        <f>SUMIF(Master!#REF!,$B16,Master!#REF!)</f>
        <v>#REF!</v>
      </c>
      <c r="BO16" s="39" t="e">
        <f t="shared" si="31"/>
        <v>#REF!</v>
      </c>
      <c r="BP16" s="31" t="e">
        <f t="shared" si="32"/>
        <v>#REF!</v>
      </c>
      <c r="BR16" s="36" t="e">
        <f>SUMIF(Master!#REF!,$B16,Master!#REF!)</f>
        <v>#REF!</v>
      </c>
      <c r="BS16" s="35" t="e">
        <f>SUMIF(Master!#REF!,$B16,Master!#REF!)</f>
        <v>#REF!</v>
      </c>
      <c r="BT16" s="39" t="e">
        <f t="shared" si="33"/>
        <v>#REF!</v>
      </c>
      <c r="BU16" s="31" t="e">
        <f t="shared" si="34"/>
        <v>#REF!</v>
      </c>
      <c r="BW16" s="36" t="str">
        <f>IF(ISERROR(LARGE(Master!#REF!,1)),"",LARGE(Master!#REF!,1))</f>
        <v/>
      </c>
      <c r="BX16" s="35" t="str">
        <f>IF(ISERROR(LARGE(Master!#REF!,1)),"",LARGE(Master!#REF!,1))</f>
        <v/>
      </c>
      <c r="BY16" s="44" t="str">
        <f t="shared" si="35"/>
        <v/>
      </c>
    </row>
    <row r="17" spans="2:77" x14ac:dyDescent="0.25">
      <c r="B17" s="29">
        <f t="shared" si="0"/>
        <v>43</v>
      </c>
      <c r="C17" s="36" t="e">
        <f>SUMIF(Master!#REF!,$B17,Master!#REF!)</f>
        <v>#REF!</v>
      </c>
      <c r="D17" s="35" t="e">
        <f>SUMIF(Master!#REF!,$B17,Master!#REF!)</f>
        <v>#REF!</v>
      </c>
      <c r="E17" s="39" t="e">
        <f t="shared" si="1"/>
        <v>#REF!</v>
      </c>
      <c r="F17" s="31" t="e">
        <f t="shared" si="2"/>
        <v>#REF!</v>
      </c>
      <c r="G17" s="36" t="e">
        <f>SUMIF(Master!#REF!,$B17,Master!#REF!)</f>
        <v>#REF!</v>
      </c>
      <c r="H17" s="35" t="e">
        <f>SUMIF(Master!#REF!,$B17,Master!#REF!)</f>
        <v>#REF!</v>
      </c>
      <c r="I17" s="39" t="e">
        <f t="shared" si="3"/>
        <v>#REF!</v>
      </c>
      <c r="J17" s="31" t="e">
        <f t="shared" si="4"/>
        <v>#REF!</v>
      </c>
      <c r="K17" s="36" t="e">
        <f>SUMIF(Master!#REF!,$B17,Master!#REF!)</f>
        <v>#REF!</v>
      </c>
      <c r="L17" s="35" t="e">
        <f>SUMIF(Master!#REF!,$B17,Master!#REF!)</f>
        <v>#REF!</v>
      </c>
      <c r="M17" s="39" t="e">
        <f t="shared" si="5"/>
        <v>#REF!</v>
      </c>
      <c r="N17" s="31" t="e">
        <f t="shared" si="6"/>
        <v>#REF!</v>
      </c>
      <c r="O17" s="36"/>
      <c r="P17" s="35" t="e">
        <f>SUMIF(Master!#REF!,$B17,Master!#REF!)</f>
        <v>#REF!</v>
      </c>
      <c r="Q17" s="39" t="str">
        <f t="shared" si="7"/>
        <v/>
      </c>
      <c r="R17" s="31" t="str">
        <f t="shared" si="8"/>
        <v/>
      </c>
      <c r="S17" s="36"/>
      <c r="T17" s="35" t="e">
        <f>SUMIF(Master!#REF!,$B17,Master!#REF!)</f>
        <v>#REF!</v>
      </c>
      <c r="U17" s="39" t="str">
        <f t="shared" si="9"/>
        <v/>
      </c>
      <c r="V17" s="31" t="str">
        <f t="shared" si="10"/>
        <v/>
      </c>
      <c r="X17" s="36" t="e">
        <f>SUMIF(Master!#REF!,$B17,Master!#REF!)</f>
        <v>#REF!</v>
      </c>
      <c r="Y17" s="35" t="e">
        <f>SUMIF(Master!#REF!,$B17,Master!#REF!)</f>
        <v>#REF!</v>
      </c>
      <c r="Z17" s="39" t="e">
        <f t="shared" si="11"/>
        <v>#REF!</v>
      </c>
      <c r="AA17" s="31" t="e">
        <f t="shared" si="12"/>
        <v>#REF!</v>
      </c>
      <c r="AB17" s="36" t="e">
        <f>SUMIF(Master!#REF!,$B17,Master!#REF!)</f>
        <v>#REF!</v>
      </c>
      <c r="AC17" s="35" t="e">
        <f>SUMIF(Master!#REF!,$B17,Master!#REF!)</f>
        <v>#REF!</v>
      </c>
      <c r="AD17" s="39" t="e">
        <f t="shared" si="13"/>
        <v>#REF!</v>
      </c>
      <c r="AE17" s="31" t="e">
        <f t="shared" si="14"/>
        <v>#REF!</v>
      </c>
      <c r="AF17" s="36" t="e">
        <f>SUMIF(Master!#REF!,$B17,Master!#REF!)</f>
        <v>#REF!</v>
      </c>
      <c r="AG17" s="35" t="e">
        <f>SUMIF(Master!#REF!,$B17,Master!#REF!)</f>
        <v>#REF!</v>
      </c>
      <c r="AH17" s="39" t="e">
        <f t="shared" si="15"/>
        <v>#REF!</v>
      </c>
      <c r="AI17" s="31" t="e">
        <f t="shared" si="16"/>
        <v>#REF!</v>
      </c>
      <c r="AJ17" s="36" t="e">
        <f>SUMIF(Master!#REF!,$B17,Master!#REF!)</f>
        <v>#REF!</v>
      </c>
      <c r="AK17" s="35" t="e">
        <f>SUMIF(Master!#REF!,$B17,Master!#REF!)</f>
        <v>#REF!</v>
      </c>
      <c r="AL17" s="39" t="e">
        <f t="shared" si="17"/>
        <v>#REF!</v>
      </c>
      <c r="AM17" s="31" t="e">
        <f t="shared" si="18"/>
        <v>#REF!</v>
      </c>
      <c r="AN17" s="36" t="e">
        <f>SUMIF(Master!#REF!,$B17,Master!#REF!)</f>
        <v>#REF!</v>
      </c>
      <c r="AO17" s="35" t="e">
        <f>SUMIF(Master!#REF!,$B17,Master!#REF!)</f>
        <v>#REF!</v>
      </c>
      <c r="AP17" s="39" t="e">
        <f t="shared" si="19"/>
        <v>#REF!</v>
      </c>
      <c r="AQ17" s="31" t="e">
        <f t="shared" si="20"/>
        <v>#REF!</v>
      </c>
      <c r="AR17" s="36" t="e">
        <f>SUMIF(Master!#REF!,$B17,Master!#REF!)</f>
        <v>#REF!</v>
      </c>
      <c r="AS17" s="35" t="e">
        <f>SUMIF(Master!#REF!,$B17,Master!#REF!)</f>
        <v>#REF!</v>
      </c>
      <c r="AT17" s="39" t="e">
        <f t="shared" si="21"/>
        <v>#REF!</v>
      </c>
      <c r="AU17" s="31" t="e">
        <f t="shared" si="22"/>
        <v>#REF!</v>
      </c>
      <c r="AW17" s="36" t="e">
        <f>SUMIF(Master!#REF!,$B17,Master!#REF!)</f>
        <v>#REF!</v>
      </c>
      <c r="AX17" s="35" t="e">
        <f>SUMIF(Master!#REF!,$B17,Master!#REF!)</f>
        <v>#REF!</v>
      </c>
      <c r="AY17" s="39" t="e">
        <f t="shared" si="23"/>
        <v>#REF!</v>
      </c>
      <c r="AZ17" s="31" t="e">
        <f t="shared" si="24"/>
        <v>#REF!</v>
      </c>
      <c r="BA17" s="36" t="e">
        <f>SUMIF(Master!#REF!,$B17,Master!#REF!)</f>
        <v>#REF!</v>
      </c>
      <c r="BB17" s="35" t="e">
        <f>SUMIF(Master!#REF!,$B17,Master!#REF!)</f>
        <v>#REF!</v>
      </c>
      <c r="BC17" s="39" t="e">
        <f t="shared" si="25"/>
        <v>#REF!</v>
      </c>
      <c r="BD17" s="31" t="e">
        <f t="shared" si="26"/>
        <v>#REF!</v>
      </c>
      <c r="BE17" s="36" t="e">
        <f>SUMIF(Master!#REF!,$B17,Master!#REF!)</f>
        <v>#REF!</v>
      </c>
      <c r="BF17" s="35" t="e">
        <f>SUMIF(Master!#REF!,$B17,Master!#REF!)</f>
        <v>#REF!</v>
      </c>
      <c r="BG17" s="39" t="e">
        <f t="shared" si="27"/>
        <v>#REF!</v>
      </c>
      <c r="BH17" s="31" t="e">
        <f t="shared" si="28"/>
        <v>#REF!</v>
      </c>
      <c r="BI17" s="36" t="e">
        <f>SUMIF(Master!#REF!,$B17,Master!#REF!)</f>
        <v>#REF!</v>
      </c>
      <c r="BJ17" s="35" t="e">
        <f>SUMIF(Master!#REF!,$B17,Master!#REF!)</f>
        <v>#REF!</v>
      </c>
      <c r="BK17" s="39" t="e">
        <f t="shared" si="29"/>
        <v>#REF!</v>
      </c>
      <c r="BL17" s="31" t="e">
        <f t="shared" si="30"/>
        <v>#REF!</v>
      </c>
      <c r="BM17" s="36" t="e">
        <f>SUMIF(Master!#REF!,$B17,Master!#REF!)</f>
        <v>#REF!</v>
      </c>
      <c r="BN17" s="35" t="e">
        <f>SUMIF(Master!#REF!,$B17,Master!#REF!)</f>
        <v>#REF!</v>
      </c>
      <c r="BO17" s="39" t="e">
        <f t="shared" si="31"/>
        <v>#REF!</v>
      </c>
      <c r="BP17" s="31" t="e">
        <f t="shared" si="32"/>
        <v>#REF!</v>
      </c>
      <c r="BR17" s="36" t="e">
        <f>SUMIF(Master!#REF!,$B17,Master!#REF!)</f>
        <v>#REF!</v>
      </c>
      <c r="BS17" s="35" t="e">
        <f>SUMIF(Master!#REF!,$B17,Master!#REF!)</f>
        <v>#REF!</v>
      </c>
      <c r="BT17" s="39" t="e">
        <f t="shared" si="33"/>
        <v>#REF!</v>
      </c>
      <c r="BU17" s="31" t="e">
        <f t="shared" si="34"/>
        <v>#REF!</v>
      </c>
      <c r="BW17" s="36" t="str">
        <f>IF(ISERROR(LARGE(Master!#REF!,1)),"",LARGE(Master!#REF!,1))</f>
        <v/>
      </c>
      <c r="BX17" s="35" t="str">
        <f>IF(ISERROR(LARGE(Master!#REF!,1)),"",LARGE(Master!#REF!,1))</f>
        <v/>
      </c>
      <c r="BY17" s="44" t="str">
        <f t="shared" si="35"/>
        <v/>
      </c>
    </row>
    <row r="18" spans="2:77" x14ac:dyDescent="0.25">
      <c r="B18" s="29">
        <f t="shared" si="0"/>
        <v>44</v>
      </c>
      <c r="C18" s="36" t="e">
        <f>SUMIF(Master!#REF!,$B18,Master!#REF!)</f>
        <v>#REF!</v>
      </c>
      <c r="D18" s="35" t="e">
        <f>SUMIF(Master!#REF!,$B18,Master!#REF!)</f>
        <v>#REF!</v>
      </c>
      <c r="E18" s="39" t="e">
        <f t="shared" si="1"/>
        <v>#REF!</v>
      </c>
      <c r="F18" s="31" t="e">
        <f t="shared" si="2"/>
        <v>#REF!</v>
      </c>
      <c r="G18" s="36" t="e">
        <f>SUMIF(Master!#REF!,$B18,Master!#REF!)</f>
        <v>#REF!</v>
      </c>
      <c r="H18" s="35" t="e">
        <f>SUMIF(Master!#REF!,$B18,Master!#REF!)</f>
        <v>#REF!</v>
      </c>
      <c r="I18" s="39" t="e">
        <f t="shared" si="3"/>
        <v>#REF!</v>
      </c>
      <c r="J18" s="31" t="e">
        <f t="shared" si="4"/>
        <v>#REF!</v>
      </c>
      <c r="K18" s="36" t="e">
        <f>SUMIF(Master!#REF!,$B18,Master!#REF!)</f>
        <v>#REF!</v>
      </c>
      <c r="L18" s="35" t="e">
        <f>SUMIF(Master!#REF!,$B18,Master!#REF!)</f>
        <v>#REF!</v>
      </c>
      <c r="M18" s="39" t="e">
        <f t="shared" si="5"/>
        <v>#REF!</v>
      </c>
      <c r="N18" s="31" t="e">
        <f t="shared" si="6"/>
        <v>#REF!</v>
      </c>
      <c r="O18" s="36"/>
      <c r="P18" s="35" t="e">
        <f>SUMIF(Master!#REF!,$B18,Master!#REF!)</f>
        <v>#REF!</v>
      </c>
      <c r="Q18" s="39" t="str">
        <f t="shared" si="7"/>
        <v/>
      </c>
      <c r="R18" s="31" t="str">
        <f t="shared" si="8"/>
        <v/>
      </c>
      <c r="S18" s="36"/>
      <c r="T18" s="35" t="e">
        <f>SUMIF(Master!#REF!,$B18,Master!#REF!)</f>
        <v>#REF!</v>
      </c>
      <c r="U18" s="39" t="str">
        <f t="shared" si="9"/>
        <v/>
      </c>
      <c r="V18" s="31" t="str">
        <f t="shared" si="10"/>
        <v/>
      </c>
      <c r="X18" s="36" t="e">
        <f>SUMIF(Master!#REF!,$B18,Master!#REF!)</f>
        <v>#REF!</v>
      </c>
      <c r="Y18" s="35" t="e">
        <f>SUMIF(Master!#REF!,$B18,Master!#REF!)</f>
        <v>#REF!</v>
      </c>
      <c r="Z18" s="39" t="e">
        <f t="shared" si="11"/>
        <v>#REF!</v>
      </c>
      <c r="AA18" s="31" t="e">
        <f t="shared" si="12"/>
        <v>#REF!</v>
      </c>
      <c r="AB18" s="36" t="e">
        <f>SUMIF(Master!#REF!,$B18,Master!#REF!)</f>
        <v>#REF!</v>
      </c>
      <c r="AC18" s="35" t="e">
        <f>SUMIF(Master!#REF!,$B18,Master!#REF!)</f>
        <v>#REF!</v>
      </c>
      <c r="AD18" s="39" t="e">
        <f t="shared" si="13"/>
        <v>#REF!</v>
      </c>
      <c r="AE18" s="31" t="e">
        <f t="shared" si="14"/>
        <v>#REF!</v>
      </c>
      <c r="AF18" s="36" t="e">
        <f>SUMIF(Master!#REF!,$B18,Master!#REF!)</f>
        <v>#REF!</v>
      </c>
      <c r="AG18" s="35" t="e">
        <f>SUMIF(Master!#REF!,$B18,Master!#REF!)</f>
        <v>#REF!</v>
      </c>
      <c r="AH18" s="39" t="e">
        <f t="shared" si="15"/>
        <v>#REF!</v>
      </c>
      <c r="AI18" s="31" t="e">
        <f t="shared" si="16"/>
        <v>#REF!</v>
      </c>
      <c r="AJ18" s="36" t="e">
        <f>SUMIF(Master!#REF!,$B18,Master!#REF!)</f>
        <v>#REF!</v>
      </c>
      <c r="AK18" s="35" t="e">
        <f>SUMIF(Master!#REF!,$B18,Master!#REF!)</f>
        <v>#REF!</v>
      </c>
      <c r="AL18" s="39" t="e">
        <f t="shared" si="17"/>
        <v>#REF!</v>
      </c>
      <c r="AM18" s="31" t="e">
        <f t="shared" si="18"/>
        <v>#REF!</v>
      </c>
      <c r="AN18" s="36" t="e">
        <f>SUMIF(Master!#REF!,$B18,Master!#REF!)</f>
        <v>#REF!</v>
      </c>
      <c r="AO18" s="35" t="e">
        <f>SUMIF(Master!#REF!,$B18,Master!#REF!)</f>
        <v>#REF!</v>
      </c>
      <c r="AP18" s="39" t="e">
        <f t="shared" si="19"/>
        <v>#REF!</v>
      </c>
      <c r="AQ18" s="31" t="e">
        <f t="shared" si="20"/>
        <v>#REF!</v>
      </c>
      <c r="AR18" s="36" t="e">
        <f>SUMIF(Master!#REF!,$B18,Master!#REF!)</f>
        <v>#REF!</v>
      </c>
      <c r="AS18" s="35" t="e">
        <f>SUMIF(Master!#REF!,$B18,Master!#REF!)</f>
        <v>#REF!</v>
      </c>
      <c r="AT18" s="39" t="e">
        <f t="shared" si="21"/>
        <v>#REF!</v>
      </c>
      <c r="AU18" s="31" t="e">
        <f t="shared" si="22"/>
        <v>#REF!</v>
      </c>
      <c r="AW18" s="36" t="e">
        <f>SUMIF(Master!#REF!,$B18,Master!#REF!)</f>
        <v>#REF!</v>
      </c>
      <c r="AX18" s="35" t="e">
        <f>SUMIF(Master!#REF!,$B18,Master!#REF!)</f>
        <v>#REF!</v>
      </c>
      <c r="AY18" s="39" t="e">
        <f t="shared" si="23"/>
        <v>#REF!</v>
      </c>
      <c r="AZ18" s="31" t="e">
        <f t="shared" si="24"/>
        <v>#REF!</v>
      </c>
      <c r="BA18" s="36" t="e">
        <f>SUMIF(Master!#REF!,$B18,Master!#REF!)</f>
        <v>#REF!</v>
      </c>
      <c r="BB18" s="35" t="e">
        <f>SUMIF(Master!#REF!,$B18,Master!#REF!)</f>
        <v>#REF!</v>
      </c>
      <c r="BC18" s="39" t="e">
        <f t="shared" si="25"/>
        <v>#REF!</v>
      </c>
      <c r="BD18" s="31" t="e">
        <f t="shared" si="26"/>
        <v>#REF!</v>
      </c>
      <c r="BE18" s="36" t="e">
        <f>SUMIF(Master!#REF!,$B18,Master!#REF!)</f>
        <v>#REF!</v>
      </c>
      <c r="BF18" s="35" t="e">
        <f>SUMIF(Master!#REF!,$B18,Master!#REF!)</f>
        <v>#REF!</v>
      </c>
      <c r="BG18" s="39" t="e">
        <f t="shared" si="27"/>
        <v>#REF!</v>
      </c>
      <c r="BH18" s="31" t="e">
        <f t="shared" si="28"/>
        <v>#REF!</v>
      </c>
      <c r="BI18" s="36" t="e">
        <f>SUMIF(Master!#REF!,$B18,Master!#REF!)</f>
        <v>#REF!</v>
      </c>
      <c r="BJ18" s="35" t="e">
        <f>SUMIF(Master!#REF!,$B18,Master!#REF!)</f>
        <v>#REF!</v>
      </c>
      <c r="BK18" s="39" t="e">
        <f t="shared" si="29"/>
        <v>#REF!</v>
      </c>
      <c r="BL18" s="31" t="e">
        <f t="shared" si="30"/>
        <v>#REF!</v>
      </c>
      <c r="BM18" s="36" t="e">
        <f>SUMIF(Master!#REF!,$B18,Master!#REF!)</f>
        <v>#REF!</v>
      </c>
      <c r="BN18" s="35" t="e">
        <f>SUMIF(Master!#REF!,$B18,Master!#REF!)</f>
        <v>#REF!</v>
      </c>
      <c r="BO18" s="39" t="e">
        <f t="shared" si="31"/>
        <v>#REF!</v>
      </c>
      <c r="BP18" s="31" t="e">
        <f t="shared" si="32"/>
        <v>#REF!</v>
      </c>
      <c r="BR18" s="36" t="e">
        <f>SUMIF(Master!#REF!,$B18,Master!#REF!)</f>
        <v>#REF!</v>
      </c>
      <c r="BS18" s="35" t="e">
        <f>SUMIF(Master!#REF!,$B18,Master!#REF!)</f>
        <v>#REF!</v>
      </c>
      <c r="BT18" s="39" t="e">
        <f t="shared" si="33"/>
        <v>#REF!</v>
      </c>
      <c r="BU18" s="31" t="e">
        <f t="shared" si="34"/>
        <v>#REF!</v>
      </c>
      <c r="BW18" s="36" t="str">
        <f>IF(ISERROR(LARGE(Master!#REF!,1)),"",LARGE(Master!#REF!,1))</f>
        <v/>
      </c>
      <c r="BX18" s="35" t="str">
        <f>IF(ISERROR(LARGE(Master!#REF!,1)),"",LARGE(Master!#REF!,1))</f>
        <v/>
      </c>
      <c r="BY18" s="44" t="str">
        <f t="shared" si="35"/>
        <v/>
      </c>
    </row>
    <row r="19" spans="2:77" x14ac:dyDescent="0.25">
      <c r="B19" s="29">
        <f t="shared" si="0"/>
        <v>45</v>
      </c>
      <c r="C19" s="36" t="e">
        <f>SUMIF(Master!#REF!,$B19,Master!#REF!)</f>
        <v>#REF!</v>
      </c>
      <c r="D19" s="35" t="e">
        <f>SUMIF(Master!#REF!,$B19,Master!#REF!)</f>
        <v>#REF!</v>
      </c>
      <c r="E19" s="39" t="e">
        <f t="shared" si="1"/>
        <v>#REF!</v>
      </c>
      <c r="F19" s="31" t="e">
        <f t="shared" si="2"/>
        <v>#REF!</v>
      </c>
      <c r="G19" s="36" t="e">
        <f>SUMIF(Master!#REF!,$B19,Master!#REF!)</f>
        <v>#REF!</v>
      </c>
      <c r="H19" s="35" t="e">
        <f>SUMIF(Master!#REF!,$B19,Master!#REF!)</f>
        <v>#REF!</v>
      </c>
      <c r="I19" s="39" t="e">
        <f t="shared" si="3"/>
        <v>#REF!</v>
      </c>
      <c r="J19" s="31" t="e">
        <f t="shared" si="4"/>
        <v>#REF!</v>
      </c>
      <c r="K19" s="36" t="e">
        <f>SUMIF(Master!#REF!,$B19,Master!#REF!)</f>
        <v>#REF!</v>
      </c>
      <c r="L19" s="35" t="e">
        <f>SUMIF(Master!#REF!,$B19,Master!#REF!)</f>
        <v>#REF!</v>
      </c>
      <c r="M19" s="39" t="e">
        <f t="shared" si="5"/>
        <v>#REF!</v>
      </c>
      <c r="N19" s="31" t="e">
        <f t="shared" si="6"/>
        <v>#REF!</v>
      </c>
      <c r="O19" s="36"/>
      <c r="P19" s="35" t="e">
        <f>SUMIF(Master!#REF!,$B19,Master!#REF!)</f>
        <v>#REF!</v>
      </c>
      <c r="Q19" s="39" t="str">
        <f t="shared" si="7"/>
        <v/>
      </c>
      <c r="R19" s="31" t="str">
        <f t="shared" si="8"/>
        <v/>
      </c>
      <c r="S19" s="36"/>
      <c r="T19" s="35" t="e">
        <f>SUMIF(Master!#REF!,$B19,Master!#REF!)</f>
        <v>#REF!</v>
      </c>
      <c r="U19" s="39" t="str">
        <f t="shared" si="9"/>
        <v/>
      </c>
      <c r="V19" s="31" t="str">
        <f t="shared" si="10"/>
        <v/>
      </c>
      <c r="X19" s="36" t="e">
        <f>SUMIF(Master!#REF!,$B19,Master!#REF!)</f>
        <v>#REF!</v>
      </c>
      <c r="Y19" s="35" t="e">
        <f>SUMIF(Master!#REF!,$B19,Master!#REF!)</f>
        <v>#REF!</v>
      </c>
      <c r="Z19" s="39" t="e">
        <f t="shared" si="11"/>
        <v>#REF!</v>
      </c>
      <c r="AA19" s="31" t="e">
        <f t="shared" si="12"/>
        <v>#REF!</v>
      </c>
      <c r="AB19" s="36" t="e">
        <f>SUMIF(Master!#REF!,$B19,Master!#REF!)</f>
        <v>#REF!</v>
      </c>
      <c r="AC19" s="35" t="e">
        <f>SUMIF(Master!#REF!,$B19,Master!#REF!)</f>
        <v>#REF!</v>
      </c>
      <c r="AD19" s="39" t="e">
        <f t="shared" si="13"/>
        <v>#REF!</v>
      </c>
      <c r="AE19" s="31" t="e">
        <f t="shared" si="14"/>
        <v>#REF!</v>
      </c>
      <c r="AF19" s="36" t="e">
        <f>SUMIF(Master!#REF!,$B19,Master!#REF!)</f>
        <v>#REF!</v>
      </c>
      <c r="AG19" s="35" t="e">
        <f>SUMIF(Master!#REF!,$B19,Master!#REF!)</f>
        <v>#REF!</v>
      </c>
      <c r="AH19" s="39" t="e">
        <f t="shared" si="15"/>
        <v>#REF!</v>
      </c>
      <c r="AI19" s="31" t="e">
        <f t="shared" si="16"/>
        <v>#REF!</v>
      </c>
      <c r="AJ19" s="36" t="e">
        <f>SUMIF(Master!#REF!,$B19,Master!#REF!)</f>
        <v>#REF!</v>
      </c>
      <c r="AK19" s="35" t="e">
        <f>SUMIF(Master!#REF!,$B19,Master!#REF!)</f>
        <v>#REF!</v>
      </c>
      <c r="AL19" s="39" t="e">
        <f t="shared" si="17"/>
        <v>#REF!</v>
      </c>
      <c r="AM19" s="31" t="e">
        <f t="shared" si="18"/>
        <v>#REF!</v>
      </c>
      <c r="AN19" s="36" t="e">
        <f>SUMIF(Master!#REF!,$B19,Master!#REF!)</f>
        <v>#REF!</v>
      </c>
      <c r="AO19" s="35" t="e">
        <f>SUMIF(Master!#REF!,$B19,Master!#REF!)</f>
        <v>#REF!</v>
      </c>
      <c r="AP19" s="39" t="e">
        <f t="shared" si="19"/>
        <v>#REF!</v>
      </c>
      <c r="AQ19" s="31" t="e">
        <f t="shared" si="20"/>
        <v>#REF!</v>
      </c>
      <c r="AR19" s="36" t="e">
        <f>SUMIF(Master!#REF!,$B19,Master!#REF!)</f>
        <v>#REF!</v>
      </c>
      <c r="AS19" s="35" t="e">
        <f>SUMIF(Master!#REF!,$B19,Master!#REF!)</f>
        <v>#REF!</v>
      </c>
      <c r="AT19" s="39" t="e">
        <f t="shared" si="21"/>
        <v>#REF!</v>
      </c>
      <c r="AU19" s="31" t="e">
        <f t="shared" si="22"/>
        <v>#REF!</v>
      </c>
      <c r="AW19" s="36" t="e">
        <f>SUMIF(Master!#REF!,$B19,Master!#REF!)</f>
        <v>#REF!</v>
      </c>
      <c r="AX19" s="35" t="e">
        <f>SUMIF(Master!#REF!,$B19,Master!#REF!)</f>
        <v>#REF!</v>
      </c>
      <c r="AY19" s="39" t="e">
        <f t="shared" si="23"/>
        <v>#REF!</v>
      </c>
      <c r="AZ19" s="31" t="e">
        <f t="shared" si="24"/>
        <v>#REF!</v>
      </c>
      <c r="BA19" s="36" t="e">
        <f>SUMIF(Master!#REF!,$B19,Master!#REF!)</f>
        <v>#REF!</v>
      </c>
      <c r="BB19" s="35" t="e">
        <f>SUMIF(Master!#REF!,$B19,Master!#REF!)</f>
        <v>#REF!</v>
      </c>
      <c r="BC19" s="39" t="e">
        <f t="shared" si="25"/>
        <v>#REF!</v>
      </c>
      <c r="BD19" s="31" t="e">
        <f t="shared" si="26"/>
        <v>#REF!</v>
      </c>
      <c r="BE19" s="36" t="e">
        <f>SUMIF(Master!#REF!,$B19,Master!#REF!)</f>
        <v>#REF!</v>
      </c>
      <c r="BF19" s="35" t="e">
        <f>SUMIF(Master!#REF!,$B19,Master!#REF!)</f>
        <v>#REF!</v>
      </c>
      <c r="BG19" s="39" t="e">
        <f t="shared" si="27"/>
        <v>#REF!</v>
      </c>
      <c r="BH19" s="31" t="e">
        <f t="shared" si="28"/>
        <v>#REF!</v>
      </c>
      <c r="BI19" s="36" t="e">
        <f>SUMIF(Master!#REF!,$B19,Master!#REF!)</f>
        <v>#REF!</v>
      </c>
      <c r="BJ19" s="35" t="e">
        <f>SUMIF(Master!#REF!,$B19,Master!#REF!)</f>
        <v>#REF!</v>
      </c>
      <c r="BK19" s="39" t="e">
        <f t="shared" si="29"/>
        <v>#REF!</v>
      </c>
      <c r="BL19" s="31" t="e">
        <f t="shared" si="30"/>
        <v>#REF!</v>
      </c>
      <c r="BM19" s="36" t="e">
        <f>SUMIF(Master!#REF!,$B19,Master!#REF!)</f>
        <v>#REF!</v>
      </c>
      <c r="BN19" s="35" t="e">
        <f>SUMIF(Master!#REF!,$B19,Master!#REF!)</f>
        <v>#REF!</v>
      </c>
      <c r="BO19" s="39" t="e">
        <f t="shared" si="31"/>
        <v>#REF!</v>
      </c>
      <c r="BP19" s="31" t="e">
        <f t="shared" si="32"/>
        <v>#REF!</v>
      </c>
      <c r="BR19" s="36" t="e">
        <f>SUMIF(Master!#REF!,$B19,Master!#REF!)</f>
        <v>#REF!</v>
      </c>
      <c r="BS19" s="35" t="e">
        <f>SUMIF(Master!#REF!,$B19,Master!#REF!)</f>
        <v>#REF!</v>
      </c>
      <c r="BT19" s="39" t="e">
        <f t="shared" si="33"/>
        <v>#REF!</v>
      </c>
      <c r="BU19" s="31" t="e">
        <f t="shared" si="34"/>
        <v>#REF!</v>
      </c>
      <c r="BW19" s="36" t="str">
        <f>IF(ISERROR(LARGE(Master!#REF!,1)),"",LARGE(Master!#REF!,1))</f>
        <v/>
      </c>
      <c r="BX19" s="35" t="str">
        <f>IF(ISERROR(LARGE(Master!#REF!,1)),"",LARGE(Master!#REF!,1))</f>
        <v/>
      </c>
      <c r="BY19" s="44" t="str">
        <f t="shared" si="35"/>
        <v/>
      </c>
    </row>
    <row r="20" spans="2:77" x14ac:dyDescent="0.25">
      <c r="B20" s="29">
        <f t="shared" si="0"/>
        <v>46</v>
      </c>
      <c r="C20" s="36" t="e">
        <f>SUMIF(Master!#REF!,$B20,Master!#REF!)</f>
        <v>#REF!</v>
      </c>
      <c r="D20" s="35" t="e">
        <f>SUMIF(Master!#REF!,$B20,Master!#REF!)</f>
        <v>#REF!</v>
      </c>
      <c r="E20" s="39" t="e">
        <f t="shared" si="1"/>
        <v>#REF!</v>
      </c>
      <c r="F20" s="31" t="e">
        <f t="shared" si="2"/>
        <v>#REF!</v>
      </c>
      <c r="G20" s="36" t="e">
        <f>SUMIF(Master!#REF!,$B20,Master!#REF!)</f>
        <v>#REF!</v>
      </c>
      <c r="H20" s="35" t="e">
        <f>SUMIF(Master!#REF!,$B20,Master!#REF!)</f>
        <v>#REF!</v>
      </c>
      <c r="I20" s="39" t="e">
        <f t="shared" si="3"/>
        <v>#REF!</v>
      </c>
      <c r="J20" s="31" t="e">
        <f t="shared" si="4"/>
        <v>#REF!</v>
      </c>
      <c r="K20" s="36" t="e">
        <f>SUMIF(Master!#REF!,$B20,Master!#REF!)</f>
        <v>#REF!</v>
      </c>
      <c r="L20" s="35" t="e">
        <f>SUMIF(Master!#REF!,$B20,Master!#REF!)</f>
        <v>#REF!</v>
      </c>
      <c r="M20" s="39" t="e">
        <f t="shared" si="5"/>
        <v>#REF!</v>
      </c>
      <c r="N20" s="31" t="e">
        <f t="shared" si="6"/>
        <v>#REF!</v>
      </c>
      <c r="O20" s="36"/>
      <c r="P20" s="35" t="e">
        <f>SUMIF(Master!#REF!,$B20,Master!#REF!)</f>
        <v>#REF!</v>
      </c>
      <c r="Q20" s="39" t="str">
        <f t="shared" si="7"/>
        <v/>
      </c>
      <c r="R20" s="31" t="str">
        <f t="shared" si="8"/>
        <v/>
      </c>
      <c r="S20" s="36"/>
      <c r="T20" s="35" t="e">
        <f>SUMIF(Master!#REF!,$B20,Master!#REF!)</f>
        <v>#REF!</v>
      </c>
      <c r="U20" s="39" t="str">
        <f t="shared" si="9"/>
        <v/>
      </c>
      <c r="V20" s="31" t="str">
        <f t="shared" si="10"/>
        <v/>
      </c>
      <c r="X20" s="36" t="e">
        <f>SUMIF(Master!#REF!,$B20,Master!#REF!)</f>
        <v>#REF!</v>
      </c>
      <c r="Y20" s="35" t="e">
        <f>SUMIF(Master!#REF!,$B20,Master!#REF!)</f>
        <v>#REF!</v>
      </c>
      <c r="Z20" s="39" t="e">
        <f t="shared" si="11"/>
        <v>#REF!</v>
      </c>
      <c r="AA20" s="31" t="e">
        <f t="shared" si="12"/>
        <v>#REF!</v>
      </c>
      <c r="AB20" s="36" t="e">
        <f>SUMIF(Master!#REF!,$B20,Master!#REF!)</f>
        <v>#REF!</v>
      </c>
      <c r="AC20" s="35" t="e">
        <f>SUMIF(Master!#REF!,$B20,Master!#REF!)</f>
        <v>#REF!</v>
      </c>
      <c r="AD20" s="39" t="e">
        <f t="shared" si="13"/>
        <v>#REF!</v>
      </c>
      <c r="AE20" s="31" t="e">
        <f t="shared" si="14"/>
        <v>#REF!</v>
      </c>
      <c r="AF20" s="36" t="e">
        <f>SUMIF(Master!#REF!,$B20,Master!#REF!)</f>
        <v>#REF!</v>
      </c>
      <c r="AG20" s="35" t="e">
        <f>SUMIF(Master!#REF!,$B20,Master!#REF!)</f>
        <v>#REF!</v>
      </c>
      <c r="AH20" s="39" t="e">
        <f t="shared" si="15"/>
        <v>#REF!</v>
      </c>
      <c r="AI20" s="31" t="e">
        <f t="shared" si="16"/>
        <v>#REF!</v>
      </c>
      <c r="AJ20" s="36" t="e">
        <f>SUMIF(Master!#REF!,$B20,Master!#REF!)</f>
        <v>#REF!</v>
      </c>
      <c r="AK20" s="35" t="e">
        <f>SUMIF(Master!#REF!,$B20,Master!#REF!)</f>
        <v>#REF!</v>
      </c>
      <c r="AL20" s="39" t="e">
        <f t="shared" si="17"/>
        <v>#REF!</v>
      </c>
      <c r="AM20" s="31" t="e">
        <f t="shared" si="18"/>
        <v>#REF!</v>
      </c>
      <c r="AN20" s="36" t="e">
        <f>SUMIF(Master!#REF!,$B20,Master!#REF!)</f>
        <v>#REF!</v>
      </c>
      <c r="AO20" s="35" t="e">
        <f>SUMIF(Master!#REF!,$B20,Master!#REF!)</f>
        <v>#REF!</v>
      </c>
      <c r="AP20" s="39" t="e">
        <f t="shared" si="19"/>
        <v>#REF!</v>
      </c>
      <c r="AQ20" s="31" t="e">
        <f t="shared" si="20"/>
        <v>#REF!</v>
      </c>
      <c r="AR20" s="36" t="e">
        <f>SUMIF(Master!#REF!,$B20,Master!#REF!)</f>
        <v>#REF!</v>
      </c>
      <c r="AS20" s="35" t="e">
        <f>SUMIF(Master!#REF!,$B20,Master!#REF!)</f>
        <v>#REF!</v>
      </c>
      <c r="AT20" s="39" t="e">
        <f t="shared" si="21"/>
        <v>#REF!</v>
      </c>
      <c r="AU20" s="31" t="e">
        <f t="shared" si="22"/>
        <v>#REF!</v>
      </c>
      <c r="AW20" s="36" t="e">
        <f>SUMIF(Master!#REF!,$B20,Master!#REF!)</f>
        <v>#REF!</v>
      </c>
      <c r="AX20" s="35" t="e">
        <f>SUMIF(Master!#REF!,$B20,Master!#REF!)</f>
        <v>#REF!</v>
      </c>
      <c r="AY20" s="39" t="e">
        <f t="shared" si="23"/>
        <v>#REF!</v>
      </c>
      <c r="AZ20" s="31" t="e">
        <f t="shared" si="24"/>
        <v>#REF!</v>
      </c>
      <c r="BA20" s="36" t="e">
        <f>SUMIF(Master!#REF!,$B20,Master!#REF!)</f>
        <v>#REF!</v>
      </c>
      <c r="BB20" s="35" t="e">
        <f>SUMIF(Master!#REF!,$B20,Master!#REF!)</f>
        <v>#REF!</v>
      </c>
      <c r="BC20" s="39" t="e">
        <f t="shared" si="25"/>
        <v>#REF!</v>
      </c>
      <c r="BD20" s="31" t="e">
        <f t="shared" si="26"/>
        <v>#REF!</v>
      </c>
      <c r="BE20" s="36" t="e">
        <f>SUMIF(Master!#REF!,$B20,Master!#REF!)</f>
        <v>#REF!</v>
      </c>
      <c r="BF20" s="35" t="e">
        <f>SUMIF(Master!#REF!,$B20,Master!#REF!)</f>
        <v>#REF!</v>
      </c>
      <c r="BG20" s="39" t="e">
        <f t="shared" si="27"/>
        <v>#REF!</v>
      </c>
      <c r="BH20" s="31" t="e">
        <f t="shared" si="28"/>
        <v>#REF!</v>
      </c>
      <c r="BI20" s="36" t="e">
        <f>SUMIF(Master!#REF!,$B20,Master!#REF!)</f>
        <v>#REF!</v>
      </c>
      <c r="BJ20" s="35" t="e">
        <f>SUMIF(Master!#REF!,$B20,Master!#REF!)</f>
        <v>#REF!</v>
      </c>
      <c r="BK20" s="39" t="e">
        <f t="shared" si="29"/>
        <v>#REF!</v>
      </c>
      <c r="BL20" s="31" t="e">
        <f t="shared" si="30"/>
        <v>#REF!</v>
      </c>
      <c r="BM20" s="36" t="e">
        <f>SUMIF(Master!#REF!,$B20,Master!#REF!)</f>
        <v>#REF!</v>
      </c>
      <c r="BN20" s="35" t="e">
        <f>SUMIF(Master!#REF!,$B20,Master!#REF!)</f>
        <v>#REF!</v>
      </c>
      <c r="BO20" s="39" t="e">
        <f t="shared" si="31"/>
        <v>#REF!</v>
      </c>
      <c r="BP20" s="31" t="e">
        <f t="shared" si="32"/>
        <v>#REF!</v>
      </c>
      <c r="BR20" s="36" t="e">
        <f>SUMIF(Master!#REF!,$B20,Master!#REF!)</f>
        <v>#REF!</v>
      </c>
      <c r="BS20" s="35" t="e">
        <f>SUMIF(Master!#REF!,$B20,Master!#REF!)</f>
        <v>#REF!</v>
      </c>
      <c r="BT20" s="39" t="e">
        <f t="shared" si="33"/>
        <v>#REF!</v>
      </c>
      <c r="BU20" s="31" t="e">
        <f t="shared" si="34"/>
        <v>#REF!</v>
      </c>
      <c r="BW20" s="36" t="str">
        <f>IF(ISERROR(LARGE(Master!#REF!,1)),"",LARGE(Master!#REF!,1))</f>
        <v/>
      </c>
      <c r="BX20" s="35" t="str">
        <f>IF(ISERROR(LARGE(Master!#REF!,1)),"",LARGE(Master!#REF!,1))</f>
        <v/>
      </c>
      <c r="BY20" s="44" t="str">
        <f t="shared" si="35"/>
        <v/>
      </c>
    </row>
    <row r="21" spans="2:77" x14ac:dyDescent="0.25">
      <c r="B21" s="29">
        <f t="shared" si="0"/>
        <v>47</v>
      </c>
      <c r="C21" s="36" t="e">
        <f>SUMIF(Master!#REF!,$B21,Master!#REF!)</f>
        <v>#REF!</v>
      </c>
      <c r="D21" s="35" t="e">
        <f>SUMIF(Master!#REF!,$B21,Master!#REF!)</f>
        <v>#REF!</v>
      </c>
      <c r="E21" s="39" t="e">
        <f t="shared" si="1"/>
        <v>#REF!</v>
      </c>
      <c r="F21" s="31" t="e">
        <f t="shared" si="2"/>
        <v>#REF!</v>
      </c>
      <c r="G21" s="36" t="e">
        <f>SUMIF(Master!#REF!,$B21,Master!#REF!)</f>
        <v>#REF!</v>
      </c>
      <c r="H21" s="35" t="e">
        <f>SUMIF(Master!#REF!,$B21,Master!#REF!)</f>
        <v>#REF!</v>
      </c>
      <c r="I21" s="39" t="e">
        <f t="shared" si="3"/>
        <v>#REF!</v>
      </c>
      <c r="J21" s="31" t="e">
        <f t="shared" si="4"/>
        <v>#REF!</v>
      </c>
      <c r="K21" s="36" t="e">
        <f>SUMIF(Master!#REF!,$B21,Master!#REF!)</f>
        <v>#REF!</v>
      </c>
      <c r="L21" s="35" t="e">
        <f>SUMIF(Master!#REF!,$B21,Master!#REF!)</f>
        <v>#REF!</v>
      </c>
      <c r="M21" s="39" t="e">
        <f t="shared" si="5"/>
        <v>#REF!</v>
      </c>
      <c r="N21" s="31" t="e">
        <f t="shared" si="6"/>
        <v>#REF!</v>
      </c>
      <c r="O21" s="36"/>
      <c r="P21" s="35" t="e">
        <f>SUMIF(Master!#REF!,$B21,Master!#REF!)</f>
        <v>#REF!</v>
      </c>
      <c r="Q21" s="39" t="str">
        <f t="shared" si="7"/>
        <v/>
      </c>
      <c r="R21" s="31" t="str">
        <f t="shared" si="8"/>
        <v/>
      </c>
      <c r="S21" s="36"/>
      <c r="T21" s="35" t="e">
        <f>SUMIF(Master!#REF!,$B21,Master!#REF!)</f>
        <v>#REF!</v>
      </c>
      <c r="U21" s="39" t="str">
        <f t="shared" si="9"/>
        <v/>
      </c>
      <c r="V21" s="31" t="str">
        <f t="shared" si="10"/>
        <v/>
      </c>
      <c r="X21" s="36" t="e">
        <f>SUMIF(Master!#REF!,$B21,Master!#REF!)</f>
        <v>#REF!</v>
      </c>
      <c r="Y21" s="35" t="e">
        <f>SUMIF(Master!#REF!,$B21,Master!#REF!)</f>
        <v>#REF!</v>
      </c>
      <c r="Z21" s="39" t="e">
        <f t="shared" si="11"/>
        <v>#REF!</v>
      </c>
      <c r="AA21" s="31" t="e">
        <f t="shared" si="12"/>
        <v>#REF!</v>
      </c>
      <c r="AB21" s="36" t="e">
        <f>SUMIF(Master!#REF!,$B21,Master!#REF!)</f>
        <v>#REF!</v>
      </c>
      <c r="AC21" s="35" t="e">
        <f>SUMIF(Master!#REF!,$B21,Master!#REF!)</f>
        <v>#REF!</v>
      </c>
      <c r="AD21" s="39" t="e">
        <f t="shared" si="13"/>
        <v>#REF!</v>
      </c>
      <c r="AE21" s="31" t="e">
        <f t="shared" si="14"/>
        <v>#REF!</v>
      </c>
      <c r="AF21" s="36" t="e">
        <f>SUMIF(Master!#REF!,$B21,Master!#REF!)</f>
        <v>#REF!</v>
      </c>
      <c r="AG21" s="35" t="e">
        <f>SUMIF(Master!#REF!,$B21,Master!#REF!)</f>
        <v>#REF!</v>
      </c>
      <c r="AH21" s="39" t="e">
        <f t="shared" si="15"/>
        <v>#REF!</v>
      </c>
      <c r="AI21" s="31" t="e">
        <f t="shared" si="16"/>
        <v>#REF!</v>
      </c>
      <c r="AJ21" s="36" t="e">
        <f>SUMIF(Master!#REF!,$B21,Master!#REF!)</f>
        <v>#REF!</v>
      </c>
      <c r="AK21" s="35" t="e">
        <f>SUMIF(Master!#REF!,$B21,Master!#REF!)</f>
        <v>#REF!</v>
      </c>
      <c r="AL21" s="39" t="e">
        <f t="shared" si="17"/>
        <v>#REF!</v>
      </c>
      <c r="AM21" s="31" t="e">
        <f t="shared" si="18"/>
        <v>#REF!</v>
      </c>
      <c r="AN21" s="36" t="e">
        <f>SUMIF(Master!#REF!,$B21,Master!#REF!)</f>
        <v>#REF!</v>
      </c>
      <c r="AO21" s="35" t="e">
        <f>SUMIF(Master!#REF!,$B21,Master!#REF!)</f>
        <v>#REF!</v>
      </c>
      <c r="AP21" s="39" t="e">
        <f t="shared" si="19"/>
        <v>#REF!</v>
      </c>
      <c r="AQ21" s="31" t="e">
        <f t="shared" si="20"/>
        <v>#REF!</v>
      </c>
      <c r="AR21" s="36" t="e">
        <f>SUMIF(Master!#REF!,$B21,Master!#REF!)</f>
        <v>#REF!</v>
      </c>
      <c r="AS21" s="35" t="e">
        <f>SUMIF(Master!#REF!,$B21,Master!#REF!)</f>
        <v>#REF!</v>
      </c>
      <c r="AT21" s="39" t="e">
        <f t="shared" si="21"/>
        <v>#REF!</v>
      </c>
      <c r="AU21" s="31" t="e">
        <f t="shared" si="22"/>
        <v>#REF!</v>
      </c>
      <c r="AW21" s="36" t="e">
        <f>SUMIF(Master!#REF!,$B21,Master!#REF!)</f>
        <v>#REF!</v>
      </c>
      <c r="AX21" s="35" t="e">
        <f>SUMIF(Master!#REF!,$B21,Master!#REF!)</f>
        <v>#REF!</v>
      </c>
      <c r="AY21" s="39" t="e">
        <f t="shared" si="23"/>
        <v>#REF!</v>
      </c>
      <c r="AZ21" s="31" t="e">
        <f t="shared" si="24"/>
        <v>#REF!</v>
      </c>
      <c r="BA21" s="36" t="e">
        <f>SUMIF(Master!#REF!,$B21,Master!#REF!)</f>
        <v>#REF!</v>
      </c>
      <c r="BB21" s="35" t="e">
        <f>SUMIF(Master!#REF!,$B21,Master!#REF!)</f>
        <v>#REF!</v>
      </c>
      <c r="BC21" s="39" t="e">
        <f t="shared" si="25"/>
        <v>#REF!</v>
      </c>
      <c r="BD21" s="31" t="e">
        <f t="shared" si="26"/>
        <v>#REF!</v>
      </c>
      <c r="BE21" s="36" t="e">
        <f>SUMIF(Master!#REF!,$B21,Master!#REF!)</f>
        <v>#REF!</v>
      </c>
      <c r="BF21" s="35" t="e">
        <f>SUMIF(Master!#REF!,$B21,Master!#REF!)</f>
        <v>#REF!</v>
      </c>
      <c r="BG21" s="39" t="e">
        <f t="shared" si="27"/>
        <v>#REF!</v>
      </c>
      <c r="BH21" s="31" t="e">
        <f t="shared" si="28"/>
        <v>#REF!</v>
      </c>
      <c r="BI21" s="36" t="e">
        <f>SUMIF(Master!#REF!,$B21,Master!#REF!)</f>
        <v>#REF!</v>
      </c>
      <c r="BJ21" s="35" t="e">
        <f>SUMIF(Master!#REF!,$B21,Master!#REF!)</f>
        <v>#REF!</v>
      </c>
      <c r="BK21" s="39" t="e">
        <f t="shared" si="29"/>
        <v>#REF!</v>
      </c>
      <c r="BL21" s="31" t="e">
        <f t="shared" si="30"/>
        <v>#REF!</v>
      </c>
      <c r="BM21" s="36" t="e">
        <f>SUMIF(Master!#REF!,$B21,Master!#REF!)</f>
        <v>#REF!</v>
      </c>
      <c r="BN21" s="35" t="e">
        <f>SUMIF(Master!#REF!,$B21,Master!#REF!)</f>
        <v>#REF!</v>
      </c>
      <c r="BO21" s="39" t="e">
        <f t="shared" si="31"/>
        <v>#REF!</v>
      </c>
      <c r="BP21" s="31" t="e">
        <f t="shared" si="32"/>
        <v>#REF!</v>
      </c>
      <c r="BR21" s="36" t="e">
        <f>SUMIF(Master!#REF!,$B21,Master!#REF!)</f>
        <v>#REF!</v>
      </c>
      <c r="BS21" s="35" t="e">
        <f>SUMIF(Master!#REF!,$B21,Master!#REF!)</f>
        <v>#REF!</v>
      </c>
      <c r="BT21" s="39" t="e">
        <f t="shared" si="33"/>
        <v>#REF!</v>
      </c>
      <c r="BU21" s="31" t="e">
        <f t="shared" si="34"/>
        <v>#REF!</v>
      </c>
      <c r="BW21" s="36" t="str">
        <f>IF(ISERROR(LARGE(Master!#REF!,1)),"",LARGE(Master!#REF!,1))</f>
        <v/>
      </c>
      <c r="BX21" s="35" t="str">
        <f>IF(ISERROR(LARGE(Master!#REF!,1)),"",LARGE(Master!#REF!,1))</f>
        <v/>
      </c>
      <c r="BY21" s="44" t="str">
        <f t="shared" si="35"/>
        <v/>
      </c>
    </row>
    <row r="22" spans="2:77" x14ac:dyDescent="0.25">
      <c r="B22" s="29">
        <f t="shared" si="0"/>
        <v>48</v>
      </c>
      <c r="C22" s="36" t="e">
        <f>SUMIF(Master!#REF!,$B22,Master!#REF!)</f>
        <v>#REF!</v>
      </c>
      <c r="D22" s="35" t="e">
        <f>SUMIF(Master!#REF!,$B22,Master!#REF!)</f>
        <v>#REF!</v>
      </c>
      <c r="E22" s="39" t="e">
        <f t="shared" si="1"/>
        <v>#REF!</v>
      </c>
      <c r="F22" s="31" t="e">
        <f t="shared" si="2"/>
        <v>#REF!</v>
      </c>
      <c r="G22" s="36" t="e">
        <f>SUMIF(Master!#REF!,$B22,Master!#REF!)</f>
        <v>#REF!</v>
      </c>
      <c r="H22" s="35" t="e">
        <f>SUMIF(Master!#REF!,$B22,Master!#REF!)</f>
        <v>#REF!</v>
      </c>
      <c r="I22" s="39" t="e">
        <f t="shared" si="3"/>
        <v>#REF!</v>
      </c>
      <c r="J22" s="31" t="e">
        <f t="shared" si="4"/>
        <v>#REF!</v>
      </c>
      <c r="K22" s="36" t="e">
        <f>SUMIF(Master!#REF!,$B22,Master!#REF!)</f>
        <v>#REF!</v>
      </c>
      <c r="L22" s="35" t="e">
        <f>SUMIF(Master!#REF!,$B22,Master!#REF!)</f>
        <v>#REF!</v>
      </c>
      <c r="M22" s="39" t="e">
        <f t="shared" si="5"/>
        <v>#REF!</v>
      </c>
      <c r="N22" s="31" t="e">
        <f t="shared" si="6"/>
        <v>#REF!</v>
      </c>
      <c r="O22" s="36"/>
      <c r="P22" s="35" t="e">
        <f>SUMIF(Master!#REF!,$B22,Master!#REF!)</f>
        <v>#REF!</v>
      </c>
      <c r="Q22" s="39" t="str">
        <f t="shared" si="7"/>
        <v/>
      </c>
      <c r="R22" s="31" t="str">
        <f t="shared" si="8"/>
        <v/>
      </c>
      <c r="S22" s="36"/>
      <c r="T22" s="35" t="e">
        <f>SUMIF(Master!#REF!,$B22,Master!#REF!)</f>
        <v>#REF!</v>
      </c>
      <c r="U22" s="39" t="str">
        <f t="shared" si="9"/>
        <v/>
      </c>
      <c r="V22" s="31" t="str">
        <f t="shared" si="10"/>
        <v/>
      </c>
      <c r="X22" s="36" t="e">
        <f>SUMIF(Master!#REF!,$B22,Master!#REF!)</f>
        <v>#REF!</v>
      </c>
      <c r="Y22" s="35" t="e">
        <f>SUMIF(Master!#REF!,$B22,Master!#REF!)</f>
        <v>#REF!</v>
      </c>
      <c r="Z22" s="39" t="e">
        <f t="shared" si="11"/>
        <v>#REF!</v>
      </c>
      <c r="AA22" s="31" t="e">
        <f t="shared" si="12"/>
        <v>#REF!</v>
      </c>
      <c r="AB22" s="36" t="e">
        <f>SUMIF(Master!#REF!,$B22,Master!#REF!)</f>
        <v>#REF!</v>
      </c>
      <c r="AC22" s="35" t="e">
        <f>SUMIF(Master!#REF!,$B22,Master!#REF!)</f>
        <v>#REF!</v>
      </c>
      <c r="AD22" s="39" t="e">
        <f t="shared" si="13"/>
        <v>#REF!</v>
      </c>
      <c r="AE22" s="31" t="e">
        <f t="shared" si="14"/>
        <v>#REF!</v>
      </c>
      <c r="AF22" s="36" t="e">
        <f>SUMIF(Master!#REF!,$B22,Master!#REF!)</f>
        <v>#REF!</v>
      </c>
      <c r="AG22" s="35" t="e">
        <f>SUMIF(Master!#REF!,$B22,Master!#REF!)</f>
        <v>#REF!</v>
      </c>
      <c r="AH22" s="39" t="e">
        <f t="shared" si="15"/>
        <v>#REF!</v>
      </c>
      <c r="AI22" s="31" t="e">
        <f t="shared" si="16"/>
        <v>#REF!</v>
      </c>
      <c r="AJ22" s="36" t="e">
        <f>SUMIF(Master!#REF!,$B22,Master!#REF!)</f>
        <v>#REF!</v>
      </c>
      <c r="AK22" s="35" t="e">
        <f>SUMIF(Master!#REF!,$B22,Master!#REF!)</f>
        <v>#REF!</v>
      </c>
      <c r="AL22" s="39" t="e">
        <f t="shared" si="17"/>
        <v>#REF!</v>
      </c>
      <c r="AM22" s="31" t="e">
        <f t="shared" si="18"/>
        <v>#REF!</v>
      </c>
      <c r="AN22" s="36" t="e">
        <f>SUMIF(Master!#REF!,$B22,Master!#REF!)</f>
        <v>#REF!</v>
      </c>
      <c r="AO22" s="35" t="e">
        <f>SUMIF(Master!#REF!,$B22,Master!#REF!)</f>
        <v>#REF!</v>
      </c>
      <c r="AP22" s="39" t="e">
        <f t="shared" si="19"/>
        <v>#REF!</v>
      </c>
      <c r="AQ22" s="31" t="e">
        <f t="shared" si="20"/>
        <v>#REF!</v>
      </c>
      <c r="AR22" s="36" t="e">
        <f>SUMIF(Master!#REF!,$B22,Master!#REF!)</f>
        <v>#REF!</v>
      </c>
      <c r="AS22" s="35" t="e">
        <f>SUMIF(Master!#REF!,$B22,Master!#REF!)</f>
        <v>#REF!</v>
      </c>
      <c r="AT22" s="39" t="e">
        <f t="shared" si="21"/>
        <v>#REF!</v>
      </c>
      <c r="AU22" s="31" t="e">
        <f t="shared" si="22"/>
        <v>#REF!</v>
      </c>
      <c r="AW22" s="36" t="e">
        <f>SUMIF(Master!#REF!,$B22,Master!#REF!)</f>
        <v>#REF!</v>
      </c>
      <c r="AX22" s="35" t="e">
        <f>SUMIF(Master!#REF!,$B22,Master!#REF!)</f>
        <v>#REF!</v>
      </c>
      <c r="AY22" s="39" t="e">
        <f t="shared" si="23"/>
        <v>#REF!</v>
      </c>
      <c r="AZ22" s="31" t="e">
        <f t="shared" si="24"/>
        <v>#REF!</v>
      </c>
      <c r="BA22" s="36" t="e">
        <f>SUMIF(Master!#REF!,$B22,Master!#REF!)</f>
        <v>#REF!</v>
      </c>
      <c r="BB22" s="35" t="e">
        <f>SUMIF(Master!#REF!,$B22,Master!#REF!)</f>
        <v>#REF!</v>
      </c>
      <c r="BC22" s="39" t="e">
        <f t="shared" si="25"/>
        <v>#REF!</v>
      </c>
      <c r="BD22" s="31" t="e">
        <f t="shared" si="26"/>
        <v>#REF!</v>
      </c>
      <c r="BE22" s="36" t="e">
        <f>SUMIF(Master!#REF!,$B22,Master!#REF!)</f>
        <v>#REF!</v>
      </c>
      <c r="BF22" s="35" t="e">
        <f>SUMIF(Master!#REF!,$B22,Master!#REF!)</f>
        <v>#REF!</v>
      </c>
      <c r="BG22" s="39" t="e">
        <f t="shared" si="27"/>
        <v>#REF!</v>
      </c>
      <c r="BH22" s="31" t="e">
        <f t="shared" si="28"/>
        <v>#REF!</v>
      </c>
      <c r="BI22" s="36" t="e">
        <f>SUMIF(Master!#REF!,$B22,Master!#REF!)</f>
        <v>#REF!</v>
      </c>
      <c r="BJ22" s="35" t="e">
        <f>SUMIF(Master!#REF!,$B22,Master!#REF!)</f>
        <v>#REF!</v>
      </c>
      <c r="BK22" s="39" t="e">
        <f t="shared" si="29"/>
        <v>#REF!</v>
      </c>
      <c r="BL22" s="31" t="e">
        <f t="shared" si="30"/>
        <v>#REF!</v>
      </c>
      <c r="BM22" s="36" t="e">
        <f>SUMIF(Master!#REF!,$B22,Master!#REF!)</f>
        <v>#REF!</v>
      </c>
      <c r="BN22" s="35" t="e">
        <f>SUMIF(Master!#REF!,$B22,Master!#REF!)</f>
        <v>#REF!</v>
      </c>
      <c r="BO22" s="39" t="e">
        <f t="shared" si="31"/>
        <v>#REF!</v>
      </c>
      <c r="BP22" s="31" t="e">
        <f t="shared" si="32"/>
        <v>#REF!</v>
      </c>
      <c r="BR22" s="36" t="e">
        <f>SUMIF(Master!#REF!,$B22,Master!#REF!)</f>
        <v>#REF!</v>
      </c>
      <c r="BS22" s="35" t="e">
        <f>SUMIF(Master!#REF!,$B22,Master!#REF!)</f>
        <v>#REF!</v>
      </c>
      <c r="BT22" s="39" t="e">
        <f t="shared" si="33"/>
        <v>#REF!</v>
      </c>
      <c r="BU22" s="31" t="e">
        <f t="shared" si="34"/>
        <v>#REF!</v>
      </c>
      <c r="BW22" s="36" t="str">
        <f>IF(ISERROR(LARGE(Master!#REF!,1)),"",LARGE(Master!#REF!,1))</f>
        <v/>
      </c>
      <c r="BX22" s="35" t="str">
        <f>IF(ISERROR(LARGE(Master!#REF!,1)),"",LARGE(Master!#REF!,1))</f>
        <v/>
      </c>
      <c r="BY22" s="44" t="str">
        <f t="shared" si="35"/>
        <v/>
      </c>
    </row>
    <row r="23" spans="2:77" x14ac:dyDescent="0.25">
      <c r="B23" s="29">
        <f t="shared" si="0"/>
        <v>49</v>
      </c>
      <c r="C23" s="36" t="e">
        <f>SUMIF(Master!#REF!,$B23,Master!#REF!)</f>
        <v>#REF!</v>
      </c>
      <c r="D23" s="35" t="e">
        <f>SUMIF(Master!#REF!,$B23,Master!#REF!)</f>
        <v>#REF!</v>
      </c>
      <c r="E23" s="39" t="e">
        <f t="shared" si="1"/>
        <v>#REF!</v>
      </c>
      <c r="F23" s="31" t="e">
        <f t="shared" si="2"/>
        <v>#REF!</v>
      </c>
      <c r="G23" s="36" t="e">
        <f>SUMIF(Master!#REF!,$B23,Master!#REF!)</f>
        <v>#REF!</v>
      </c>
      <c r="H23" s="35" t="e">
        <f>SUMIF(Master!#REF!,$B23,Master!#REF!)</f>
        <v>#REF!</v>
      </c>
      <c r="I23" s="39" t="e">
        <f t="shared" si="3"/>
        <v>#REF!</v>
      </c>
      <c r="J23" s="31" t="e">
        <f t="shared" si="4"/>
        <v>#REF!</v>
      </c>
      <c r="K23" s="36" t="e">
        <f>SUMIF(Master!#REF!,$B23,Master!#REF!)</f>
        <v>#REF!</v>
      </c>
      <c r="L23" s="35" t="e">
        <f>SUMIF(Master!#REF!,$B23,Master!#REF!)</f>
        <v>#REF!</v>
      </c>
      <c r="M23" s="39" t="e">
        <f t="shared" si="5"/>
        <v>#REF!</v>
      </c>
      <c r="N23" s="31" t="e">
        <f t="shared" si="6"/>
        <v>#REF!</v>
      </c>
      <c r="O23" s="36"/>
      <c r="P23" s="35" t="e">
        <f>SUMIF(Master!#REF!,$B23,Master!#REF!)</f>
        <v>#REF!</v>
      </c>
      <c r="Q23" s="39" t="str">
        <f t="shared" si="7"/>
        <v/>
      </c>
      <c r="R23" s="31" t="str">
        <f t="shared" si="8"/>
        <v/>
      </c>
      <c r="S23" s="36"/>
      <c r="T23" s="35" t="e">
        <f>SUMIF(Master!#REF!,$B23,Master!#REF!)</f>
        <v>#REF!</v>
      </c>
      <c r="U23" s="39" t="str">
        <f t="shared" si="9"/>
        <v/>
      </c>
      <c r="V23" s="31" t="str">
        <f t="shared" si="10"/>
        <v/>
      </c>
      <c r="X23" s="36" t="e">
        <f>SUMIF(Master!#REF!,$B23,Master!#REF!)</f>
        <v>#REF!</v>
      </c>
      <c r="Y23" s="35" t="e">
        <f>SUMIF(Master!#REF!,$B23,Master!#REF!)</f>
        <v>#REF!</v>
      </c>
      <c r="Z23" s="39" t="e">
        <f t="shared" si="11"/>
        <v>#REF!</v>
      </c>
      <c r="AA23" s="31" t="e">
        <f t="shared" si="12"/>
        <v>#REF!</v>
      </c>
      <c r="AB23" s="36" t="e">
        <f>SUMIF(Master!#REF!,$B23,Master!#REF!)</f>
        <v>#REF!</v>
      </c>
      <c r="AC23" s="35" t="e">
        <f>SUMIF(Master!#REF!,$B23,Master!#REF!)</f>
        <v>#REF!</v>
      </c>
      <c r="AD23" s="39" t="e">
        <f t="shared" si="13"/>
        <v>#REF!</v>
      </c>
      <c r="AE23" s="31" t="e">
        <f t="shared" si="14"/>
        <v>#REF!</v>
      </c>
      <c r="AF23" s="36" t="e">
        <f>SUMIF(Master!#REF!,$B23,Master!#REF!)</f>
        <v>#REF!</v>
      </c>
      <c r="AG23" s="35" t="e">
        <f>SUMIF(Master!#REF!,$B23,Master!#REF!)</f>
        <v>#REF!</v>
      </c>
      <c r="AH23" s="39" t="e">
        <f t="shared" si="15"/>
        <v>#REF!</v>
      </c>
      <c r="AI23" s="31" t="e">
        <f t="shared" si="16"/>
        <v>#REF!</v>
      </c>
      <c r="AJ23" s="36" t="e">
        <f>SUMIF(Master!#REF!,$B23,Master!#REF!)</f>
        <v>#REF!</v>
      </c>
      <c r="AK23" s="35" t="e">
        <f>SUMIF(Master!#REF!,$B23,Master!#REF!)</f>
        <v>#REF!</v>
      </c>
      <c r="AL23" s="39" t="e">
        <f t="shared" si="17"/>
        <v>#REF!</v>
      </c>
      <c r="AM23" s="31" t="e">
        <f t="shared" si="18"/>
        <v>#REF!</v>
      </c>
      <c r="AN23" s="36" t="e">
        <f>SUMIF(Master!#REF!,$B23,Master!#REF!)</f>
        <v>#REF!</v>
      </c>
      <c r="AO23" s="35" t="e">
        <f>SUMIF(Master!#REF!,$B23,Master!#REF!)</f>
        <v>#REF!</v>
      </c>
      <c r="AP23" s="39" t="e">
        <f t="shared" si="19"/>
        <v>#REF!</v>
      </c>
      <c r="AQ23" s="31" t="e">
        <f t="shared" si="20"/>
        <v>#REF!</v>
      </c>
      <c r="AR23" s="36" t="e">
        <f>SUMIF(Master!#REF!,$B23,Master!#REF!)</f>
        <v>#REF!</v>
      </c>
      <c r="AS23" s="35" t="e">
        <f>SUMIF(Master!#REF!,$B23,Master!#REF!)</f>
        <v>#REF!</v>
      </c>
      <c r="AT23" s="39" t="e">
        <f t="shared" si="21"/>
        <v>#REF!</v>
      </c>
      <c r="AU23" s="31" t="e">
        <f t="shared" si="22"/>
        <v>#REF!</v>
      </c>
      <c r="AW23" s="36" t="e">
        <f>SUMIF(Master!#REF!,$B23,Master!#REF!)</f>
        <v>#REF!</v>
      </c>
      <c r="AX23" s="35" t="e">
        <f>SUMIF(Master!#REF!,$B23,Master!#REF!)</f>
        <v>#REF!</v>
      </c>
      <c r="AY23" s="39" t="e">
        <f t="shared" si="23"/>
        <v>#REF!</v>
      </c>
      <c r="AZ23" s="31" t="e">
        <f t="shared" si="24"/>
        <v>#REF!</v>
      </c>
      <c r="BA23" s="36" t="e">
        <f>SUMIF(Master!#REF!,$B23,Master!#REF!)</f>
        <v>#REF!</v>
      </c>
      <c r="BB23" s="35" t="e">
        <f>SUMIF(Master!#REF!,$B23,Master!#REF!)</f>
        <v>#REF!</v>
      </c>
      <c r="BC23" s="39" t="e">
        <f t="shared" si="25"/>
        <v>#REF!</v>
      </c>
      <c r="BD23" s="31" t="e">
        <f t="shared" si="26"/>
        <v>#REF!</v>
      </c>
      <c r="BE23" s="36" t="e">
        <f>SUMIF(Master!#REF!,$B23,Master!#REF!)</f>
        <v>#REF!</v>
      </c>
      <c r="BF23" s="35" t="e">
        <f>SUMIF(Master!#REF!,$B23,Master!#REF!)</f>
        <v>#REF!</v>
      </c>
      <c r="BG23" s="39" t="e">
        <f t="shared" si="27"/>
        <v>#REF!</v>
      </c>
      <c r="BH23" s="31" t="e">
        <f t="shared" si="28"/>
        <v>#REF!</v>
      </c>
      <c r="BI23" s="36" t="e">
        <f>SUMIF(Master!#REF!,$B23,Master!#REF!)</f>
        <v>#REF!</v>
      </c>
      <c r="BJ23" s="35" t="e">
        <f>SUMIF(Master!#REF!,$B23,Master!#REF!)</f>
        <v>#REF!</v>
      </c>
      <c r="BK23" s="39" t="e">
        <f t="shared" si="29"/>
        <v>#REF!</v>
      </c>
      <c r="BL23" s="31" t="e">
        <f t="shared" si="30"/>
        <v>#REF!</v>
      </c>
      <c r="BM23" s="36" t="e">
        <f>SUMIF(Master!#REF!,$B23,Master!#REF!)</f>
        <v>#REF!</v>
      </c>
      <c r="BN23" s="35" t="e">
        <f>SUMIF(Master!#REF!,$B23,Master!#REF!)</f>
        <v>#REF!</v>
      </c>
      <c r="BO23" s="39" t="e">
        <f t="shared" si="31"/>
        <v>#REF!</v>
      </c>
      <c r="BP23" s="31" t="e">
        <f t="shared" si="32"/>
        <v>#REF!</v>
      </c>
      <c r="BR23" s="36" t="e">
        <f>SUMIF(Master!#REF!,$B23,Master!#REF!)</f>
        <v>#REF!</v>
      </c>
      <c r="BS23" s="35" t="e">
        <f>SUMIF(Master!#REF!,$B23,Master!#REF!)</f>
        <v>#REF!</v>
      </c>
      <c r="BT23" s="39" t="e">
        <f t="shared" si="33"/>
        <v>#REF!</v>
      </c>
      <c r="BU23" s="31" t="e">
        <f t="shared" si="34"/>
        <v>#REF!</v>
      </c>
      <c r="BW23" s="36" t="str">
        <f>IF(ISERROR(LARGE(Master!#REF!,1)),"",LARGE(Master!#REF!,1))</f>
        <v/>
      </c>
      <c r="BX23" s="35" t="str">
        <f>IF(ISERROR(LARGE(Master!#REF!,1)),"",LARGE(Master!#REF!,1))</f>
        <v/>
      </c>
      <c r="BY23" s="44" t="str">
        <f t="shared" si="35"/>
        <v/>
      </c>
    </row>
    <row r="24" spans="2:77" x14ac:dyDescent="0.25">
      <c r="B24" s="29">
        <f t="shared" si="0"/>
        <v>50</v>
      </c>
      <c r="C24" s="36" t="e">
        <f>SUMIF(Master!#REF!,$B24,Master!#REF!)</f>
        <v>#REF!</v>
      </c>
      <c r="D24" s="35" t="e">
        <f>SUMIF(Master!#REF!,$B24,Master!#REF!)</f>
        <v>#REF!</v>
      </c>
      <c r="E24" s="39" t="e">
        <f t="shared" si="1"/>
        <v>#REF!</v>
      </c>
      <c r="F24" s="31" t="e">
        <f t="shared" si="2"/>
        <v>#REF!</v>
      </c>
      <c r="G24" s="36" t="e">
        <f>SUMIF(Master!#REF!,$B24,Master!#REF!)</f>
        <v>#REF!</v>
      </c>
      <c r="H24" s="35" t="e">
        <f>SUMIF(Master!#REF!,$B24,Master!#REF!)</f>
        <v>#REF!</v>
      </c>
      <c r="I24" s="39" t="e">
        <f t="shared" si="3"/>
        <v>#REF!</v>
      </c>
      <c r="J24" s="31" t="e">
        <f t="shared" si="4"/>
        <v>#REF!</v>
      </c>
      <c r="K24" s="36" t="e">
        <f>SUMIF(Master!#REF!,$B24,Master!#REF!)</f>
        <v>#REF!</v>
      </c>
      <c r="L24" s="35" t="e">
        <f>SUMIF(Master!#REF!,$B24,Master!#REF!)</f>
        <v>#REF!</v>
      </c>
      <c r="M24" s="39" t="e">
        <f t="shared" si="5"/>
        <v>#REF!</v>
      </c>
      <c r="N24" s="31" t="e">
        <f t="shared" si="6"/>
        <v>#REF!</v>
      </c>
      <c r="O24" s="36"/>
      <c r="P24" s="35" t="e">
        <f>SUMIF(Master!#REF!,$B24,Master!#REF!)</f>
        <v>#REF!</v>
      </c>
      <c r="Q24" s="39" t="str">
        <f t="shared" si="7"/>
        <v/>
      </c>
      <c r="R24" s="31" t="str">
        <f t="shared" si="8"/>
        <v/>
      </c>
      <c r="S24" s="36"/>
      <c r="T24" s="35" t="e">
        <f>SUMIF(Master!#REF!,$B24,Master!#REF!)</f>
        <v>#REF!</v>
      </c>
      <c r="U24" s="39" t="str">
        <f t="shared" si="9"/>
        <v/>
      </c>
      <c r="V24" s="31" t="str">
        <f t="shared" si="10"/>
        <v/>
      </c>
      <c r="X24" s="36" t="e">
        <f>SUMIF(Master!#REF!,$B24,Master!#REF!)</f>
        <v>#REF!</v>
      </c>
      <c r="Y24" s="35" t="e">
        <f>SUMIF(Master!#REF!,$B24,Master!#REF!)</f>
        <v>#REF!</v>
      </c>
      <c r="Z24" s="39" t="e">
        <f t="shared" si="11"/>
        <v>#REF!</v>
      </c>
      <c r="AA24" s="31" t="e">
        <f t="shared" si="12"/>
        <v>#REF!</v>
      </c>
      <c r="AB24" s="36" t="e">
        <f>SUMIF(Master!#REF!,$B24,Master!#REF!)</f>
        <v>#REF!</v>
      </c>
      <c r="AC24" s="35" t="e">
        <f>SUMIF(Master!#REF!,$B24,Master!#REF!)</f>
        <v>#REF!</v>
      </c>
      <c r="AD24" s="39" t="e">
        <f t="shared" si="13"/>
        <v>#REF!</v>
      </c>
      <c r="AE24" s="31" t="e">
        <f t="shared" si="14"/>
        <v>#REF!</v>
      </c>
      <c r="AF24" s="36" t="e">
        <f>SUMIF(Master!#REF!,$B24,Master!#REF!)</f>
        <v>#REF!</v>
      </c>
      <c r="AG24" s="35" t="e">
        <f>SUMIF(Master!#REF!,$B24,Master!#REF!)</f>
        <v>#REF!</v>
      </c>
      <c r="AH24" s="39" t="e">
        <f t="shared" si="15"/>
        <v>#REF!</v>
      </c>
      <c r="AI24" s="31" t="e">
        <f t="shared" si="16"/>
        <v>#REF!</v>
      </c>
      <c r="AJ24" s="36" t="e">
        <f>SUMIF(Master!#REF!,$B24,Master!#REF!)</f>
        <v>#REF!</v>
      </c>
      <c r="AK24" s="35" t="e">
        <f>SUMIF(Master!#REF!,$B24,Master!#REF!)</f>
        <v>#REF!</v>
      </c>
      <c r="AL24" s="39" t="e">
        <f t="shared" si="17"/>
        <v>#REF!</v>
      </c>
      <c r="AM24" s="31" t="e">
        <f t="shared" si="18"/>
        <v>#REF!</v>
      </c>
      <c r="AN24" s="36" t="e">
        <f>SUMIF(Master!#REF!,$B24,Master!#REF!)</f>
        <v>#REF!</v>
      </c>
      <c r="AO24" s="35" t="e">
        <f>SUMIF(Master!#REF!,$B24,Master!#REF!)</f>
        <v>#REF!</v>
      </c>
      <c r="AP24" s="39" t="e">
        <f t="shared" si="19"/>
        <v>#REF!</v>
      </c>
      <c r="AQ24" s="31" t="e">
        <f t="shared" si="20"/>
        <v>#REF!</v>
      </c>
      <c r="AR24" s="36" t="e">
        <f>SUMIF(Master!#REF!,$B24,Master!#REF!)</f>
        <v>#REF!</v>
      </c>
      <c r="AS24" s="35" t="e">
        <f>SUMIF(Master!#REF!,$B24,Master!#REF!)</f>
        <v>#REF!</v>
      </c>
      <c r="AT24" s="39" t="e">
        <f t="shared" si="21"/>
        <v>#REF!</v>
      </c>
      <c r="AU24" s="31" t="e">
        <f t="shared" si="22"/>
        <v>#REF!</v>
      </c>
      <c r="AW24" s="36" t="e">
        <f>SUMIF(Master!#REF!,$B24,Master!#REF!)</f>
        <v>#REF!</v>
      </c>
      <c r="AX24" s="35" t="e">
        <f>SUMIF(Master!#REF!,$B24,Master!#REF!)</f>
        <v>#REF!</v>
      </c>
      <c r="AY24" s="39" t="e">
        <f t="shared" si="23"/>
        <v>#REF!</v>
      </c>
      <c r="AZ24" s="31" t="e">
        <f t="shared" si="24"/>
        <v>#REF!</v>
      </c>
      <c r="BA24" s="36" t="e">
        <f>SUMIF(Master!#REF!,$B24,Master!#REF!)</f>
        <v>#REF!</v>
      </c>
      <c r="BB24" s="35" t="e">
        <f>SUMIF(Master!#REF!,$B24,Master!#REF!)</f>
        <v>#REF!</v>
      </c>
      <c r="BC24" s="39" t="e">
        <f t="shared" si="25"/>
        <v>#REF!</v>
      </c>
      <c r="BD24" s="31" t="e">
        <f t="shared" si="26"/>
        <v>#REF!</v>
      </c>
      <c r="BE24" s="36" t="e">
        <f>SUMIF(Master!#REF!,$B24,Master!#REF!)</f>
        <v>#REF!</v>
      </c>
      <c r="BF24" s="35" t="e">
        <f>SUMIF(Master!#REF!,$B24,Master!#REF!)</f>
        <v>#REF!</v>
      </c>
      <c r="BG24" s="39" t="e">
        <f t="shared" si="27"/>
        <v>#REF!</v>
      </c>
      <c r="BH24" s="31" t="e">
        <f t="shared" si="28"/>
        <v>#REF!</v>
      </c>
      <c r="BI24" s="36" t="e">
        <f>SUMIF(Master!#REF!,$B24,Master!#REF!)</f>
        <v>#REF!</v>
      </c>
      <c r="BJ24" s="35" t="e">
        <f>SUMIF(Master!#REF!,$B24,Master!#REF!)</f>
        <v>#REF!</v>
      </c>
      <c r="BK24" s="39" t="e">
        <f t="shared" si="29"/>
        <v>#REF!</v>
      </c>
      <c r="BL24" s="31" t="e">
        <f t="shared" si="30"/>
        <v>#REF!</v>
      </c>
      <c r="BM24" s="36" t="e">
        <f>SUMIF(Master!#REF!,$B24,Master!#REF!)</f>
        <v>#REF!</v>
      </c>
      <c r="BN24" s="35" t="e">
        <f>SUMIF(Master!#REF!,$B24,Master!#REF!)</f>
        <v>#REF!</v>
      </c>
      <c r="BO24" s="39" t="e">
        <f t="shared" si="31"/>
        <v>#REF!</v>
      </c>
      <c r="BP24" s="31" t="e">
        <f t="shared" si="32"/>
        <v>#REF!</v>
      </c>
      <c r="BR24" s="36" t="e">
        <f>SUMIF(Master!#REF!,$B24,Master!#REF!)</f>
        <v>#REF!</v>
      </c>
      <c r="BS24" s="35" t="e">
        <f>SUMIF(Master!#REF!,$B24,Master!#REF!)</f>
        <v>#REF!</v>
      </c>
      <c r="BT24" s="39" t="e">
        <f t="shared" si="33"/>
        <v>#REF!</v>
      </c>
      <c r="BU24" s="31" t="e">
        <f t="shared" si="34"/>
        <v>#REF!</v>
      </c>
      <c r="BW24" s="36" t="str">
        <f>IF(ISERROR(LARGE(Master!#REF!,1)),"",LARGE(Master!#REF!,1))</f>
        <v/>
      </c>
      <c r="BX24" s="35" t="str">
        <f>IF(ISERROR(LARGE(Master!#REF!,1)),"",LARGE(Master!#REF!,1))</f>
        <v/>
      </c>
      <c r="BY24" s="44" t="str">
        <f t="shared" si="35"/>
        <v/>
      </c>
    </row>
    <row r="25" spans="2:77" x14ac:dyDescent="0.25">
      <c r="B25" s="29">
        <f t="shared" si="0"/>
        <v>51</v>
      </c>
      <c r="C25" s="36" t="e">
        <f>SUMIF(Master!#REF!,$B25,Master!#REF!)</f>
        <v>#REF!</v>
      </c>
      <c r="D25" s="35" t="e">
        <f>SUMIF(Master!#REF!,$B25,Master!#REF!)</f>
        <v>#REF!</v>
      </c>
      <c r="E25" s="39" t="e">
        <f t="shared" si="1"/>
        <v>#REF!</v>
      </c>
      <c r="F25" s="31" t="e">
        <f t="shared" si="2"/>
        <v>#REF!</v>
      </c>
      <c r="G25" s="36" t="e">
        <f>SUMIF(Master!#REF!,$B25,Master!#REF!)</f>
        <v>#REF!</v>
      </c>
      <c r="H25" s="35" t="e">
        <f>SUMIF(Master!#REF!,$B25,Master!#REF!)</f>
        <v>#REF!</v>
      </c>
      <c r="I25" s="39" t="e">
        <f t="shared" si="3"/>
        <v>#REF!</v>
      </c>
      <c r="J25" s="31" t="e">
        <f t="shared" si="4"/>
        <v>#REF!</v>
      </c>
      <c r="K25" s="36" t="e">
        <f>SUMIF(Master!#REF!,$B25,Master!#REF!)</f>
        <v>#REF!</v>
      </c>
      <c r="L25" s="35" t="e">
        <f>SUMIF(Master!#REF!,$B25,Master!#REF!)</f>
        <v>#REF!</v>
      </c>
      <c r="M25" s="39" t="e">
        <f t="shared" si="5"/>
        <v>#REF!</v>
      </c>
      <c r="N25" s="31" t="e">
        <f t="shared" si="6"/>
        <v>#REF!</v>
      </c>
      <c r="O25" s="36"/>
      <c r="P25" s="35" t="e">
        <f>SUMIF(Master!#REF!,$B25,Master!#REF!)</f>
        <v>#REF!</v>
      </c>
      <c r="Q25" s="39" t="str">
        <f t="shared" si="7"/>
        <v/>
      </c>
      <c r="R25" s="31" t="str">
        <f t="shared" si="8"/>
        <v/>
      </c>
      <c r="S25" s="36"/>
      <c r="T25" s="35" t="e">
        <f>SUMIF(Master!#REF!,$B25,Master!#REF!)</f>
        <v>#REF!</v>
      </c>
      <c r="U25" s="39" t="str">
        <f t="shared" si="9"/>
        <v/>
      </c>
      <c r="V25" s="31" t="str">
        <f t="shared" si="10"/>
        <v/>
      </c>
      <c r="X25" s="36" t="e">
        <f>SUMIF(Master!#REF!,$B25,Master!#REF!)</f>
        <v>#REF!</v>
      </c>
      <c r="Y25" s="35" t="e">
        <f>SUMIF(Master!#REF!,$B25,Master!#REF!)</f>
        <v>#REF!</v>
      </c>
      <c r="Z25" s="39" t="e">
        <f t="shared" si="11"/>
        <v>#REF!</v>
      </c>
      <c r="AA25" s="31" t="e">
        <f t="shared" si="12"/>
        <v>#REF!</v>
      </c>
      <c r="AB25" s="36" t="e">
        <f>SUMIF(Master!#REF!,$B25,Master!#REF!)</f>
        <v>#REF!</v>
      </c>
      <c r="AC25" s="35" t="e">
        <f>SUMIF(Master!#REF!,$B25,Master!#REF!)</f>
        <v>#REF!</v>
      </c>
      <c r="AD25" s="39" t="e">
        <f t="shared" si="13"/>
        <v>#REF!</v>
      </c>
      <c r="AE25" s="31" t="e">
        <f t="shared" si="14"/>
        <v>#REF!</v>
      </c>
      <c r="AF25" s="36" t="e">
        <f>SUMIF(Master!#REF!,$B25,Master!#REF!)</f>
        <v>#REF!</v>
      </c>
      <c r="AG25" s="35" t="e">
        <f>SUMIF(Master!#REF!,$B25,Master!#REF!)</f>
        <v>#REF!</v>
      </c>
      <c r="AH25" s="39" t="e">
        <f t="shared" si="15"/>
        <v>#REF!</v>
      </c>
      <c r="AI25" s="31" t="e">
        <f t="shared" si="16"/>
        <v>#REF!</v>
      </c>
      <c r="AJ25" s="36" t="e">
        <f>SUMIF(Master!#REF!,$B25,Master!#REF!)</f>
        <v>#REF!</v>
      </c>
      <c r="AK25" s="35" t="e">
        <f>SUMIF(Master!#REF!,$B25,Master!#REF!)</f>
        <v>#REF!</v>
      </c>
      <c r="AL25" s="39" t="e">
        <f t="shared" si="17"/>
        <v>#REF!</v>
      </c>
      <c r="AM25" s="31" t="e">
        <f t="shared" si="18"/>
        <v>#REF!</v>
      </c>
      <c r="AN25" s="36" t="e">
        <f>SUMIF(Master!#REF!,$B25,Master!#REF!)</f>
        <v>#REF!</v>
      </c>
      <c r="AO25" s="35" t="e">
        <f>SUMIF(Master!#REF!,$B25,Master!#REF!)</f>
        <v>#REF!</v>
      </c>
      <c r="AP25" s="39" t="e">
        <f t="shared" si="19"/>
        <v>#REF!</v>
      </c>
      <c r="AQ25" s="31" t="e">
        <f t="shared" si="20"/>
        <v>#REF!</v>
      </c>
      <c r="AR25" s="36" t="e">
        <f>SUMIF(Master!#REF!,$B25,Master!#REF!)</f>
        <v>#REF!</v>
      </c>
      <c r="AS25" s="35" t="e">
        <f>SUMIF(Master!#REF!,$B25,Master!#REF!)</f>
        <v>#REF!</v>
      </c>
      <c r="AT25" s="39" t="e">
        <f t="shared" si="21"/>
        <v>#REF!</v>
      </c>
      <c r="AU25" s="31" t="e">
        <f t="shared" si="22"/>
        <v>#REF!</v>
      </c>
      <c r="AW25" s="36" t="e">
        <f>SUMIF(Master!#REF!,$B25,Master!#REF!)</f>
        <v>#REF!</v>
      </c>
      <c r="AX25" s="35" t="e">
        <f>SUMIF(Master!#REF!,$B25,Master!#REF!)</f>
        <v>#REF!</v>
      </c>
      <c r="AY25" s="39" t="e">
        <f t="shared" si="23"/>
        <v>#REF!</v>
      </c>
      <c r="AZ25" s="31" t="e">
        <f t="shared" si="24"/>
        <v>#REF!</v>
      </c>
      <c r="BA25" s="36" t="e">
        <f>SUMIF(Master!#REF!,$B25,Master!#REF!)</f>
        <v>#REF!</v>
      </c>
      <c r="BB25" s="35" t="e">
        <f>SUMIF(Master!#REF!,$B25,Master!#REF!)</f>
        <v>#REF!</v>
      </c>
      <c r="BC25" s="39" t="e">
        <f t="shared" si="25"/>
        <v>#REF!</v>
      </c>
      <c r="BD25" s="31" t="e">
        <f t="shared" si="26"/>
        <v>#REF!</v>
      </c>
      <c r="BE25" s="36" t="e">
        <f>SUMIF(Master!#REF!,$B25,Master!#REF!)</f>
        <v>#REF!</v>
      </c>
      <c r="BF25" s="35" t="e">
        <f>SUMIF(Master!#REF!,$B25,Master!#REF!)</f>
        <v>#REF!</v>
      </c>
      <c r="BG25" s="39" t="e">
        <f t="shared" si="27"/>
        <v>#REF!</v>
      </c>
      <c r="BH25" s="31" t="e">
        <f t="shared" si="28"/>
        <v>#REF!</v>
      </c>
      <c r="BI25" s="36" t="e">
        <f>SUMIF(Master!#REF!,$B25,Master!#REF!)</f>
        <v>#REF!</v>
      </c>
      <c r="BJ25" s="35" t="e">
        <f>SUMIF(Master!#REF!,$B25,Master!#REF!)</f>
        <v>#REF!</v>
      </c>
      <c r="BK25" s="39" t="e">
        <f t="shared" si="29"/>
        <v>#REF!</v>
      </c>
      <c r="BL25" s="31" t="e">
        <f t="shared" si="30"/>
        <v>#REF!</v>
      </c>
      <c r="BM25" s="36" t="e">
        <f>SUMIF(Master!#REF!,$B25,Master!#REF!)</f>
        <v>#REF!</v>
      </c>
      <c r="BN25" s="35" t="e">
        <f>SUMIF(Master!#REF!,$B25,Master!#REF!)</f>
        <v>#REF!</v>
      </c>
      <c r="BO25" s="39" t="e">
        <f t="shared" si="31"/>
        <v>#REF!</v>
      </c>
      <c r="BP25" s="31" t="e">
        <f t="shared" si="32"/>
        <v>#REF!</v>
      </c>
      <c r="BR25" s="36" t="e">
        <f>SUMIF(Master!#REF!,$B25,Master!#REF!)</f>
        <v>#REF!</v>
      </c>
      <c r="BS25" s="35" t="e">
        <f>SUMIF(Master!#REF!,$B25,Master!#REF!)</f>
        <v>#REF!</v>
      </c>
      <c r="BT25" s="39" t="e">
        <f t="shared" si="33"/>
        <v>#REF!</v>
      </c>
      <c r="BU25" s="31" t="e">
        <f t="shared" si="34"/>
        <v>#REF!</v>
      </c>
      <c r="BW25" s="36" t="str">
        <f>IF(ISERROR(LARGE(Master!#REF!,1)),"",LARGE(Master!#REF!,1))</f>
        <v/>
      </c>
      <c r="BX25" s="35" t="str">
        <f>IF(ISERROR(LARGE(Master!#REF!,1)),"",LARGE(Master!#REF!,1))</f>
        <v/>
      </c>
      <c r="BY25" s="44" t="str">
        <f t="shared" si="35"/>
        <v/>
      </c>
    </row>
    <row r="26" spans="2:77" x14ac:dyDescent="0.25">
      <c r="B26" s="29">
        <f t="shared" si="0"/>
        <v>52</v>
      </c>
      <c r="C26" s="36" t="e">
        <f>SUMIF(Master!#REF!,$B26,Master!#REF!)</f>
        <v>#REF!</v>
      </c>
      <c r="D26" s="35" t="e">
        <f>SUMIF(Master!#REF!,$B26,Master!#REF!)</f>
        <v>#REF!</v>
      </c>
      <c r="E26" s="39" t="e">
        <f t="shared" si="1"/>
        <v>#REF!</v>
      </c>
      <c r="F26" s="31" t="e">
        <f t="shared" si="2"/>
        <v>#REF!</v>
      </c>
      <c r="G26" s="36" t="e">
        <f>SUMIF(Master!#REF!,$B26,Master!#REF!)</f>
        <v>#REF!</v>
      </c>
      <c r="H26" s="35" t="e">
        <f>SUMIF(Master!#REF!,$B26,Master!#REF!)</f>
        <v>#REF!</v>
      </c>
      <c r="I26" s="39" t="e">
        <f t="shared" si="3"/>
        <v>#REF!</v>
      </c>
      <c r="J26" s="31" t="e">
        <f t="shared" si="4"/>
        <v>#REF!</v>
      </c>
      <c r="K26" s="36" t="e">
        <f>SUMIF(Master!#REF!,$B26,Master!#REF!)</f>
        <v>#REF!</v>
      </c>
      <c r="L26" s="35" t="e">
        <f>SUMIF(Master!#REF!,$B26,Master!#REF!)</f>
        <v>#REF!</v>
      </c>
      <c r="M26" s="39" t="e">
        <f t="shared" si="5"/>
        <v>#REF!</v>
      </c>
      <c r="N26" s="31" t="e">
        <f t="shared" si="6"/>
        <v>#REF!</v>
      </c>
      <c r="O26" s="36"/>
      <c r="P26" s="35" t="e">
        <f>SUMIF(Master!#REF!,$B26,Master!#REF!)</f>
        <v>#REF!</v>
      </c>
      <c r="Q26" s="39" t="str">
        <f t="shared" si="7"/>
        <v/>
      </c>
      <c r="R26" s="31" t="str">
        <f t="shared" si="8"/>
        <v/>
      </c>
      <c r="S26" s="36"/>
      <c r="T26" s="35" t="e">
        <f>SUMIF(Master!#REF!,$B26,Master!#REF!)</f>
        <v>#REF!</v>
      </c>
      <c r="U26" s="39" t="str">
        <f t="shared" si="9"/>
        <v/>
      </c>
      <c r="V26" s="31" t="str">
        <f t="shared" si="10"/>
        <v/>
      </c>
      <c r="X26" s="36" t="e">
        <f>SUMIF(Master!#REF!,$B26,Master!#REF!)</f>
        <v>#REF!</v>
      </c>
      <c r="Y26" s="35" t="e">
        <f>SUMIF(Master!#REF!,$B26,Master!#REF!)</f>
        <v>#REF!</v>
      </c>
      <c r="Z26" s="39" t="e">
        <f t="shared" si="11"/>
        <v>#REF!</v>
      </c>
      <c r="AA26" s="31" t="e">
        <f t="shared" si="12"/>
        <v>#REF!</v>
      </c>
      <c r="AB26" s="36" t="e">
        <f>SUMIF(Master!#REF!,$B26,Master!#REF!)</f>
        <v>#REF!</v>
      </c>
      <c r="AC26" s="35" t="e">
        <f>SUMIF(Master!#REF!,$B26,Master!#REF!)</f>
        <v>#REF!</v>
      </c>
      <c r="AD26" s="39" t="e">
        <f t="shared" si="13"/>
        <v>#REF!</v>
      </c>
      <c r="AE26" s="31" t="e">
        <f t="shared" si="14"/>
        <v>#REF!</v>
      </c>
      <c r="AF26" s="36" t="e">
        <f>SUMIF(Master!#REF!,$B26,Master!#REF!)</f>
        <v>#REF!</v>
      </c>
      <c r="AG26" s="35" t="e">
        <f>SUMIF(Master!#REF!,$B26,Master!#REF!)</f>
        <v>#REF!</v>
      </c>
      <c r="AH26" s="39" t="e">
        <f t="shared" si="15"/>
        <v>#REF!</v>
      </c>
      <c r="AI26" s="31" t="e">
        <f t="shared" si="16"/>
        <v>#REF!</v>
      </c>
      <c r="AJ26" s="36" t="e">
        <f>SUMIF(Master!#REF!,$B26,Master!#REF!)</f>
        <v>#REF!</v>
      </c>
      <c r="AK26" s="35" t="e">
        <f>SUMIF(Master!#REF!,$B26,Master!#REF!)</f>
        <v>#REF!</v>
      </c>
      <c r="AL26" s="39" t="e">
        <f t="shared" si="17"/>
        <v>#REF!</v>
      </c>
      <c r="AM26" s="31" t="e">
        <f t="shared" si="18"/>
        <v>#REF!</v>
      </c>
      <c r="AN26" s="36" t="e">
        <f>SUMIF(Master!#REF!,$B26,Master!#REF!)</f>
        <v>#REF!</v>
      </c>
      <c r="AO26" s="35" t="e">
        <f>SUMIF(Master!#REF!,$B26,Master!#REF!)</f>
        <v>#REF!</v>
      </c>
      <c r="AP26" s="39" t="e">
        <f t="shared" si="19"/>
        <v>#REF!</v>
      </c>
      <c r="AQ26" s="31" t="e">
        <f t="shared" si="20"/>
        <v>#REF!</v>
      </c>
      <c r="AR26" s="36" t="e">
        <f>SUMIF(Master!#REF!,$B26,Master!#REF!)</f>
        <v>#REF!</v>
      </c>
      <c r="AS26" s="35" t="e">
        <f>SUMIF(Master!#REF!,$B26,Master!#REF!)</f>
        <v>#REF!</v>
      </c>
      <c r="AT26" s="39" t="e">
        <f t="shared" si="21"/>
        <v>#REF!</v>
      </c>
      <c r="AU26" s="31" t="e">
        <f t="shared" si="22"/>
        <v>#REF!</v>
      </c>
      <c r="AW26" s="36" t="e">
        <f>SUMIF(Master!#REF!,$B26,Master!#REF!)</f>
        <v>#REF!</v>
      </c>
      <c r="AX26" s="35" t="e">
        <f>SUMIF(Master!#REF!,$B26,Master!#REF!)</f>
        <v>#REF!</v>
      </c>
      <c r="AY26" s="39" t="e">
        <f t="shared" si="23"/>
        <v>#REF!</v>
      </c>
      <c r="AZ26" s="31" t="e">
        <f t="shared" si="24"/>
        <v>#REF!</v>
      </c>
      <c r="BA26" s="36" t="e">
        <f>SUMIF(Master!#REF!,$B26,Master!#REF!)</f>
        <v>#REF!</v>
      </c>
      <c r="BB26" s="35" t="e">
        <f>SUMIF(Master!#REF!,$B26,Master!#REF!)</f>
        <v>#REF!</v>
      </c>
      <c r="BC26" s="39" t="e">
        <f t="shared" si="25"/>
        <v>#REF!</v>
      </c>
      <c r="BD26" s="31" t="e">
        <f t="shared" si="26"/>
        <v>#REF!</v>
      </c>
      <c r="BE26" s="36" t="e">
        <f>SUMIF(Master!#REF!,$B26,Master!#REF!)</f>
        <v>#REF!</v>
      </c>
      <c r="BF26" s="35" t="e">
        <f>SUMIF(Master!#REF!,$B26,Master!#REF!)</f>
        <v>#REF!</v>
      </c>
      <c r="BG26" s="39" t="e">
        <f t="shared" si="27"/>
        <v>#REF!</v>
      </c>
      <c r="BH26" s="31" t="e">
        <f t="shared" si="28"/>
        <v>#REF!</v>
      </c>
      <c r="BI26" s="36" t="e">
        <f>SUMIF(Master!#REF!,$B26,Master!#REF!)</f>
        <v>#REF!</v>
      </c>
      <c r="BJ26" s="35" t="e">
        <f>SUMIF(Master!#REF!,$B26,Master!#REF!)</f>
        <v>#REF!</v>
      </c>
      <c r="BK26" s="39" t="e">
        <f t="shared" si="29"/>
        <v>#REF!</v>
      </c>
      <c r="BL26" s="31" t="e">
        <f t="shared" si="30"/>
        <v>#REF!</v>
      </c>
      <c r="BM26" s="36" t="e">
        <f>SUMIF(Master!#REF!,$B26,Master!#REF!)</f>
        <v>#REF!</v>
      </c>
      <c r="BN26" s="35" t="e">
        <f>SUMIF(Master!#REF!,$B26,Master!#REF!)</f>
        <v>#REF!</v>
      </c>
      <c r="BO26" s="39" t="e">
        <f t="shared" si="31"/>
        <v>#REF!</v>
      </c>
      <c r="BP26" s="31" t="e">
        <f t="shared" si="32"/>
        <v>#REF!</v>
      </c>
      <c r="BR26" s="36" t="e">
        <f>SUMIF(Master!#REF!,$B26,Master!#REF!)</f>
        <v>#REF!</v>
      </c>
      <c r="BS26" s="35" t="e">
        <f>SUMIF(Master!#REF!,$B26,Master!#REF!)</f>
        <v>#REF!</v>
      </c>
      <c r="BT26" s="39" t="e">
        <f t="shared" si="33"/>
        <v>#REF!</v>
      </c>
      <c r="BU26" s="31" t="e">
        <f t="shared" si="34"/>
        <v>#REF!</v>
      </c>
      <c r="BW26" s="36" t="str">
        <f>IF(ISERROR(LARGE(Master!#REF!,1)),"",LARGE(Master!#REF!,1))</f>
        <v/>
      </c>
      <c r="BX26" s="35" t="str">
        <f>IF(ISERROR(LARGE(Master!#REF!,1)),"",LARGE(Master!#REF!,1))</f>
        <v/>
      </c>
      <c r="BY26" s="44" t="str">
        <f t="shared" si="35"/>
        <v/>
      </c>
    </row>
    <row r="27" spans="2:77" x14ac:dyDescent="0.25">
      <c r="B27" s="29">
        <f t="shared" si="0"/>
        <v>53</v>
      </c>
      <c r="C27" s="36" t="e">
        <f>SUMIF(Master!#REF!,$B27,Master!#REF!)</f>
        <v>#REF!</v>
      </c>
      <c r="D27" s="35" t="e">
        <f>SUMIF(Master!#REF!,$B27,Master!#REF!)</f>
        <v>#REF!</v>
      </c>
      <c r="E27" s="39" t="e">
        <f t="shared" si="1"/>
        <v>#REF!</v>
      </c>
      <c r="F27" s="31" t="e">
        <f t="shared" si="2"/>
        <v>#REF!</v>
      </c>
      <c r="G27" s="36" t="e">
        <f>SUMIF(Master!#REF!,$B27,Master!#REF!)</f>
        <v>#REF!</v>
      </c>
      <c r="H27" s="35" t="e">
        <f>SUMIF(Master!#REF!,$B27,Master!#REF!)</f>
        <v>#REF!</v>
      </c>
      <c r="I27" s="39" t="e">
        <f t="shared" si="3"/>
        <v>#REF!</v>
      </c>
      <c r="J27" s="31" t="e">
        <f t="shared" si="4"/>
        <v>#REF!</v>
      </c>
      <c r="K27" s="36" t="e">
        <f>SUMIF(Master!#REF!,$B27,Master!#REF!)</f>
        <v>#REF!</v>
      </c>
      <c r="L27" s="35" t="e">
        <f>SUMIF(Master!#REF!,$B27,Master!#REF!)</f>
        <v>#REF!</v>
      </c>
      <c r="M27" s="39" t="e">
        <f t="shared" si="5"/>
        <v>#REF!</v>
      </c>
      <c r="N27" s="31" t="e">
        <f t="shared" si="6"/>
        <v>#REF!</v>
      </c>
      <c r="O27" s="36"/>
      <c r="P27" s="35" t="e">
        <f>SUMIF(Master!#REF!,$B27,Master!#REF!)</f>
        <v>#REF!</v>
      </c>
      <c r="Q27" s="39" t="str">
        <f t="shared" si="7"/>
        <v/>
      </c>
      <c r="R27" s="31" t="str">
        <f t="shared" si="8"/>
        <v/>
      </c>
      <c r="S27" s="36"/>
      <c r="T27" s="35" t="e">
        <f>SUMIF(Master!#REF!,$B27,Master!#REF!)</f>
        <v>#REF!</v>
      </c>
      <c r="U27" s="39" t="str">
        <f t="shared" si="9"/>
        <v/>
      </c>
      <c r="V27" s="31" t="str">
        <f t="shared" si="10"/>
        <v/>
      </c>
      <c r="X27" s="36" t="e">
        <f>SUMIF(Master!#REF!,$B27,Master!#REF!)</f>
        <v>#REF!</v>
      </c>
      <c r="Y27" s="35" t="e">
        <f>SUMIF(Master!#REF!,$B27,Master!#REF!)</f>
        <v>#REF!</v>
      </c>
      <c r="Z27" s="39" t="e">
        <f t="shared" si="11"/>
        <v>#REF!</v>
      </c>
      <c r="AA27" s="31" t="e">
        <f t="shared" si="12"/>
        <v>#REF!</v>
      </c>
      <c r="AB27" s="36" t="e">
        <f>SUMIF(Master!#REF!,$B27,Master!#REF!)</f>
        <v>#REF!</v>
      </c>
      <c r="AC27" s="35" t="e">
        <f>SUMIF(Master!#REF!,$B27,Master!#REF!)</f>
        <v>#REF!</v>
      </c>
      <c r="AD27" s="39" t="e">
        <f t="shared" si="13"/>
        <v>#REF!</v>
      </c>
      <c r="AE27" s="31" t="e">
        <f t="shared" si="14"/>
        <v>#REF!</v>
      </c>
      <c r="AF27" s="36" t="e">
        <f>SUMIF(Master!#REF!,$B27,Master!#REF!)</f>
        <v>#REF!</v>
      </c>
      <c r="AG27" s="35" t="e">
        <f>SUMIF(Master!#REF!,$B27,Master!#REF!)</f>
        <v>#REF!</v>
      </c>
      <c r="AH27" s="39" t="e">
        <f t="shared" si="15"/>
        <v>#REF!</v>
      </c>
      <c r="AI27" s="31" t="e">
        <f t="shared" si="16"/>
        <v>#REF!</v>
      </c>
      <c r="AJ27" s="36" t="e">
        <f>SUMIF(Master!#REF!,$B27,Master!#REF!)</f>
        <v>#REF!</v>
      </c>
      <c r="AK27" s="35" t="e">
        <f>SUMIF(Master!#REF!,$B27,Master!#REF!)</f>
        <v>#REF!</v>
      </c>
      <c r="AL27" s="39" t="e">
        <f t="shared" si="17"/>
        <v>#REF!</v>
      </c>
      <c r="AM27" s="31" t="e">
        <f t="shared" si="18"/>
        <v>#REF!</v>
      </c>
      <c r="AN27" s="36" t="e">
        <f>SUMIF(Master!#REF!,$B27,Master!#REF!)</f>
        <v>#REF!</v>
      </c>
      <c r="AO27" s="35" t="e">
        <f>SUMIF(Master!#REF!,$B27,Master!#REF!)</f>
        <v>#REF!</v>
      </c>
      <c r="AP27" s="39" t="e">
        <f t="shared" si="19"/>
        <v>#REF!</v>
      </c>
      <c r="AQ27" s="31" t="e">
        <f t="shared" si="20"/>
        <v>#REF!</v>
      </c>
      <c r="AR27" s="36" t="e">
        <f>SUMIF(Master!#REF!,$B27,Master!#REF!)</f>
        <v>#REF!</v>
      </c>
      <c r="AS27" s="35" t="e">
        <f>SUMIF(Master!#REF!,$B27,Master!#REF!)</f>
        <v>#REF!</v>
      </c>
      <c r="AT27" s="39" t="e">
        <f t="shared" si="21"/>
        <v>#REF!</v>
      </c>
      <c r="AU27" s="31" t="e">
        <f t="shared" si="22"/>
        <v>#REF!</v>
      </c>
      <c r="AW27" s="36" t="e">
        <f>SUMIF(Master!#REF!,$B27,Master!#REF!)</f>
        <v>#REF!</v>
      </c>
      <c r="AX27" s="35" t="e">
        <f>SUMIF(Master!#REF!,$B27,Master!#REF!)</f>
        <v>#REF!</v>
      </c>
      <c r="AY27" s="39" t="e">
        <f t="shared" si="23"/>
        <v>#REF!</v>
      </c>
      <c r="AZ27" s="31" t="e">
        <f t="shared" si="24"/>
        <v>#REF!</v>
      </c>
      <c r="BA27" s="36" t="e">
        <f>SUMIF(Master!#REF!,$B27,Master!#REF!)</f>
        <v>#REF!</v>
      </c>
      <c r="BB27" s="35" t="e">
        <f>SUMIF(Master!#REF!,$B27,Master!#REF!)</f>
        <v>#REF!</v>
      </c>
      <c r="BC27" s="39" t="e">
        <f t="shared" si="25"/>
        <v>#REF!</v>
      </c>
      <c r="BD27" s="31" t="e">
        <f t="shared" si="26"/>
        <v>#REF!</v>
      </c>
      <c r="BE27" s="36" t="e">
        <f>SUMIF(Master!#REF!,$B27,Master!#REF!)</f>
        <v>#REF!</v>
      </c>
      <c r="BF27" s="35" t="e">
        <f>SUMIF(Master!#REF!,$B27,Master!#REF!)</f>
        <v>#REF!</v>
      </c>
      <c r="BG27" s="39" t="e">
        <f t="shared" si="27"/>
        <v>#REF!</v>
      </c>
      <c r="BH27" s="31" t="e">
        <f t="shared" si="28"/>
        <v>#REF!</v>
      </c>
      <c r="BI27" s="36" t="e">
        <f>SUMIF(Master!#REF!,$B27,Master!#REF!)</f>
        <v>#REF!</v>
      </c>
      <c r="BJ27" s="35" t="e">
        <f>SUMIF(Master!#REF!,$B27,Master!#REF!)</f>
        <v>#REF!</v>
      </c>
      <c r="BK27" s="39" t="e">
        <f t="shared" si="29"/>
        <v>#REF!</v>
      </c>
      <c r="BL27" s="31" t="e">
        <f t="shared" si="30"/>
        <v>#REF!</v>
      </c>
      <c r="BM27" s="36" t="e">
        <f>SUMIF(Master!#REF!,$B27,Master!#REF!)</f>
        <v>#REF!</v>
      </c>
      <c r="BN27" s="35" t="e">
        <f>SUMIF(Master!#REF!,$B27,Master!#REF!)</f>
        <v>#REF!</v>
      </c>
      <c r="BO27" s="39" t="e">
        <f t="shared" si="31"/>
        <v>#REF!</v>
      </c>
      <c r="BP27" s="31" t="e">
        <f t="shared" si="32"/>
        <v>#REF!</v>
      </c>
      <c r="BR27" s="36" t="e">
        <f>SUMIF(Master!#REF!,$B27,Master!#REF!)</f>
        <v>#REF!</v>
      </c>
      <c r="BS27" s="35" t="e">
        <f>SUMIF(Master!#REF!,$B27,Master!#REF!)</f>
        <v>#REF!</v>
      </c>
      <c r="BT27" s="39" t="e">
        <f t="shared" si="33"/>
        <v>#REF!</v>
      </c>
      <c r="BU27" s="31" t="e">
        <f t="shared" si="34"/>
        <v>#REF!</v>
      </c>
      <c r="BW27" s="36" t="str">
        <f>IF(ISERROR(LARGE(Master!#REF!,1)),"",LARGE(Master!#REF!,1))</f>
        <v/>
      </c>
      <c r="BX27" s="35" t="str">
        <f>IF(ISERROR(LARGE(Master!#REF!,1)),"",LARGE(Master!#REF!,1))</f>
        <v/>
      </c>
      <c r="BY27" s="44" t="str">
        <f t="shared" si="35"/>
        <v/>
      </c>
    </row>
  </sheetData>
  <mergeCells count="19">
    <mergeCell ref="BR2:BU2"/>
    <mergeCell ref="BW2:BY2"/>
    <mergeCell ref="AR2:AU2"/>
    <mergeCell ref="AW2:AZ2"/>
    <mergeCell ref="BA2:BD2"/>
    <mergeCell ref="BE2:BH2"/>
    <mergeCell ref="BI2:BL2"/>
    <mergeCell ref="BM2:BP2"/>
    <mergeCell ref="X2:AA2"/>
    <mergeCell ref="AB2:AE2"/>
    <mergeCell ref="AJ2:AM2"/>
    <mergeCell ref="AF2:AI2"/>
    <mergeCell ref="AN2:AQ2"/>
    <mergeCell ref="B2:B3"/>
    <mergeCell ref="K2:N2"/>
    <mergeCell ref="O2:R2"/>
    <mergeCell ref="S2:V2"/>
    <mergeCell ref="C2:F2"/>
    <mergeCell ref="G2:J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Plan2"/>
  <dimension ref="A1:B7"/>
  <sheetViews>
    <sheetView workbookViewId="0">
      <selection activeCell="C3" sqref="C3"/>
    </sheetView>
  </sheetViews>
  <sheetFormatPr defaultRowHeight="15" x14ac:dyDescent="0.25"/>
  <sheetData>
    <row r="1" spans="1:2" x14ac:dyDescent="0.25">
      <c r="A1">
        <v>1</v>
      </c>
      <c r="B1" t="s">
        <v>78</v>
      </c>
    </row>
    <row r="2" spans="1:2" x14ac:dyDescent="0.25">
      <c r="A2">
        <v>2</v>
      </c>
      <c r="B2" t="s">
        <v>79</v>
      </c>
    </row>
    <row r="3" spans="1:2" x14ac:dyDescent="0.25">
      <c r="A3">
        <v>3</v>
      </c>
      <c r="B3" t="s">
        <v>80</v>
      </c>
    </row>
    <row r="4" spans="1:2" x14ac:dyDescent="0.25">
      <c r="A4">
        <v>4</v>
      </c>
      <c r="B4" t="s">
        <v>81</v>
      </c>
    </row>
    <row r="5" spans="1:2" x14ac:dyDescent="0.25">
      <c r="A5">
        <v>5</v>
      </c>
      <c r="B5" t="s">
        <v>82</v>
      </c>
    </row>
    <row r="6" spans="1:2" x14ac:dyDescent="0.25">
      <c r="A6">
        <v>6</v>
      </c>
      <c r="B6" t="s">
        <v>83</v>
      </c>
    </row>
    <row r="7" spans="1:2" x14ac:dyDescent="0.25">
      <c r="A7">
        <v>7</v>
      </c>
      <c r="B7" t="s">
        <v>140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C8196F1-33E7-40F9-A3EB-0C8FAA734C9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BASE</vt:lpstr>
      <vt:lpstr>Home</vt:lpstr>
      <vt:lpstr>Forecast</vt:lpstr>
      <vt:lpstr>Forecast Anual</vt:lpstr>
      <vt:lpstr>Master</vt:lpstr>
      <vt:lpstr>Resumo</vt:lpstr>
      <vt:lpstr>Plan1</vt:lpstr>
    </vt:vector>
  </TitlesOfParts>
  <Manager/>
  <Company>DHL Logistics (Supply Chain Brazil)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Anderson Furlan (DHL BR)</dc:creator>
  <cp:keywords/>
  <dc:description/>
  <cp:lastModifiedBy>Paulo Marcos Araujo Da Rocha (DHL Supply Chain)</cp:lastModifiedBy>
  <cp:revision/>
  <dcterms:created xsi:type="dcterms:W3CDTF">2016-11-14T14:32:24Z</dcterms:created>
  <dcterms:modified xsi:type="dcterms:W3CDTF">2024-07-21T20:32:05Z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36915f3-2f02-4945-8997-f2963298db46_Enabled">
    <vt:lpwstr>true</vt:lpwstr>
  </property>
  <property fmtid="{D5CDD505-2E9C-101B-9397-08002B2CF9AE}" pid="3" name="MSIP_Label_736915f3-2f02-4945-8997-f2963298db46_SetDate">
    <vt:lpwstr>2023-08-25T15:52:27Z</vt:lpwstr>
  </property>
  <property fmtid="{D5CDD505-2E9C-101B-9397-08002B2CF9AE}" pid="4" name="MSIP_Label_736915f3-2f02-4945-8997-f2963298db46_Method">
    <vt:lpwstr>Standard</vt:lpwstr>
  </property>
  <property fmtid="{D5CDD505-2E9C-101B-9397-08002B2CF9AE}" pid="5" name="MSIP_Label_736915f3-2f02-4945-8997-f2963298db46_Name">
    <vt:lpwstr>Internal</vt:lpwstr>
  </property>
  <property fmtid="{D5CDD505-2E9C-101B-9397-08002B2CF9AE}" pid="6" name="MSIP_Label_736915f3-2f02-4945-8997-f2963298db46_SiteId">
    <vt:lpwstr>cd99fef8-1cd3-4a2a-9bdf-15531181d65e</vt:lpwstr>
  </property>
  <property fmtid="{D5CDD505-2E9C-101B-9397-08002B2CF9AE}" pid="7" name="MSIP_Label_736915f3-2f02-4945-8997-f2963298db46_ActionId">
    <vt:lpwstr>28644f3c-7b75-4b86-b5db-c33c11efded7</vt:lpwstr>
  </property>
  <property fmtid="{D5CDD505-2E9C-101B-9397-08002B2CF9AE}" pid="8" name="MSIP_Label_736915f3-2f02-4945-8997-f2963298db46_ContentBits">
    <vt:lpwstr>1</vt:lpwstr>
  </property>
</Properties>
</file>