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ml.chartshapes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b-lervolino1\Downloads\"/>
    </mc:Choice>
  </mc:AlternateContent>
  <xr:revisionPtr revIDLastSave="0" documentId="8_{A9DA8A01-CCC0-4EEA-B9B7-6F9885B86B1B}" xr6:coauthVersionLast="47" xr6:coauthVersionMax="47" xr10:uidLastSave="{00000000-0000-0000-0000-000000000000}"/>
  <bookViews>
    <workbookView xWindow="-108" yWindow="-108" windowWidth="23256" windowHeight="13896" tabRatio="426" xr2:uid="{00000000-000D-0000-FFFF-FFFF00000000}"/>
  </bookViews>
  <sheets>
    <sheet name="TABLERO COBRANZAS" sheetId="9" r:id="rId1"/>
    <sheet name="CLIENTES" sheetId="11" r:id="rId2"/>
    <sheet name="COTIZACION" sheetId="5" state="hidden" r:id="rId3"/>
    <sheet name="DETALLES" sheetId="10" state="hidden" r:id="rId4"/>
    <sheet name="CALCULOS" sheetId="8" r:id="rId5"/>
    <sheet name="Base nueva" sheetId="14" r:id="rId6"/>
    <sheet name="Historico Cartera 2026" sheetId="15" r:id="rId7"/>
    <sheet name="Kpis actual" sheetId="16" r:id="rId8"/>
  </sheets>
  <definedNames>
    <definedName name="_xlchart.v1.4" hidden="1">CALCULOS!$D$47:$D$50</definedName>
    <definedName name="_xlchart.v1.5" hidden="1">CALCULOS!$E$46</definedName>
    <definedName name="_xlchart.v1.6" hidden="1">CALCULOS!$E$47:$E$50</definedName>
    <definedName name="_xlchart.v5.0" hidden="1">CALCULOS!$D$56</definedName>
    <definedName name="_xlchart.v5.1" hidden="1">CALCULOS!$D$57:$D$61</definedName>
    <definedName name="_xlchart.v5.2" hidden="1">CALCULOS!$E$56</definedName>
    <definedName name="_xlchart.v5.3" hidden="1">CALCULOS!$E$57:$E$61</definedName>
    <definedName name="_xlcn.WorksheetConnection_TABLERODECOBRANZAS.xlsxcalendario1" hidden="1">calendario</definedName>
    <definedName name="_xlcn.WorksheetConnection_TABLERODECOBRANZAS.xlsxCOBRADO1" hidden="1">COBRADO</definedName>
    <definedName name="_xlcn.WorksheetConnection_TABLERODECOBRANZAS.xlsxCOMPOSICIONSALDO1" hidden="1">COMPOSICIONSALDO</definedName>
    <definedName name="_xlcn.WorksheetConnection_TABLERODECOBRANZAS.xlsxFACTURADO1" hidden="1">FACTURADO</definedName>
    <definedName name="_xlcn.WorksheetConnection_TABLERODECOBRANZASNOA.PAU.xlsxCOMPOSICIONSALDOneo1" hidden="1">COMPOSICIONSALDOneo[]</definedName>
    <definedName name="_xlcn.WorksheetConnection_TABLERODECOBRANZASNOA.PAU.xlsxTabla101" hidden="1">Tabla10</definedName>
    <definedName name="_xlcn.WorksheetConnection_TABLERODECOBRANZASNOA.PAU.xlsxTabla41" hidden="1">Tabla4</definedName>
    <definedName name="_xlnm.Print_Area" localSheetId="0">'TABLERO COBRANZAS'!$A$1:$S$67</definedName>
    <definedName name="SegmentaciónDeDatos_ALERTA_VENC.">#N/A</definedName>
    <definedName name="SegmentaciónDeDatos_AREA">#N/A</definedName>
    <definedName name="SegmentaciónDeDatos_ESTADO_SEGÚN_MORA">#N/A</definedName>
    <definedName name="SegmentaciónDeDatos_MES">#N/A</definedName>
    <definedName name="SegmentaciónDeDatos_PROVINCIA">#N/A</definedName>
  </definedNames>
  <calcPr calcId="191029"/>
  <pivotCaches>
    <pivotCache cacheId="156" r:id="rId9"/>
    <pivotCache cacheId="157" r:id="rId10"/>
    <pivotCache cacheId="347" r:id="rId11"/>
    <pivotCache cacheId="350" r:id="rId12"/>
    <pivotCache cacheId="353" r:id="rId13"/>
    <pivotCache cacheId="356" r:id="rId14"/>
    <pivotCache cacheId="359" r:id="rId15"/>
    <pivotCache cacheId="362" r:id="rId16"/>
  </pivotCaches>
  <extLst>
    <ext xmlns:x14="http://schemas.microsoft.com/office/spreadsheetml/2009/9/main" uri="{876F7934-8845-4945-9796-88D515C7AA90}">
      <x14:pivotCaches>
        <pivotCache cacheId="164" r:id="rId17"/>
      </x14:pivotCaches>
    </ext>
    <ext xmlns:x14="http://schemas.microsoft.com/office/spreadsheetml/2009/9/main" uri="{BBE1A952-AA13-448e-AADC-164F8A28A991}">
      <x14:slicerCaches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URADO" name="FACTURADO" connection="WorksheetConnection_TABLERO DE COBRANZAS.xlsx!FACTURADO"/>
          <x15:modelTable id="COMPOSICIONSALDO" name="COMPOSICIONSALDO" connection="WorksheetConnection_TABLERO DE COBRANZAS.xlsx!COMPOSICIONSALDO"/>
          <x15:modelTable id="COBRADO" name="COBRADO" connection="WorksheetConnection_TABLERO DE COBRANZAS.xlsx!COBRADO"/>
          <x15:modelTable id="calendario" name="calendario" connection="WorksheetConnection_TABLERO DE COBRANZAS.xlsx!calendario"/>
          <x15:modelTable id="Tabla4" name="Tabla4" connection="WorksheetConnection_TABLERO DE COBRANZAS NOA . PAU.xlsx!Tabla4"/>
          <x15:modelTable id="Tabla10" name="Tabla10" connection="WorksheetConnection_TABLERO DE COBRANZAS NOA . PAU.xlsx!Tabla10"/>
          <x15:modelTable id="COMPOSICIONSALDOneo" name="COMPOSICIONSALDOneo" connection="WorksheetConnection_TABLERO DE COBRANZAS NOA . PAU.xlsx!COMPOSICIONSALDOneo"/>
        </x15:modelTables>
        <x15:modelRelationships>
          <x15:modelRelationship fromTable="COMPOSICIONSALDO" fromColumn="Mes" toTable="calendario" toColumn="Mes"/>
          <x15:modelRelationship fromTable="FACTURADO" fromColumn="MES" toTable="calendario" toColumn="Mes"/>
          <x15:modelRelationship fromTable="COBRADO" fromColumn="MES" toTable="calendario" toColumn="Mes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  <c r="E57" i="8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S19" i="14"/>
  <c r="S20" i="14"/>
  <c r="S21" i="14"/>
  <c r="S22" i="14"/>
  <c r="S23" i="14"/>
  <c r="S24" i="14"/>
  <c r="S25" i="14"/>
  <c r="S26" i="14"/>
  <c r="S27" i="14"/>
  <c r="S28" i="14"/>
  <c r="S29" i="14"/>
  <c r="S30" i="14"/>
  <c r="S31" i="14"/>
  <c r="S32" i="14"/>
  <c r="S33" i="14"/>
  <c r="S34" i="14"/>
  <c r="S35" i="14"/>
  <c r="S36" i="14"/>
  <c r="S37" i="14"/>
  <c r="S38" i="14"/>
  <c r="S39" i="14"/>
  <c r="S40" i="14"/>
  <c r="S41" i="14"/>
  <c r="S42" i="14"/>
  <c r="S43" i="14"/>
  <c r="S44" i="14"/>
  <c r="S45" i="14"/>
  <c r="S46" i="14"/>
  <c r="S47" i="14"/>
  <c r="S48" i="14"/>
  <c r="S49" i="14"/>
  <c r="S50" i="14"/>
  <c r="S51" i="14"/>
  <c r="S52" i="14"/>
  <c r="S53" i="14"/>
  <c r="S54" i="14"/>
  <c r="S55" i="14"/>
  <c r="S56" i="14"/>
  <c r="S57" i="14"/>
  <c r="S58" i="14"/>
  <c r="S59" i="14"/>
  <c r="S60" i="14"/>
  <c r="S61" i="14"/>
  <c r="S62" i="14"/>
  <c r="S63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M51" i="14"/>
  <c r="M52" i="14"/>
  <c r="M53" i="14"/>
  <c r="M54" i="14"/>
  <c r="M55" i="14"/>
  <c r="O55" i="14" s="1"/>
  <c r="M56" i="14"/>
  <c r="O56" i="14" s="1"/>
  <c r="M57" i="14"/>
  <c r="O57" i="14" s="1"/>
  <c r="M58" i="14"/>
  <c r="O58" i="14" s="1"/>
  <c r="M59" i="14"/>
  <c r="O59" i="14" s="1"/>
  <c r="M60" i="14"/>
  <c r="O60" i="14" s="1"/>
  <c r="M61" i="14"/>
  <c r="O61" i="14" s="1"/>
  <c r="M62" i="14"/>
  <c r="M63" i="14"/>
  <c r="N51" i="14"/>
  <c r="N52" i="14"/>
  <c r="O52" i="14" s="1"/>
  <c r="N53" i="14"/>
  <c r="N54" i="14"/>
  <c r="N55" i="14"/>
  <c r="N56" i="14"/>
  <c r="N57" i="14"/>
  <c r="N58" i="14"/>
  <c r="N59" i="14"/>
  <c r="N60" i="14"/>
  <c r="N61" i="14"/>
  <c r="N62" i="14"/>
  <c r="N63" i="14"/>
  <c r="O53" i="14"/>
  <c r="T51" i="14"/>
  <c r="T52" i="14"/>
  <c r="T53" i="14"/>
  <c r="T54" i="14"/>
  <c r="T55" i="14"/>
  <c r="T56" i="14"/>
  <c r="T57" i="14"/>
  <c r="T58" i="14"/>
  <c r="T59" i="14"/>
  <c r="T60" i="14"/>
  <c r="T61" i="14"/>
  <c r="T62" i="14"/>
  <c r="T63" i="14"/>
  <c r="S4" i="14"/>
  <c r="S5" i="14"/>
  <c r="S3" i="14"/>
  <c r="A1" i="14"/>
  <c r="L51" i="14" s="1"/>
  <c r="A84" i="8"/>
  <c r="S146" i="8"/>
  <c r="S147" i="8"/>
  <c r="S148" i="8"/>
  <c r="S149" i="8"/>
  <c r="S150" i="8"/>
  <c r="S151" i="8"/>
  <c r="S152" i="8"/>
  <c r="S153" i="8"/>
  <c r="S154" i="8"/>
  <c r="S155" i="8"/>
  <c r="S156" i="8"/>
  <c r="S157" i="8"/>
  <c r="S158" i="8"/>
  <c r="S159" i="8"/>
  <c r="S160" i="8"/>
  <c r="S161" i="8"/>
  <c r="S162" i="8"/>
  <c r="S163" i="8"/>
  <c r="S164" i="8"/>
  <c r="R96" i="8"/>
  <c r="S96" i="8" s="1"/>
  <c r="V96" i="8" s="1"/>
  <c r="R97" i="8"/>
  <c r="S97" i="8" s="1"/>
  <c r="V97" i="8" s="1"/>
  <c r="R98" i="8"/>
  <c r="S98" i="8" s="1"/>
  <c r="V98" i="8" s="1"/>
  <c r="R99" i="8"/>
  <c r="S99" i="8" s="1"/>
  <c r="V99" i="8" s="1"/>
  <c r="R100" i="8"/>
  <c r="S100" i="8" s="1"/>
  <c r="V100" i="8" s="1"/>
  <c r="R101" i="8"/>
  <c r="S101" i="8" s="1"/>
  <c r="V101" i="8" s="1"/>
  <c r="R102" i="8"/>
  <c r="S102" i="8" s="1"/>
  <c r="V102" i="8" s="1"/>
  <c r="R103" i="8"/>
  <c r="S103" i="8" s="1"/>
  <c r="V103" i="8" s="1"/>
  <c r="R104" i="8"/>
  <c r="S104" i="8" s="1"/>
  <c r="V104" i="8" s="1"/>
  <c r="R105" i="8"/>
  <c r="S105" i="8" s="1"/>
  <c r="R106" i="8"/>
  <c r="S106" i="8" s="1"/>
  <c r="R107" i="8"/>
  <c r="S107" i="8" s="1"/>
  <c r="R108" i="8"/>
  <c r="S108" i="8" s="1"/>
  <c r="R109" i="8"/>
  <c r="S109" i="8" s="1"/>
  <c r="R110" i="8"/>
  <c r="S110" i="8" s="1"/>
  <c r="R111" i="8"/>
  <c r="S111" i="8" s="1"/>
  <c r="R112" i="8"/>
  <c r="S112" i="8" s="1"/>
  <c r="R113" i="8"/>
  <c r="S113" i="8" s="1"/>
  <c r="R114" i="8"/>
  <c r="S114" i="8" s="1"/>
  <c r="R115" i="8"/>
  <c r="S115" i="8" s="1"/>
  <c r="R116" i="8"/>
  <c r="S116" i="8" s="1"/>
  <c r="R117" i="8"/>
  <c r="S117" i="8" s="1"/>
  <c r="R118" i="8"/>
  <c r="S118" i="8" s="1"/>
  <c r="R119" i="8"/>
  <c r="S119" i="8" s="1"/>
  <c r="R120" i="8"/>
  <c r="S120" i="8" s="1"/>
  <c r="R121" i="8"/>
  <c r="S121" i="8" s="1"/>
  <c r="R122" i="8"/>
  <c r="S122" i="8" s="1"/>
  <c r="R123" i="8"/>
  <c r="S123" i="8" s="1"/>
  <c r="R124" i="8"/>
  <c r="S124" i="8" s="1"/>
  <c r="R125" i="8"/>
  <c r="S125" i="8" s="1"/>
  <c r="R126" i="8"/>
  <c r="S126" i="8" s="1"/>
  <c r="R127" i="8"/>
  <c r="S127" i="8" s="1"/>
  <c r="R128" i="8"/>
  <c r="S128" i="8" s="1"/>
  <c r="R129" i="8"/>
  <c r="S129" i="8" s="1"/>
  <c r="R130" i="8"/>
  <c r="S130" i="8" s="1"/>
  <c r="R131" i="8"/>
  <c r="S131" i="8" s="1"/>
  <c r="R132" i="8"/>
  <c r="S132" i="8" s="1"/>
  <c r="R133" i="8"/>
  <c r="S133" i="8" s="1"/>
  <c r="R134" i="8"/>
  <c r="S134" i="8" s="1"/>
  <c r="R135" i="8"/>
  <c r="S135" i="8" s="1"/>
  <c r="R136" i="8"/>
  <c r="S136" i="8" s="1"/>
  <c r="R137" i="8"/>
  <c r="S137" i="8" s="1"/>
  <c r="R138" i="8"/>
  <c r="S138" i="8" s="1"/>
  <c r="R139" i="8"/>
  <c r="S139" i="8" s="1"/>
  <c r="R140" i="8"/>
  <c r="S140" i="8" s="1"/>
  <c r="R141" i="8"/>
  <c r="S141" i="8" s="1"/>
  <c r="R142" i="8"/>
  <c r="S142" i="8" s="1"/>
  <c r="R143" i="8"/>
  <c r="S143" i="8" s="1"/>
  <c r="R144" i="8"/>
  <c r="S144" i="8" s="1"/>
  <c r="R145" i="8"/>
  <c r="S145" i="8" s="1"/>
  <c r="R95" i="8"/>
  <c r="U95" i="8" s="1"/>
  <c r="E58" i="8"/>
  <c r="E59" i="8"/>
  <c r="E60" i="8"/>
  <c r="E61" i="8"/>
  <c r="E62" i="8"/>
  <c r="E63" i="8"/>
  <c r="E64" i="8"/>
  <c r="E65" i="8"/>
  <c r="E9" i="8"/>
  <c r="U103" i="8" l="1"/>
  <c r="U102" i="8"/>
  <c r="O63" i="14"/>
  <c r="O62" i="14"/>
  <c r="O54" i="14"/>
  <c r="O51" i="14"/>
  <c r="L63" i="14"/>
  <c r="L61" i="14"/>
  <c r="Q61" i="14" s="1"/>
  <c r="L60" i="14"/>
  <c r="Q60" i="14" s="1"/>
  <c r="L58" i="14"/>
  <c r="Q58" i="14" s="1"/>
  <c r="L54" i="14"/>
  <c r="P54" i="14" s="1"/>
  <c r="L59" i="14"/>
  <c r="Q59" i="14" s="1"/>
  <c r="L57" i="14"/>
  <c r="Q57" i="14" s="1"/>
  <c r="L56" i="14"/>
  <c r="Q56" i="14" s="1"/>
  <c r="L55" i="14"/>
  <c r="Q51" i="14"/>
  <c r="P51" i="14"/>
  <c r="L62" i="14"/>
  <c r="L53" i="14"/>
  <c r="L52" i="14"/>
  <c r="U101" i="8"/>
  <c r="U100" i="8"/>
  <c r="U99" i="8"/>
  <c r="U98" i="8"/>
  <c r="U97" i="8"/>
  <c r="U96" i="8"/>
  <c r="U104" i="8"/>
  <c r="P95" i="8"/>
  <c r="R41" i="14"/>
  <c r="R42" i="14"/>
  <c r="R43" i="14"/>
  <c r="R44" i="14"/>
  <c r="R45" i="14"/>
  <c r="R46" i="14"/>
  <c r="R47" i="14"/>
  <c r="R48" i="14"/>
  <c r="R49" i="14"/>
  <c r="R50" i="14"/>
  <c r="M41" i="14"/>
  <c r="M42" i="14"/>
  <c r="M43" i="14"/>
  <c r="M44" i="14"/>
  <c r="M45" i="14"/>
  <c r="M46" i="14"/>
  <c r="M47" i="14"/>
  <c r="M48" i="14"/>
  <c r="M49" i="14"/>
  <c r="M50" i="14"/>
  <c r="N41" i="14"/>
  <c r="N42" i="14"/>
  <c r="N43" i="14"/>
  <c r="N44" i="14"/>
  <c r="N45" i="14"/>
  <c r="N46" i="14"/>
  <c r="N47" i="14"/>
  <c r="N48" i="14"/>
  <c r="N49" i="14"/>
  <c r="N50" i="14"/>
  <c r="T41" i="14"/>
  <c r="T42" i="14"/>
  <c r="T43" i="14"/>
  <c r="T44" i="14"/>
  <c r="T45" i="14"/>
  <c r="T46" i="14"/>
  <c r="T47" i="14"/>
  <c r="T48" i="14"/>
  <c r="T49" i="14"/>
  <c r="T50" i="14"/>
  <c r="J14" i="15"/>
  <c r="H14" i="15"/>
  <c r="F14" i="15"/>
  <c r="S165" i="8"/>
  <c r="S166" i="8"/>
  <c r="S167" i="8"/>
  <c r="S168" i="8"/>
  <c r="S169" i="8"/>
  <c r="S170" i="8"/>
  <c r="S171" i="8"/>
  <c r="B5" i="16"/>
  <c r="D5" i="16" s="1"/>
  <c r="B6" i="16"/>
  <c r="D6" i="16" s="1"/>
  <c r="B7" i="16"/>
  <c r="B8" i="16"/>
  <c r="E4" i="15"/>
  <c r="E5" i="15"/>
  <c r="H5" i="15"/>
  <c r="J5" i="15"/>
  <c r="E6" i="15"/>
  <c r="H6" i="15"/>
  <c r="J6" i="15"/>
  <c r="E7" i="15"/>
  <c r="H7" i="15"/>
  <c r="J7" i="15"/>
  <c r="E8" i="15"/>
  <c r="F8" i="15" s="1"/>
  <c r="H8" i="15"/>
  <c r="J8" i="15"/>
  <c r="E9" i="15"/>
  <c r="H9" i="15"/>
  <c r="J9" i="15"/>
  <c r="E10" i="15"/>
  <c r="H10" i="15"/>
  <c r="J10" i="15"/>
  <c r="E11" i="15"/>
  <c r="H11" i="15"/>
  <c r="J11" i="15"/>
  <c r="E12" i="15"/>
  <c r="H12" i="15"/>
  <c r="J12" i="15"/>
  <c r="E13" i="15"/>
  <c r="H13" i="15"/>
  <c r="J13" i="15"/>
  <c r="E15" i="15"/>
  <c r="H15" i="15"/>
  <c r="J15" i="15"/>
  <c r="R37" i="14"/>
  <c r="R38" i="14"/>
  <c r="R39" i="14"/>
  <c r="R40" i="14"/>
  <c r="M37" i="14"/>
  <c r="M38" i="14"/>
  <c r="M39" i="14"/>
  <c r="M40" i="14"/>
  <c r="N37" i="14"/>
  <c r="N38" i="14"/>
  <c r="N39" i="14"/>
  <c r="N40" i="14"/>
  <c r="T37" i="14"/>
  <c r="T38" i="14"/>
  <c r="T39" i="14"/>
  <c r="T40" i="14"/>
  <c r="P61" i="14" l="1"/>
  <c r="Q54" i="14"/>
  <c r="P57" i="14"/>
  <c r="P63" i="14"/>
  <c r="Q63" i="14"/>
  <c r="P58" i="14"/>
  <c r="P59" i="14"/>
  <c r="P60" i="14"/>
  <c r="P56" i="14"/>
  <c r="P55" i="14"/>
  <c r="Q55" i="14"/>
  <c r="Q52" i="14"/>
  <c r="P52" i="14"/>
  <c r="Q62" i="14"/>
  <c r="P62" i="14"/>
  <c r="Q53" i="14"/>
  <c r="P53" i="14"/>
  <c r="F10" i="15"/>
  <c r="F5" i="15"/>
  <c r="O41" i="14"/>
  <c r="O45" i="14"/>
  <c r="O50" i="14"/>
  <c r="O43" i="14"/>
  <c r="O42" i="14"/>
  <c r="O49" i="14"/>
  <c r="O48" i="14"/>
  <c r="O47" i="14"/>
  <c r="O44" i="14"/>
  <c r="O46" i="14"/>
  <c r="F13" i="15"/>
  <c r="F7" i="15"/>
  <c r="F6" i="15"/>
  <c r="C8" i="16"/>
  <c r="D8" i="16" s="1"/>
  <c r="B4" i="16"/>
  <c r="C7" i="16"/>
  <c r="D7" i="16" s="1"/>
  <c r="F11" i="15"/>
  <c r="F12" i="15"/>
  <c r="F15" i="15"/>
  <c r="S95" i="8"/>
  <c r="V95" i="8" s="1"/>
  <c r="F9" i="15"/>
  <c r="O38" i="14"/>
  <c r="O37" i="14"/>
  <c r="O40" i="14"/>
  <c r="O39" i="14"/>
  <c r="R36" i="14"/>
  <c r="R32" i="14"/>
  <c r="R33" i="14"/>
  <c r="R34" i="14"/>
  <c r="R35" i="14"/>
  <c r="M34" i="14"/>
  <c r="M35" i="14"/>
  <c r="M36" i="14"/>
  <c r="N34" i="14"/>
  <c r="N35" i="14"/>
  <c r="N36" i="14"/>
  <c r="T34" i="14"/>
  <c r="T35" i="14"/>
  <c r="T36" i="14"/>
  <c r="M32" i="14"/>
  <c r="M33" i="14"/>
  <c r="N32" i="14"/>
  <c r="N33" i="14"/>
  <c r="T32" i="14"/>
  <c r="T33" i="14"/>
  <c r="H5" i="8"/>
  <c r="H6" i="8"/>
  <c r="H7" i="8"/>
  <c r="H8" i="8"/>
  <c r="H4" i="8"/>
  <c r="E39" i="8"/>
  <c r="E42" i="8" s="1"/>
  <c r="R30" i="14"/>
  <c r="R31" i="14"/>
  <c r="M30" i="14"/>
  <c r="M31" i="14"/>
  <c r="N30" i="14"/>
  <c r="N31" i="14"/>
  <c r="T30" i="14"/>
  <c r="T31" i="14"/>
  <c r="R27" i="14"/>
  <c r="R28" i="14"/>
  <c r="R29" i="14"/>
  <c r="M27" i="14"/>
  <c r="M28" i="14"/>
  <c r="M29" i="14"/>
  <c r="N27" i="14"/>
  <c r="N28" i="14"/>
  <c r="N29" i="14"/>
  <c r="T27" i="14"/>
  <c r="T28" i="14"/>
  <c r="T29" i="14"/>
  <c r="M3" i="14"/>
  <c r="N3" i="14"/>
  <c r="M4" i="14"/>
  <c r="N4" i="14"/>
  <c r="M5" i="14"/>
  <c r="N5" i="14"/>
  <c r="M6" i="14"/>
  <c r="N6" i="14"/>
  <c r="M7" i="14"/>
  <c r="N7" i="14"/>
  <c r="M8" i="14"/>
  <c r="N8" i="14"/>
  <c r="M9" i="14"/>
  <c r="N9" i="14"/>
  <c r="M10" i="14"/>
  <c r="N10" i="14"/>
  <c r="M11" i="14"/>
  <c r="N11" i="14"/>
  <c r="M12" i="14"/>
  <c r="N12" i="14"/>
  <c r="M13" i="14"/>
  <c r="N13" i="14"/>
  <c r="M14" i="14"/>
  <c r="N14" i="14"/>
  <c r="M15" i="14"/>
  <c r="N15" i="14"/>
  <c r="M16" i="14"/>
  <c r="N16" i="14"/>
  <c r="M17" i="14"/>
  <c r="N17" i="14"/>
  <c r="M18" i="14"/>
  <c r="N18" i="14"/>
  <c r="M19" i="14"/>
  <c r="N19" i="14"/>
  <c r="M20" i="14"/>
  <c r="N20" i="14"/>
  <c r="M21" i="14"/>
  <c r="N21" i="14"/>
  <c r="M22" i="14"/>
  <c r="N22" i="14"/>
  <c r="M23" i="14"/>
  <c r="N23" i="14"/>
  <c r="M24" i="14"/>
  <c r="N24" i="14"/>
  <c r="M25" i="14"/>
  <c r="N25" i="14"/>
  <c r="M26" i="14"/>
  <c r="N26" i="14"/>
  <c r="R23" i="14"/>
  <c r="R24" i="14"/>
  <c r="R25" i="14"/>
  <c r="R26" i="14"/>
  <c r="T23" i="14"/>
  <c r="T24" i="14"/>
  <c r="T25" i="14"/>
  <c r="T26" i="14"/>
  <c r="R17" i="14"/>
  <c r="R18" i="14"/>
  <c r="R19" i="14"/>
  <c r="R20" i="14"/>
  <c r="R21" i="14"/>
  <c r="R22" i="14"/>
  <c r="T17" i="14"/>
  <c r="T18" i="14"/>
  <c r="T19" i="14"/>
  <c r="T20" i="14"/>
  <c r="T21" i="14"/>
  <c r="T22" i="14"/>
  <c r="R15" i="14"/>
  <c r="R16" i="14"/>
  <c r="T15" i="14"/>
  <c r="T16" i="14"/>
  <c r="R11" i="14"/>
  <c r="R12" i="14"/>
  <c r="R13" i="14"/>
  <c r="R14" i="14"/>
  <c r="T11" i="14"/>
  <c r="T12" i="14"/>
  <c r="T13" i="14"/>
  <c r="T14" i="14"/>
  <c r="C4" i="16" l="1"/>
  <c r="D4" i="16" s="1"/>
  <c r="L41" i="14"/>
  <c r="L42" i="14"/>
  <c r="L43" i="14"/>
  <c r="L44" i="14"/>
  <c r="L45" i="14"/>
  <c r="L46" i="14"/>
  <c r="L47" i="14"/>
  <c r="L50" i="14"/>
  <c r="L48" i="14"/>
  <c r="L49" i="14"/>
  <c r="O34" i="14"/>
  <c r="O36" i="14"/>
  <c r="L32" i="14"/>
  <c r="Q32" i="14" s="1"/>
  <c r="L37" i="14"/>
  <c r="L38" i="14"/>
  <c r="L39" i="14"/>
  <c r="L40" i="14"/>
  <c r="O35" i="14"/>
  <c r="O32" i="14"/>
  <c r="O33" i="14"/>
  <c r="H9" i="8"/>
  <c r="L36" i="14"/>
  <c r="L35" i="14"/>
  <c r="L34" i="14"/>
  <c r="L33" i="14"/>
  <c r="O31" i="14"/>
  <c r="O30" i="14"/>
  <c r="O27" i="14"/>
  <c r="O28" i="14"/>
  <c r="O29" i="14"/>
  <c r="O24" i="14"/>
  <c r="O25" i="14"/>
  <c r="O26" i="14"/>
  <c r="O23" i="14"/>
  <c r="O19" i="14"/>
  <c r="O20" i="14"/>
  <c r="O17" i="14"/>
  <c r="O18" i="14"/>
  <c r="O22" i="14"/>
  <c r="O21" i="14"/>
  <c r="O16" i="14"/>
  <c r="O15" i="14"/>
  <c r="O14" i="14"/>
  <c r="O12" i="14"/>
  <c r="O11" i="14"/>
  <c r="O13" i="14"/>
  <c r="R4" i="14"/>
  <c r="R5" i="14"/>
  <c r="R6" i="14"/>
  <c r="R7" i="14"/>
  <c r="R8" i="14"/>
  <c r="R9" i="14"/>
  <c r="R10" i="14"/>
  <c r="T10" i="14"/>
  <c r="E50" i="8"/>
  <c r="R3" i="14"/>
  <c r="T9" i="14"/>
  <c r="T3" i="14"/>
  <c r="T4" i="14"/>
  <c r="T5" i="14"/>
  <c r="T6" i="14"/>
  <c r="T7" i="14"/>
  <c r="T8" i="14"/>
  <c r="E5" i="8"/>
  <c r="E6" i="8"/>
  <c r="E8" i="8"/>
  <c r="P50" i="14" l="1"/>
  <c r="Q50" i="14"/>
  <c r="Q44" i="14"/>
  <c r="P44" i="14"/>
  <c r="P48" i="14"/>
  <c r="Q48" i="14"/>
  <c r="P46" i="14"/>
  <c r="Q46" i="14"/>
  <c r="Q49" i="14"/>
  <c r="P49" i="14"/>
  <c r="Q42" i="14"/>
  <c r="P42" i="14"/>
  <c r="P43" i="14"/>
  <c r="Q43" i="14"/>
  <c r="P47" i="14"/>
  <c r="Q47" i="14"/>
  <c r="Q45" i="14"/>
  <c r="P45" i="14"/>
  <c r="Q41" i="14"/>
  <c r="P41" i="14"/>
  <c r="P32" i="14"/>
  <c r="P40" i="14"/>
  <c r="Q40" i="14"/>
  <c r="P39" i="14"/>
  <c r="Q39" i="14"/>
  <c r="P38" i="14"/>
  <c r="Q38" i="14"/>
  <c r="Q37" i="14"/>
  <c r="P37" i="14"/>
  <c r="P36" i="14"/>
  <c r="Q36" i="14"/>
  <c r="Q34" i="14"/>
  <c r="P34" i="14"/>
  <c r="P35" i="14"/>
  <c r="Q35" i="14"/>
  <c r="P33" i="14"/>
  <c r="Q33" i="14"/>
  <c r="O10" i="14"/>
  <c r="O9" i="14"/>
  <c r="O3" i="14"/>
  <c r="O8" i="14" l="1"/>
  <c r="E48" i="8" l="1"/>
  <c r="E49" i="8"/>
  <c r="E51" i="8"/>
  <c r="B71" i="8" s="1"/>
  <c r="E47" i="8"/>
  <c r="O7" i="14" l="1"/>
  <c r="L5" i="8" l="1"/>
  <c r="O6" i="14" l="1"/>
  <c r="O4" i="14"/>
  <c r="O5" i="14"/>
  <c r="E76" i="8"/>
  <c r="J18" i="8"/>
  <c r="J19" i="8"/>
  <c r="J20" i="8"/>
  <c r="J21" i="8"/>
  <c r="J22" i="8"/>
  <c r="J17" i="8"/>
  <c r="E7" i="8"/>
  <c r="J23" i="8"/>
  <c r="J24" i="8"/>
  <c r="J25" i="8"/>
  <c r="J26" i="8"/>
  <c r="J27" i="8"/>
  <c r="J28" i="8"/>
  <c r="K23" i="8"/>
  <c r="K18" i="8"/>
  <c r="K19" i="8"/>
  <c r="K20" i="8"/>
  <c r="K21" i="8"/>
  <c r="K22" i="8"/>
  <c r="K24" i="8"/>
  <c r="K25" i="8"/>
  <c r="K26" i="8"/>
  <c r="K27" i="8"/>
  <c r="K28" i="8"/>
  <c r="K17" i="8"/>
  <c r="E38" i="8"/>
  <c r="E35" i="8"/>
  <c r="E36" i="8"/>
  <c r="E37" i="8"/>
  <c r="E34" i="8"/>
  <c r="L30" i="14" l="1"/>
  <c r="L31" i="14"/>
  <c r="L4" i="14"/>
  <c r="P4" i="14" s="1"/>
  <c r="L12" i="14"/>
  <c r="L21" i="14"/>
  <c r="L20" i="14"/>
  <c r="L27" i="14"/>
  <c r="L16" i="14"/>
  <c r="L26" i="14"/>
  <c r="L11" i="14"/>
  <c r="L28" i="14"/>
  <c r="L9" i="14"/>
  <c r="L7" i="14"/>
  <c r="P7" i="14" s="1"/>
  <c r="L24" i="14"/>
  <c r="L19" i="14"/>
  <c r="L29" i="14"/>
  <c r="L5" i="14"/>
  <c r="P5" i="14" s="1"/>
  <c r="L22" i="14"/>
  <c r="L8" i="14"/>
  <c r="P8" i="14" s="1"/>
  <c r="L17" i="14"/>
  <c r="L10" i="14"/>
  <c r="L18" i="14"/>
  <c r="L3" i="14"/>
  <c r="L6" i="14"/>
  <c r="P6" i="14" s="1"/>
  <c r="L13" i="14"/>
  <c r="L23" i="14"/>
  <c r="L14" i="14"/>
  <c r="L25" i="14"/>
  <c r="L15" i="14"/>
  <c r="E10" i="8"/>
  <c r="H11" i="8" s="1"/>
  <c r="B73" i="8"/>
  <c r="J29" i="8"/>
  <c r="B79" i="8" s="1"/>
  <c r="B78" i="8"/>
  <c r="K29" i="8"/>
  <c r="B87" i="8" l="1" a="1"/>
  <c r="B87" i="8" s="1"/>
  <c r="K79" i="8"/>
  <c r="P31" i="14"/>
  <c r="Q31" i="14"/>
  <c r="P30" i="14"/>
  <c r="Q30" i="14"/>
  <c r="P29" i="14"/>
  <c r="Q29" i="14"/>
  <c r="Q28" i="14"/>
  <c r="P28" i="14"/>
  <c r="P27" i="14"/>
  <c r="Q27" i="14"/>
  <c r="Q26" i="14"/>
  <c r="P26" i="14"/>
  <c r="P25" i="14"/>
  <c r="Q25" i="14"/>
  <c r="P24" i="14"/>
  <c r="Q24" i="14"/>
  <c r="P23" i="14"/>
  <c r="Q23" i="14"/>
  <c r="P17" i="14"/>
  <c r="Q17" i="14"/>
  <c r="Q22" i="14"/>
  <c r="P22" i="14"/>
  <c r="P21" i="14"/>
  <c r="Q21" i="14"/>
  <c r="P20" i="14"/>
  <c r="Q20" i="14"/>
  <c r="Q19" i="14"/>
  <c r="P19" i="14"/>
  <c r="Q18" i="14"/>
  <c r="P18" i="14"/>
  <c r="P16" i="14"/>
  <c r="Q16" i="14"/>
  <c r="P15" i="14"/>
  <c r="Q15" i="14"/>
  <c r="Q12" i="14"/>
  <c r="P12" i="14"/>
  <c r="Q13" i="14"/>
  <c r="P13" i="14"/>
  <c r="Q14" i="14"/>
  <c r="P14" i="14"/>
  <c r="P11" i="14"/>
  <c r="Q11" i="14"/>
  <c r="P10" i="14"/>
  <c r="Q10" i="14"/>
  <c r="B80" i="8"/>
  <c r="E79" i="8" s="1"/>
  <c r="Q9" i="14"/>
  <c r="P9" i="14"/>
  <c r="P3" i="14"/>
  <c r="Q3" i="14"/>
  <c r="Q4" i="14"/>
  <c r="Q5" i="14"/>
  <c r="Q6" i="14"/>
  <c r="B76" i="8"/>
  <c r="Q8" i="14"/>
  <c r="Q7" i="14"/>
  <c r="J76" i="8"/>
  <c r="J79" i="8" l="1"/>
  <c r="F34" i="8" l="1"/>
  <c r="F38" i="8"/>
  <c r="F39" i="8"/>
  <c r="F35" i="8"/>
  <c r="F36" i="8"/>
  <c r="F37" i="8"/>
  <c r="F79" i="8" l="1"/>
  <c r="L6" i="8"/>
  <c r="B7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nb-lervolino1</author>
  </authors>
  <commentList>
    <comment ref="B3" authorId="0" shapeId="0" xr:uid="{C0824ED9-4987-4AE0-9B85-5F4A09E8E694}">
      <text>
        <r>
          <rPr>
            <b/>
            <sz val="9"/>
            <color indexed="81"/>
            <rFont val="Tahoma"/>
            <family val="2"/>
          </rPr>
          <t>nb-lervolino1:</t>
        </r>
        <r>
          <rPr>
            <sz val="9"/>
            <color indexed="81"/>
            <rFont val="Tahoma"/>
            <family val="2"/>
          </rPr>
          <t xml:space="preserve">
O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B246B5-3242-4ADD-8284-5180C06AE132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595EC75-52D7-47DD-ABB0-47F7F412010D}" name="WorksheetConnection_TABLERO DE COBRANZAS NOA . PAU.xlsx!COMPOSICIONSALDOneo" type="102" refreshedVersion="8" minRefreshableVersion="5">
    <extLst>
      <ext xmlns:x15="http://schemas.microsoft.com/office/spreadsheetml/2010/11/main" uri="{DE250136-89BD-433C-8126-D09CA5730AF9}">
        <x15:connection id="COMPOSICIONSALDOneo" autoDelete="1">
          <x15:rangePr sourceName="_xlcn.WorksheetConnection_TABLERODECOBRANZASNOA.PAU.xlsxCOMPOSICIONSALDOneo1"/>
        </x15:connection>
      </ext>
    </extLst>
  </connection>
  <connection id="3" xr16:uid="{7A4AC742-ED26-4A16-A003-5AAB2A308B2E}" name="WorksheetConnection_TABLERO DE COBRANZAS NOA . PAU.xlsx!Tabla10" type="102" refreshedVersion="8" minRefreshableVersion="5">
    <extLst>
      <ext xmlns:x15="http://schemas.microsoft.com/office/spreadsheetml/2010/11/main" uri="{DE250136-89BD-433C-8126-D09CA5730AF9}">
        <x15:connection id="Tabla10">
          <x15:rangePr sourceName="_xlcn.WorksheetConnection_TABLERODECOBRANZASNOA.PAU.xlsxTabla101"/>
        </x15:connection>
      </ext>
    </extLst>
  </connection>
  <connection id="4" xr16:uid="{21E650E1-DF10-44E6-93DE-CAAA462D3C8D}" name="WorksheetConnection_TABLERO DE COBRANZAS NOA . PAU.xlsx!Tabla4" type="102" refreshedVersion="8" minRefreshableVersion="5">
    <extLst>
      <ext xmlns:x15="http://schemas.microsoft.com/office/spreadsheetml/2010/11/main" uri="{DE250136-89BD-433C-8126-D09CA5730AF9}">
        <x15:connection id="Tabla4">
          <x15:rangePr sourceName="_xlcn.WorksheetConnection_TABLERODECOBRANZASNOA.PAU.xlsxTabla41"/>
        </x15:connection>
      </ext>
    </extLst>
  </connection>
  <connection id="5" xr16:uid="{BBD89925-822C-4EC9-A624-28FF1765A374}" name="WorksheetConnection_TABLERO DE COBRANZAS.xlsx!calendario" type="102" refreshedVersion="8" minRefreshableVersion="5">
    <extLst>
      <ext xmlns:x15="http://schemas.microsoft.com/office/spreadsheetml/2010/11/main" uri="{DE250136-89BD-433C-8126-D09CA5730AF9}">
        <x15:connection id="calendario">
          <x15:rangePr sourceName="_xlcn.WorksheetConnection_TABLERODECOBRANZAS.xlsxcalendario1"/>
        </x15:connection>
      </ext>
    </extLst>
  </connection>
  <connection id="6" xr16:uid="{13113E28-2FBC-4FED-A67C-7A3FE24E0CEC}" name="WorksheetConnection_TABLERO DE COBRANZAS.xlsx!COBRADO" type="102" refreshedVersion="8" minRefreshableVersion="5">
    <extLst>
      <ext xmlns:x15="http://schemas.microsoft.com/office/spreadsheetml/2010/11/main" uri="{DE250136-89BD-433C-8126-D09CA5730AF9}">
        <x15:connection id="COBRADO">
          <x15:rangePr sourceName="_xlcn.WorksheetConnection_TABLERODECOBRANZAS.xlsxCOBRADO1"/>
        </x15:connection>
      </ext>
    </extLst>
  </connection>
  <connection id="7" xr16:uid="{51204015-DD20-40D8-8B3D-BCF35362F185}" name="WorksheetConnection_TABLERO DE COBRANZAS.xlsx!COMPOSICIONSALDO" type="102" refreshedVersion="8" minRefreshableVersion="5">
    <extLst>
      <ext xmlns:x15="http://schemas.microsoft.com/office/spreadsheetml/2010/11/main" uri="{DE250136-89BD-433C-8126-D09CA5730AF9}">
        <x15:connection id="COMPOSICIONSALDO">
          <x15:rangePr sourceName="_xlcn.WorksheetConnection_TABLERODECOBRANZAS.xlsxCOMPOSICIONSALDO1"/>
        </x15:connection>
      </ext>
    </extLst>
  </connection>
  <connection id="8" xr16:uid="{DA245090-E7DC-401E-8A11-609CA8006F41}" name="WorksheetConnection_TABLERO DE COBRANZAS.xlsx!FACTURADO" type="102" refreshedVersion="8" minRefreshableVersion="5">
    <extLst>
      <ext xmlns:x15="http://schemas.microsoft.com/office/spreadsheetml/2010/11/main" uri="{DE250136-89BD-433C-8126-D09CA5730AF9}">
        <x15:connection id="FACTURADO">
          <x15:rangePr sourceName="_xlcn.WorksheetConnection_TABLERODECOBRANZAS.xlsxFACTURADO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<sst xmlns="http://schemas.openxmlformats.org/spreadsheetml/2006/main" count="838" uniqueCount="293">
  <si>
    <t>CLIENTES</t>
  </si>
  <si>
    <t>PROVINCIA</t>
  </si>
  <si>
    <t>Jujuy</t>
  </si>
  <si>
    <t>Tucuman</t>
  </si>
  <si>
    <t>Salta</t>
  </si>
  <si>
    <t>Catamarca</t>
  </si>
  <si>
    <t>Santiago del Estero</t>
  </si>
  <si>
    <t>Fecha</t>
  </si>
  <si>
    <t>Cotizacion</t>
  </si>
  <si>
    <t>AREA</t>
  </si>
  <si>
    <t>TIPO DE FACTURA</t>
  </si>
  <si>
    <t>SECTOR</t>
  </si>
  <si>
    <t>REPUESTOS</t>
  </si>
  <si>
    <t>SERVICIOS</t>
  </si>
  <si>
    <t>MAQUINAS</t>
  </si>
  <si>
    <t>FECHA COMPROBANTE</t>
  </si>
  <si>
    <t>CLIENTE</t>
  </si>
  <si>
    <t>COMPROBANTE</t>
  </si>
  <si>
    <t>DESCRIPCION</t>
  </si>
  <si>
    <t>IMP. TRANSACCION</t>
  </si>
  <si>
    <t>COTIZACION</t>
  </si>
  <si>
    <t>IMP. PRINCIPAL</t>
  </si>
  <si>
    <t>IMP. SECUNDARIO</t>
  </si>
  <si>
    <t>FECHA VTO.</t>
  </si>
  <si>
    <t>DIAS DE MORA</t>
  </si>
  <si>
    <t>FECH</t>
  </si>
  <si>
    <t>MES2</t>
  </si>
  <si>
    <t>MES</t>
  </si>
  <si>
    <t>ESTADO SEGÚN MORA</t>
  </si>
  <si>
    <t>ESTADO</t>
  </si>
  <si>
    <t>Dólares</t>
  </si>
  <si>
    <t>Pesos</t>
  </si>
  <si>
    <t>COMPOSICION DE CUENTAS</t>
  </si>
  <si>
    <t>velocimetro</t>
  </si>
  <si>
    <t>CARTERA</t>
  </si>
  <si>
    <t>Suma de IMP. SECUNDARIO</t>
  </si>
  <si>
    <t>IMPORTE</t>
  </si>
  <si>
    <t>Etiquetas de fila</t>
  </si>
  <si>
    <t>VENCIDO&lt;30</t>
  </si>
  <si>
    <t>NO VENCIDO</t>
  </si>
  <si>
    <t>VENCIDO 90</t>
  </si>
  <si>
    <t>VENCIDO 60</t>
  </si>
  <si>
    <t>VENCIDO 30</t>
  </si>
  <si>
    <t>VENCIDO&gt;150</t>
  </si>
  <si>
    <t>Total general</t>
  </si>
  <si>
    <t xml:space="preserve">VENTAS VS CARTERA </t>
  </si>
  <si>
    <t>VENTA</t>
  </si>
  <si>
    <t>Suma de IMPORTE EN DÓLAR OFICIAL</t>
  </si>
  <si>
    <t>DIC-12</t>
  </si>
  <si>
    <t>ABR-04</t>
  </si>
  <si>
    <t>OCT-10</t>
  </si>
  <si>
    <t>ENE-01</t>
  </si>
  <si>
    <t>NOV-11</t>
  </si>
  <si>
    <t>FEB-02</t>
  </si>
  <si>
    <t>JUL-07</t>
  </si>
  <si>
    <t>MAR-03</t>
  </si>
  <si>
    <t>JUN-06</t>
  </si>
  <si>
    <t>SEPT-09</t>
  </si>
  <si>
    <t>All</t>
  </si>
  <si>
    <t>ANILLOS CARTERA</t>
  </si>
  <si>
    <t xml:space="preserve">DEUDORES </t>
  </si>
  <si>
    <t>Suma de IMP. PRINCIPAL</t>
  </si>
  <si>
    <t>DIFERENCIA</t>
  </si>
  <si>
    <t xml:space="preserve">incobrables </t>
  </si>
  <si>
    <t>GRAFICO AREA</t>
  </si>
  <si>
    <t>VALOR</t>
  </si>
  <si>
    <t>GRAFICO ZONAS</t>
  </si>
  <si>
    <t>SALDOS</t>
  </si>
  <si>
    <t>VELOCIMETRO</t>
  </si>
  <si>
    <t>Cartera</t>
  </si>
  <si>
    <t>Criterio</t>
  </si>
  <si>
    <t>Diferencia</t>
  </si>
  <si>
    <t>Meta</t>
  </si>
  <si>
    <t>POSITIVO</t>
  </si>
  <si>
    <t>ACEPTABLE</t>
  </si>
  <si>
    <t>NEGATIVO</t>
  </si>
  <si>
    <t>x</t>
  </si>
  <si>
    <t>y</t>
  </si>
  <si>
    <t>Base</t>
  </si>
  <si>
    <t>Ventas</t>
  </si>
  <si>
    <t>Puntero</t>
  </si>
  <si>
    <t>Indicador</t>
  </si>
  <si>
    <t>Dólar Divisa</t>
  </si>
  <si>
    <t>RANKING DEUDA</t>
  </si>
  <si>
    <t>ESTADO DE DEUDA</t>
  </si>
  <si>
    <t>RANKING DEUDORES</t>
  </si>
  <si>
    <t>ALERTA VENC.</t>
  </si>
  <si>
    <t>AG</t>
  </si>
  <si>
    <t>COBRANZA</t>
  </si>
  <si>
    <t>FACTVENTRECGAS</t>
  </si>
  <si>
    <t>FCANTREP</t>
  </si>
  <si>
    <t>FCELIGA</t>
  </si>
  <si>
    <t>FCELIGA_REFACT</t>
  </si>
  <si>
    <t>FCEMIPYME_REP</t>
  </si>
  <si>
    <t>FCEMIPYME_REP_REFAC</t>
  </si>
  <si>
    <t>FCEMIPYME-MAQ</t>
  </si>
  <si>
    <t>FCEMIPYME-SER</t>
  </si>
  <si>
    <t>FCVTASERV</t>
  </si>
  <si>
    <t>FDVAM</t>
  </si>
  <si>
    <t>FDVCOMUN</t>
  </si>
  <si>
    <t>FVMZFLP</t>
  </si>
  <si>
    <t>NCCEMIPYME-MAQ</t>
  </si>
  <si>
    <t>NCCEMIPYME-REP</t>
  </si>
  <si>
    <t>NCCEMIPYME-SER</t>
  </si>
  <si>
    <t>NCMAN</t>
  </si>
  <si>
    <t>NCSTOCK</t>
  </si>
  <si>
    <t>NCV</t>
  </si>
  <si>
    <t>NCVDCR</t>
  </si>
  <si>
    <t>NDCDVM</t>
  </si>
  <si>
    <t>NDCEMIPYME-MAQ</t>
  </si>
  <si>
    <t>NDCEMIPYME-REP</t>
  </si>
  <si>
    <t>NDMANUAL</t>
  </si>
  <si>
    <t>NDVI</t>
  </si>
  <si>
    <t>NDVTAELE</t>
  </si>
  <si>
    <t>RC</t>
  </si>
  <si>
    <t>RCM</t>
  </si>
  <si>
    <t>REC10.5</t>
  </si>
  <si>
    <t>VentaMaquinas</t>
  </si>
  <si>
    <t>Documento tipo</t>
  </si>
  <si>
    <t>NCELECIGA</t>
  </si>
  <si>
    <t>COBRANZAS</t>
  </si>
  <si>
    <t xml:space="preserve">           </t>
  </si>
  <si>
    <t>MONEDA</t>
  </si>
  <si>
    <t>CARTERA VENCIDA</t>
  </si>
  <si>
    <t>Jun</t>
  </si>
  <si>
    <t>May</t>
  </si>
  <si>
    <t>Abr</t>
  </si>
  <si>
    <t>Mar</t>
  </si>
  <si>
    <t>Feb</t>
  </si>
  <si>
    <t>-</t>
  </si>
  <si>
    <t>Ene</t>
  </si>
  <si>
    <t>Obj. 0,5% Incob.</t>
  </si>
  <si>
    <t>Obj. 30 días</t>
  </si>
  <si>
    <t>Var. p.p. vs mes anterior</t>
  </si>
  <si>
    <t>% Incobrables</t>
  </si>
  <si>
    <t>Var. días vs mes anterior</t>
  </si>
  <si>
    <t>Prom. Vencido (días)</t>
  </si>
  <si>
    <t>% Cartera Vencida / Total</t>
  </si>
  <si>
    <t>Cartera Vencida (USD)</t>
  </si>
  <si>
    <t>Total Cartera (USD)</t>
  </si>
  <si>
    <t>Mes</t>
  </si>
  <si>
    <t>Fecha Corte</t>
  </si>
  <si>
    <t>HISTÓRICO MENSUAL — DASHBOARD COBRANZAS SUC NOA</t>
  </si>
  <si>
    <t>Total Cartera (referencia)</t>
  </si>
  <si>
    <t>Variación</t>
  </si>
  <si>
    <t>Valor actual</t>
  </si>
  <si>
    <t>KPI</t>
  </si>
  <si>
    <t>Var. Mes ant.</t>
  </si>
  <si>
    <t>%Cartera vencida</t>
  </si>
  <si>
    <t>KPIs PARA PEGAR EN EL DASHBOARD AL CIERRE</t>
  </si>
  <si>
    <t>Cargar manualmente una fila por mes. Indicador clave: columna E (% Cartera Vencida / Total).</t>
  </si>
  <si>
    <t>Jul</t>
  </si>
  <si>
    <t>Ago</t>
  </si>
  <si>
    <t>Sept</t>
  </si>
  <si>
    <t>Oct</t>
  </si>
  <si>
    <t>Nov</t>
  </si>
  <si>
    <t>Dic</t>
  </si>
  <si>
    <t xml:space="preserve">Cartera </t>
  </si>
  <si>
    <t>MAY-05</t>
  </si>
  <si>
    <t>ID Cliente</t>
  </si>
  <si>
    <t>Nombre Cliente</t>
  </si>
  <si>
    <t>Provincia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</si>
  <si>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</si>
  <si>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</si>
  <si>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</si>
  <si>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</si>
  <si>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</si>
  <si>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</si>
  <si>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</si>
  <si>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</si>
  <si>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</si>
  <si>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</si>
  <si>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t>Cliente 11</t>
  </si>
  <si>
    <t>Cliente 12</t>
  </si>
  <si>
    <t>Cliente 13</t>
  </si>
  <si>
    <t>Cliente 14</t>
  </si>
  <si>
    <t>Cliente 15</t>
  </si>
  <si>
    <t>Cliente 16</t>
  </si>
  <si>
    <t>Cliente 17</t>
  </si>
  <si>
    <t>Cliente 18</t>
  </si>
  <si>
    <t>Cliente 19</t>
  </si>
  <si>
    <t>Cliente 20</t>
  </si>
  <si>
    <t>Cliente 21</t>
  </si>
  <si>
    <t>Cliente 22</t>
  </si>
  <si>
    <t>Cliente 23</t>
  </si>
  <si>
    <t>Cliente 24</t>
  </si>
  <si>
    <t>Cliente 25</t>
  </si>
  <si>
    <t>Cliente 26</t>
  </si>
  <si>
    <t>Cliente 27</t>
  </si>
  <si>
    <t>Cliente 28</t>
  </si>
  <si>
    <t>Cliente 29</t>
  </si>
  <si>
    <t>Cliente 30</t>
  </si>
  <si>
    <t>Cliente 31</t>
  </si>
  <si>
    <t>Cliente 32</t>
  </si>
  <si>
    <t>Cliente 33</t>
  </si>
  <si>
    <t>Cliente 34</t>
  </si>
  <si>
    <t>Cliente 35</t>
  </si>
  <si>
    <t>Cliente 36</t>
  </si>
  <si>
    <t>Cliente 37</t>
  </si>
  <si>
    <t>Cliente 38</t>
  </si>
  <si>
    <t>Cliente 39</t>
  </si>
  <si>
    <t>Cliente 40</t>
  </si>
  <si>
    <t>FC-1001</t>
  </si>
  <si>
    <t>Alquiler equipo</t>
  </si>
  <si>
    <t>FC-1002</t>
  </si>
  <si>
    <t>Mantenimiento</t>
  </si>
  <si>
    <t>FC-1003</t>
  </si>
  <si>
    <t>FC-1004</t>
  </si>
  <si>
    <t>Facturacion mensual</t>
  </si>
  <si>
    <t>FC-1005</t>
  </si>
  <si>
    <t>Service programado</t>
  </si>
  <si>
    <t>FC-1006</t>
  </si>
  <si>
    <t>Servicio de PM</t>
  </si>
  <si>
    <t>FC-1007</t>
  </si>
  <si>
    <t>Venta repuestos</t>
  </si>
  <si>
    <t>FC-1008</t>
  </si>
  <si>
    <t>Insumos varios</t>
  </si>
  <si>
    <t>FC-1009</t>
  </si>
  <si>
    <t>FC-1010</t>
  </si>
  <si>
    <t>Venta maquina</t>
  </si>
  <si>
    <t>FC-1011</t>
  </si>
  <si>
    <t>FC-1012</t>
  </si>
  <si>
    <t>FC-1013</t>
  </si>
  <si>
    <t>FC-1014</t>
  </si>
  <si>
    <t>FC-1015</t>
  </si>
  <si>
    <t>FC-1016</t>
  </si>
  <si>
    <t>FC-1017</t>
  </si>
  <si>
    <t>FC-1018</t>
  </si>
  <si>
    <t>FC-1019</t>
  </si>
  <si>
    <t>FC-1020</t>
  </si>
  <si>
    <t>FC-1021</t>
  </si>
  <si>
    <t>FC-1022</t>
  </si>
  <si>
    <t>FC-1023</t>
  </si>
  <si>
    <t>FC-1024</t>
  </si>
  <si>
    <t>FC-1025</t>
  </si>
  <si>
    <t>OT reparacion</t>
  </si>
  <si>
    <t>FC-1026</t>
  </si>
  <si>
    <t>FC-1027</t>
  </si>
  <si>
    <t>FC-1028</t>
  </si>
  <si>
    <t>FC-1029</t>
  </si>
  <si>
    <t>FC-1030</t>
  </si>
  <si>
    <t>FC-1031</t>
  </si>
  <si>
    <t>FC-1032</t>
  </si>
  <si>
    <t>FC-1033</t>
  </si>
  <si>
    <t>FC-1034</t>
  </si>
  <si>
    <t>FC-1035</t>
  </si>
  <si>
    <t>FC-1036</t>
  </si>
  <si>
    <t>FC-1037</t>
  </si>
  <si>
    <t>FC-1038</t>
  </si>
  <si>
    <t>FC-1039</t>
  </si>
  <si>
    <t>FC-1040</t>
  </si>
  <si>
    <t>FC-1041</t>
  </si>
  <si>
    <t>FC-1042</t>
  </si>
  <si>
    <t>FC-1043</t>
  </si>
  <si>
    <t>FC-1044</t>
  </si>
  <si>
    <t>FC-1045</t>
  </si>
  <si>
    <t>FC-1046</t>
  </si>
  <si>
    <t>FC-1047</t>
  </si>
  <si>
    <t>FC-1048</t>
  </si>
  <si>
    <t>AGO-08</t>
  </si>
  <si>
    <t>Cliente 57</t>
  </si>
  <si>
    <t>Cliente 44</t>
  </si>
  <si>
    <t>Cliente 52</t>
  </si>
  <si>
    <t>Cliente 42</t>
  </si>
  <si>
    <t>Cliente 59</t>
  </si>
  <si>
    <t>Cliente 58</t>
  </si>
  <si>
    <t>Cliente 51</t>
  </si>
  <si>
    <t>Cliente 60</t>
  </si>
  <si>
    <t>Cliente 54</t>
  </si>
  <si>
    <t>Cliente 41</t>
  </si>
  <si>
    <t>Cliente 53</t>
  </si>
  <si>
    <t>Cliente 46</t>
  </si>
  <si>
    <t>FC-1049</t>
  </si>
  <si>
    <t>FC-1050</t>
  </si>
  <si>
    <t>FC-1051</t>
  </si>
  <si>
    <t>FC-1052</t>
  </si>
  <si>
    <t>FC-1053</t>
  </si>
  <si>
    <t>FC-1054</t>
  </si>
  <si>
    <t>FC-1055</t>
  </si>
  <si>
    <t>FC-1056</t>
  </si>
  <si>
    <t>FC-1057</t>
  </si>
  <si>
    <t>Cliente 47</t>
  </si>
  <si>
    <t>FC-1058</t>
  </si>
  <si>
    <t>FC-1059</t>
  </si>
  <si>
    <t>FC-1060</t>
  </si>
  <si>
    <t>Cliente 55</t>
  </si>
  <si>
    <t>FC-1061</t>
  </si>
  <si>
    <t>Cliente 43</t>
  </si>
  <si>
    <t>Cliente 45</t>
  </si>
  <si>
    <t>Cliente 48</t>
  </si>
  <si>
    <t>Cliente 49</t>
  </si>
  <si>
    <t>Cliente 50</t>
  </si>
  <si>
    <t>Cliente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</si>
</sst>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* #,##0.00_ ;_ * \-#,##0.00_ ;_ * &quot;-&quot;??_ ;_ @_ "/>
    <numFmt numFmtId="166" formatCode="0.0%"/>
    <numFmt numFmtId="167" formatCode="_-&quot;$&quot;\ * #,##0_-;\-&quot;$&quot;\ * #,##0_-;_-&quot;$&quot;\ * &quot;-&quot;??_-;_-@_-"/>
    <numFmt numFmtId="168" formatCode="[$USD]\ #,##0.00"/>
    <numFmt numFmtId="169" formatCode="_-[$USD]\ * #,##0.00_-;\-[$USD]\ * #,##0.00_-;_-[$USD]\ * &quot;-&quot;??_-;_-@_-"/>
    <numFmt numFmtId="170" formatCode="_-[$USD]\ * #,##0_-;\-[$USD]\ * #,##0_-;_-[$USD]\ * &quot;-&quot;??_-;_-@_-"/>
    <numFmt numFmtId="171" formatCode="_-[$USD]\ * #,##0.0_-;\-[$USD]\ * #,##0.0_-;_-[$USD]\ * &quot;-&quot;??_-;_-@_-"/>
    <numFmt numFmtId="172" formatCode="[$USD]\ #,##0"/>
    <numFmt numFmtId="173" formatCode="0.0"/>
    <numFmt numFmtId="174" formatCode="\+0.00%;\-0.00%"/>
    <numFmt numFmtId="175" formatCode="\$#,##0"/>
    <numFmt numFmtId="176" formatCode="dd/mm/yyyy"/>
    <numFmt numFmtId="177" formatCode="\+0;\-0"/>
    <numFmt numFmtId="178" formatCode="[$USD]\ #,##0.0"/>
  </numFmts>
  <fonts count="29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Bodoni MT Black"/>
      <family val="1"/>
    </font>
    <font>
      <sz val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1"/>
      <color theme="4" tint="-0.2499465926084170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Arial"/>
      <family val="2"/>
    </font>
    <font>
      <b/>
      <sz val="11"/>
      <color rgb="FF6B2D7A"/>
      <name val="Arial"/>
      <family val="2"/>
    </font>
    <font>
      <sz val="11"/>
      <color rgb="FF999999"/>
      <name val="Cambria"/>
      <family val="1"/>
    </font>
    <font>
      <sz val="11"/>
      <color rgb="FF1F1FF5"/>
      <name val="Arial"/>
      <family val="2"/>
    </font>
    <font>
      <b/>
      <sz val="11"/>
      <color rgb="FFFFFFFF"/>
      <name val="Arial"/>
      <family val="2"/>
    </font>
    <font>
      <i/>
      <sz val="9"/>
      <color rgb="FF666666"/>
      <name val="Arial"/>
      <family val="2"/>
    </font>
    <font>
      <b/>
      <sz val="14"/>
      <color rgb="FF0F1B2D"/>
      <name val="Arial"/>
      <family val="2"/>
    </font>
    <font>
      <i/>
      <sz val="11"/>
      <name val="Arial"/>
      <family val="2"/>
    </font>
    <font>
      <b/>
      <sz val="14"/>
      <color rgb="FF6B2D7A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b/>
      <i/>
      <sz val="2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D7DD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0F1B2D"/>
        <bgColor rgb="FF16263B"/>
      </patternFill>
    </fill>
    <fill>
      <patternFill patternType="solid">
        <fgColor rgb="FFF0A5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rgb="FF16263B"/>
      </patternFill>
    </fill>
  </fills>
  <borders count="23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1">
    <xf numFmtId="0" fontId="0" fillId="0" borderId="0"/>
    <xf numFmtId="43" fontId="3" fillId="0" borderId="0" applyFont="0" applyFill="0" applyBorder="0" applyAlignment="0" applyProtection="0"/>
    <xf numFmtId="0" fontId="5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6" fillId="0" borderId="0"/>
    <xf numFmtId="9" fontId="3" fillId="0" borderId="0" applyFont="0" applyFill="0" applyBorder="0" applyAlignment="0" applyProtection="0"/>
    <xf numFmtId="0" fontId="1" fillId="0" borderId="0"/>
  </cellStyleXfs>
  <cellXfs count="13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1" applyFont="1" applyAlignment="1">
      <alignment horizontal="center"/>
    </xf>
    <xf numFmtId="3" fontId="4" fillId="0" borderId="0" xfId="0" applyNumberFormat="1" applyFont="1"/>
    <xf numFmtId="1" fontId="4" fillId="0" borderId="0" xfId="0" applyNumberFormat="1" applyFont="1"/>
    <xf numFmtId="1" fontId="4" fillId="0" borderId="0" xfId="0" applyNumberFormat="1" applyFont="1" applyAlignment="1">
      <alignment horizontal="center"/>
    </xf>
    <xf numFmtId="14" fontId="0" fillId="0" borderId="0" xfId="0" applyNumberFormat="1"/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8" fillId="2" borderId="3" xfId="0" applyFont="1" applyFill="1" applyBorder="1"/>
    <xf numFmtId="0" fontId="8" fillId="2" borderId="4" xfId="0" applyFont="1" applyFill="1" applyBorder="1" applyAlignment="1">
      <alignment horizontal="left"/>
    </xf>
    <xf numFmtId="43" fontId="0" fillId="0" borderId="0" xfId="1" applyFont="1"/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10" fontId="0" fillId="0" borderId="0" xfId="0" applyNumberFormat="1"/>
    <xf numFmtId="166" fontId="0" fillId="0" borderId="0" xfId="0" applyNumberFormat="1"/>
    <xf numFmtId="9" fontId="0" fillId="0" borderId="0" xfId="0" applyNumberFormat="1"/>
    <xf numFmtId="0" fontId="0" fillId="0" borderId="0" xfId="9" applyNumberFormat="1" applyFont="1" applyAlignment="1">
      <alignment horizontal="center"/>
    </xf>
    <xf numFmtId="167" fontId="0" fillId="0" borderId="0" xfId="0" applyNumberFormat="1"/>
    <xf numFmtId="0" fontId="11" fillId="4" borderId="0" xfId="0" applyFont="1" applyFill="1"/>
    <xf numFmtId="0" fontId="0" fillId="0" borderId="7" xfId="0" applyBorder="1"/>
    <xf numFmtId="0" fontId="0" fillId="4" borderId="7" xfId="0" applyFill="1" applyBorder="1"/>
    <xf numFmtId="0" fontId="11" fillId="0" borderId="0" xfId="0" applyFont="1"/>
    <xf numFmtId="9" fontId="0" fillId="0" borderId="7" xfId="0" applyNumberFormat="1" applyBorder="1"/>
    <xf numFmtId="0" fontId="0" fillId="0" borderId="0" xfId="0" applyAlignment="1">
      <alignment horizontal="center"/>
    </xf>
    <xf numFmtId="168" fontId="0" fillId="0" borderId="0" xfId="0" applyNumberFormat="1"/>
    <xf numFmtId="169" fontId="0" fillId="0" borderId="0" xfId="0" applyNumberFormat="1"/>
    <xf numFmtId="169" fontId="2" fillId="0" borderId="0" xfId="0" applyNumberFormat="1" applyFont="1"/>
    <xf numFmtId="169" fontId="8" fillId="0" borderId="0" xfId="0" applyNumberFormat="1" applyFont="1"/>
    <xf numFmtId="0" fontId="0" fillId="0" borderId="0" xfId="0" applyAlignment="1">
      <alignment horizontal="right"/>
    </xf>
    <xf numFmtId="166" fontId="0" fillId="0" borderId="0" xfId="9" applyNumberFormat="1" applyFont="1"/>
    <xf numFmtId="14" fontId="0" fillId="0" borderId="0" xfId="0" applyNumberFormat="1" applyAlignment="1">
      <alignment horizontal="center"/>
    </xf>
    <xf numFmtId="0" fontId="0" fillId="5" borderId="0" xfId="0" applyFill="1"/>
    <xf numFmtId="166" fontId="0" fillId="0" borderId="7" xfId="9" applyNumberFormat="1" applyFont="1" applyBorder="1"/>
    <xf numFmtId="9" fontId="0" fillId="0" borderId="7" xfId="9" applyFont="1" applyBorder="1"/>
    <xf numFmtId="170" fontId="0" fillId="0" borderId="0" xfId="0" applyNumberFormat="1"/>
    <xf numFmtId="10" fontId="0" fillId="0" borderId="0" xfId="9" applyNumberFormat="1" applyFont="1"/>
    <xf numFmtId="44" fontId="0" fillId="6" borderId="0" xfId="0" applyNumberFormat="1" applyFill="1"/>
    <xf numFmtId="0" fontId="0" fillId="6" borderId="0" xfId="0" applyFill="1"/>
    <xf numFmtId="0" fontId="9" fillId="6" borderId="0" xfId="0" applyFont="1" applyFill="1"/>
    <xf numFmtId="14" fontId="12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left"/>
    </xf>
    <xf numFmtId="171" fontId="0" fillId="0" borderId="0" xfId="0" applyNumberFormat="1"/>
    <xf numFmtId="172" fontId="0" fillId="0" borderId="0" xfId="0" applyNumberFormat="1"/>
    <xf numFmtId="0" fontId="13" fillId="0" borderId="0" xfId="0" pivotButton="1" applyFont="1" applyAlignment="1">
      <alignment wrapText="1"/>
    </xf>
    <xf numFmtId="168" fontId="14" fillId="0" borderId="9" xfId="0" applyNumberFormat="1" applyFont="1" applyBorder="1"/>
    <xf numFmtId="168" fontId="14" fillId="0" borderId="11" xfId="0" applyNumberFormat="1" applyFont="1" applyBorder="1"/>
    <xf numFmtId="168" fontId="14" fillId="0" borderId="8" xfId="0" applyNumberFormat="1" applyFont="1" applyBorder="1"/>
    <xf numFmtId="168" fontId="14" fillId="0" borderId="10" xfId="0" applyNumberFormat="1" applyFont="1" applyBorder="1"/>
    <xf numFmtId="0" fontId="14" fillId="0" borderId="7" xfId="0" applyFont="1" applyBorder="1" applyAlignment="1">
      <alignment horizontal="left"/>
    </xf>
    <xf numFmtId="168" fontId="14" fillId="0" borderId="12" xfId="0" applyNumberFormat="1" applyFont="1" applyBorder="1"/>
    <xf numFmtId="168" fontId="14" fillId="0" borderId="13" xfId="0" applyNumberFormat="1" applyFont="1" applyBorder="1"/>
    <xf numFmtId="0" fontId="14" fillId="0" borderId="15" xfId="0" applyFont="1" applyBorder="1" applyAlignment="1">
      <alignment horizontal="left"/>
    </xf>
    <xf numFmtId="0" fontId="14" fillId="0" borderId="16" xfId="0" applyFont="1" applyBorder="1" applyAlignment="1">
      <alignment horizontal="left"/>
    </xf>
    <xf numFmtId="168" fontId="14" fillId="0" borderId="17" xfId="0" applyNumberFormat="1" applyFont="1" applyBorder="1"/>
    <xf numFmtId="168" fontId="14" fillId="0" borderId="18" xfId="0" applyNumberFormat="1" applyFont="1" applyBorder="1"/>
    <xf numFmtId="168" fontId="14" fillId="0" borderId="19" xfId="0" applyNumberFormat="1" applyFont="1" applyBorder="1"/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168" fontId="11" fillId="0" borderId="0" xfId="0" applyNumberFormat="1" applyFont="1"/>
    <xf numFmtId="14" fontId="4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left"/>
    </xf>
    <xf numFmtId="43" fontId="4" fillId="0" borderId="0" xfId="1" applyFont="1" applyFill="1"/>
    <xf numFmtId="43" fontId="4" fillId="0" borderId="0" xfId="1" applyFont="1"/>
    <xf numFmtId="14" fontId="4" fillId="0" borderId="0" xfId="0" applyNumberFormat="1" applyFont="1"/>
    <xf numFmtId="14" fontId="4" fillId="0" borderId="0" xfId="0" applyNumberFormat="1" applyFont="1" applyAlignment="1">
      <alignment horizontal="right"/>
    </xf>
    <xf numFmtId="170" fontId="11" fillId="0" borderId="0" xfId="0" applyNumberFormat="1" applyFont="1"/>
    <xf numFmtId="173" fontId="0" fillId="0" borderId="0" xfId="0" applyNumberFormat="1"/>
    <xf numFmtId="168" fontId="14" fillId="0" borderId="0" xfId="0" applyNumberFormat="1" applyFont="1"/>
    <xf numFmtId="0" fontId="0" fillId="4" borderId="0" xfId="0" applyFill="1" applyAlignment="1">
      <alignment horizontal="center" vertical="center" wrapText="1"/>
    </xf>
    <xf numFmtId="178" fontId="0" fillId="0" borderId="0" xfId="0" applyNumberFormat="1"/>
    <xf numFmtId="0" fontId="0" fillId="0" borderId="8" xfId="0" applyBorder="1"/>
    <xf numFmtId="178" fontId="0" fillId="0" borderId="9" xfId="0" applyNumberFormat="1" applyBorder="1"/>
    <xf numFmtId="0" fontId="0" fillId="0" borderId="12" xfId="0" applyBorder="1"/>
    <xf numFmtId="178" fontId="0" fillId="0" borderId="13" xfId="0" applyNumberFormat="1" applyBorder="1"/>
    <xf numFmtId="0" fontId="0" fillId="0" borderId="10" xfId="0" applyBorder="1"/>
    <xf numFmtId="178" fontId="0" fillId="0" borderId="11" xfId="0" applyNumberFormat="1" applyBorder="1"/>
    <xf numFmtId="0" fontId="14" fillId="0" borderId="14" xfId="0" applyFont="1" applyBorder="1" applyAlignment="1">
      <alignment horizontal="left"/>
    </xf>
    <xf numFmtId="0" fontId="11" fillId="9" borderId="20" xfId="0" applyFont="1" applyFill="1" applyBorder="1" applyAlignment="1">
      <alignment horizontal="center"/>
    </xf>
    <xf numFmtId="170" fontId="0" fillId="0" borderId="21" xfId="0" applyNumberFormat="1" applyBorder="1"/>
    <xf numFmtId="0" fontId="23" fillId="0" borderId="0" xfId="0" applyFont="1"/>
    <xf numFmtId="176" fontId="20" fillId="0" borderId="12" xfId="0" applyNumberFormat="1" applyFont="1" applyBorder="1" applyAlignment="1">
      <alignment horizontal="center"/>
    </xf>
    <xf numFmtId="176" fontId="20" fillId="0" borderId="18" xfId="0" applyNumberFormat="1" applyFont="1" applyBorder="1" applyAlignment="1">
      <alignment horizontal="center"/>
    </xf>
    <xf numFmtId="175" fontId="20" fillId="0" borderId="18" xfId="0" applyNumberFormat="1" applyFont="1" applyBorder="1" applyAlignment="1">
      <alignment horizontal="center"/>
    </xf>
    <xf numFmtId="166" fontId="18" fillId="0" borderId="18" xfId="0" applyNumberFormat="1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10" fontId="20" fillId="0" borderId="18" xfId="0" applyNumberFormat="1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174" fontId="17" fillId="0" borderId="18" xfId="0" applyNumberFormat="1" applyFont="1" applyBorder="1" applyAlignment="1">
      <alignment horizontal="center"/>
    </xf>
    <xf numFmtId="174" fontId="17" fillId="0" borderId="13" xfId="0" applyNumberFormat="1" applyFont="1" applyBorder="1" applyAlignment="1">
      <alignment horizontal="center"/>
    </xf>
    <xf numFmtId="0" fontId="0" fillId="7" borderId="18" xfId="0" applyFill="1" applyBorder="1" applyAlignment="1">
      <alignment horizontal="center"/>
    </xf>
    <xf numFmtId="10" fontId="18" fillId="7" borderId="18" xfId="0" applyNumberFormat="1" applyFont="1" applyFill="1" applyBorder="1" applyAlignment="1">
      <alignment horizontal="center"/>
    </xf>
    <xf numFmtId="174" fontId="17" fillId="7" borderId="18" xfId="0" applyNumberFormat="1" applyFont="1" applyFill="1" applyBorder="1" applyAlignment="1">
      <alignment horizontal="center"/>
    </xf>
    <xf numFmtId="0" fontId="17" fillId="7" borderId="18" xfId="0" applyFont="1" applyFill="1" applyBorder="1" applyAlignment="1">
      <alignment horizontal="center"/>
    </xf>
    <xf numFmtId="174" fontId="17" fillId="7" borderId="13" xfId="0" applyNumberFormat="1" applyFont="1" applyFill="1" applyBorder="1" applyAlignment="1">
      <alignment horizontal="center"/>
    </xf>
    <xf numFmtId="176" fontId="20" fillId="0" borderId="10" xfId="0" applyNumberFormat="1" applyFont="1" applyBorder="1" applyAlignment="1">
      <alignment horizontal="center"/>
    </xf>
    <xf numFmtId="176" fontId="20" fillId="0" borderId="19" xfId="0" applyNumberFormat="1" applyFont="1" applyBorder="1" applyAlignment="1">
      <alignment horizontal="center"/>
    </xf>
    <xf numFmtId="0" fontId="0" fillId="7" borderId="19" xfId="0" applyFill="1" applyBorder="1" applyAlignment="1">
      <alignment horizontal="center"/>
    </xf>
    <xf numFmtId="10" fontId="18" fillId="7" borderId="19" xfId="0" applyNumberFormat="1" applyFont="1" applyFill="1" applyBorder="1" applyAlignment="1">
      <alignment horizontal="center"/>
    </xf>
    <xf numFmtId="174" fontId="17" fillId="7" borderId="19" xfId="0" applyNumberFormat="1" applyFont="1" applyFill="1" applyBorder="1" applyAlignment="1">
      <alignment horizontal="center"/>
    </xf>
    <xf numFmtId="0" fontId="17" fillId="7" borderId="19" xfId="0" applyFont="1" applyFill="1" applyBorder="1" applyAlignment="1">
      <alignment horizontal="center"/>
    </xf>
    <xf numFmtId="174" fontId="17" fillId="7" borderId="11" xfId="0" applyNumberFormat="1" applyFont="1" applyFill="1" applyBorder="1" applyAlignment="1">
      <alignment horizontal="center"/>
    </xf>
    <xf numFmtId="0" fontId="27" fillId="11" borderId="8" xfId="0" applyFont="1" applyFill="1" applyBorder="1" applyAlignment="1">
      <alignment horizontal="center" vertical="center" wrapText="1"/>
    </xf>
    <xf numFmtId="0" fontId="27" fillId="11" borderId="17" xfId="0" applyFont="1" applyFill="1" applyBorder="1" applyAlignment="1">
      <alignment horizontal="center" vertical="center" wrapText="1"/>
    </xf>
    <xf numFmtId="0" fontId="27" fillId="11" borderId="9" xfId="0" applyFont="1" applyFill="1" applyBorder="1" applyAlignment="1">
      <alignment horizontal="center" vertical="center" wrapText="1"/>
    </xf>
    <xf numFmtId="0" fontId="27" fillId="11" borderId="8" xfId="0" applyFont="1" applyFill="1" applyBorder="1" applyAlignment="1">
      <alignment horizontal="center" wrapText="1"/>
    </xf>
    <xf numFmtId="0" fontId="27" fillId="11" borderId="9" xfId="0" applyFont="1" applyFill="1" applyBorder="1" applyAlignment="1">
      <alignment horizontal="center" wrapText="1"/>
    </xf>
    <xf numFmtId="0" fontId="19" fillId="0" borderId="12" xfId="0" applyFont="1" applyBorder="1"/>
    <xf numFmtId="166" fontId="19" fillId="0" borderId="13" xfId="0" applyNumberFormat="1" applyFont="1" applyBorder="1"/>
    <xf numFmtId="0" fontId="19" fillId="0" borderId="10" xfId="0" applyFont="1" applyBorder="1"/>
    <xf numFmtId="166" fontId="19" fillId="0" borderId="11" xfId="0" applyNumberFormat="1" applyFont="1" applyBorder="1"/>
    <xf numFmtId="0" fontId="26" fillId="0" borderId="12" xfId="0" applyFont="1" applyBorder="1"/>
    <xf numFmtId="10" fontId="25" fillId="0" borderId="18" xfId="0" applyNumberFormat="1" applyFont="1" applyBorder="1"/>
    <xf numFmtId="174" fontId="0" fillId="0" borderId="18" xfId="0" applyNumberFormat="1" applyBorder="1"/>
    <xf numFmtId="43" fontId="24" fillId="0" borderId="13" xfId="1" applyFont="1" applyBorder="1"/>
    <xf numFmtId="175" fontId="25" fillId="0" borderId="18" xfId="0" applyNumberFormat="1" applyFont="1" applyBorder="1"/>
    <xf numFmtId="0" fontId="0" fillId="0" borderId="18" xfId="0" applyBorder="1"/>
    <xf numFmtId="1" fontId="25" fillId="0" borderId="18" xfId="0" applyNumberFormat="1" applyFont="1" applyBorder="1"/>
    <xf numFmtId="177" fontId="0" fillId="0" borderId="18" xfId="0" applyNumberFormat="1" applyBorder="1"/>
    <xf numFmtId="0" fontId="26" fillId="0" borderId="10" xfId="0" applyFont="1" applyBorder="1"/>
    <xf numFmtId="10" fontId="25" fillId="0" borderId="19" xfId="0" applyNumberFormat="1" applyFont="1" applyBorder="1"/>
    <xf numFmtId="174" fontId="0" fillId="0" borderId="19" xfId="0" applyNumberFormat="1" applyBorder="1"/>
    <xf numFmtId="43" fontId="24" fillId="0" borderId="11" xfId="1" applyFont="1" applyBorder="1"/>
    <xf numFmtId="0" fontId="21" fillId="8" borderId="8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9" xfId="0" applyFont="1" applyFill="1" applyBorder="1" applyAlignment="1">
      <alignment horizontal="left" vertical="center" wrapText="1"/>
    </xf>
    <xf numFmtId="0" fontId="1" fillId="0" borderId="22" xfId="10" applyBorder="1"/>
    <xf numFmtId="0" fontId="11" fillId="4" borderId="0" xfId="0" applyFont="1" applyFill="1" applyAlignment="1">
      <alignment horizontal="center"/>
    </xf>
    <xf numFmtId="0" fontId="22" fillId="0" borderId="0" xfId="0" applyFont="1"/>
    <xf numFmtId="0" fontId="28" fillId="10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168" fontId="14" fillId="0" borderId="0" xfId="0" applyNumberFormat="1" applyFont="1" applyFill="1"/>
  </cellXfs>
  <cellStyles count="11">
    <cellStyle name="Millares" xfId="1" builtinId="3"/>
    <cellStyle name="Millares 2" xfId="7" xr:uid="{03135016-3C3D-4608-9328-D1C396875EAB}"/>
    <cellStyle name="Millares 3" xfId="5" xr:uid="{496D6C29-1C59-41CE-9521-58616524AB03}"/>
    <cellStyle name="Moneda 2" xfId="3" xr:uid="{D11C56BA-88F5-4F0E-80F1-64C0871F6FE6}"/>
    <cellStyle name="Normal" xfId="0" builtinId="0"/>
    <cellStyle name="Normal 2" xfId="2" xr:uid="{BEDB7D1A-4009-42A1-A653-9F4AB1556305}"/>
    <cellStyle name="Normal 3" xfId="8" xr:uid="{FCB2F0E4-5F02-4203-A970-2B4F30A3B58F}"/>
    <cellStyle name="Normal 4" xfId="10" xr:uid="{BC4DA9AE-93A7-4FC0-8751-66A8C8ACB1B9}"/>
    <cellStyle name="Porcentaje" xfId="9" builtinId="5"/>
    <cellStyle name="Porcentaje 2" xfId="6" xr:uid="{22AE6FF2-26A8-4E68-852B-6542972D009F}"/>
    <cellStyle name="Porcentaje 3" xfId="4" xr:uid="{662F2F36-9102-49BC-B9B9-13ADE04E04E8}"/>
  </cellStyles>
  <dxfs count="7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19" formatCode="d/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numFmt numFmtId="166" formatCode="0.0%"/>
    </dxf>
    <dxf>
      <fill>
        <patternFill>
          <bgColor auto="1"/>
        </patternFill>
      </fill>
    </dxf>
    <dxf>
      <font>
        <color theme="4" tint="-0.24994659260841701"/>
      </font>
      <numFmt numFmtId="168" formatCode="[$USD]\ #,##0.00"/>
    </dxf>
    <dxf>
      <font>
        <color theme="4" tint="-0.24994659260841701"/>
      </font>
      <numFmt numFmtId="168" formatCode="[$USD]\ #,##0.00"/>
    </dxf>
    <dxf>
      <numFmt numFmtId="169" formatCode="_-[$USD]\ * #,##0.00_-;\-[$USD]\ * #,##0.00_-;_-[$USD]\ * &quot;-&quot;??_-;_-@_-"/>
    </dxf>
    <dxf>
      <numFmt numFmtId="168" formatCode="[$USD]\ #,##0.00"/>
    </dxf>
    <dxf>
      <font>
        <color theme="4" tint="-0.24994659260841701"/>
      </font>
    </dxf>
    <dxf>
      <font>
        <color theme="4" tint="-0.24994659260841701"/>
      </font>
    </dxf>
    <dxf>
      <font>
        <color theme="4" tint="-0.24994659260841701"/>
      </font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vertical style="hair">
          <color indexed="64"/>
        </vertical>
        <horizontal style="hair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alignment wrapText="1"/>
    </dxf>
    <dxf>
      <numFmt numFmtId="168" formatCode="[$USD]\ #,##0.00"/>
    </dxf>
    <dxf>
      <numFmt numFmtId="169" formatCode="_-[$USD]\ * #,##0.00_-;\-[$USD]\ * #,##0.00_-;_-[$USD]\ * &quot;-&quot;??_-;_-@_-"/>
    </dxf>
    <dxf>
      <numFmt numFmtId="169" formatCode="_-[$USD]\ * #,##0.00_-;\-[$USD]\ * #,##0.00_-;_-[$USD]\ * &quot;-&quot;??_-;_-@_-"/>
    </dxf>
    <dxf>
      <numFmt numFmtId="168" formatCode="[$USD]\ #,##0.00"/>
    </dxf>
    <dxf>
      <numFmt numFmtId="170" formatCode="_-[$USD]\ * #,##0_-;\-[$USD]\ * #,##0_-;_-[$USD]\ * &quot;-&quot;??_-;_-@_-"/>
    </dxf>
    <dxf>
      <numFmt numFmtId="171" formatCode="_-[$USD]\ * #,##0.0_-;\-[$USD]\ * #,##0.0_-;_-[$USD]\ * &quot;-&quot;??_-;_-@_-"/>
    </dxf>
    <dxf>
      <numFmt numFmtId="169" formatCode="_-[$USD]\ * #,##0.00_-;\-[$USD]\ * #,##0.00_-;_-[$USD]\ * &quot;-&quot;??_-;_-@_-"/>
    </dxf>
    <dxf>
      <numFmt numFmtId="169" formatCode="_-[$USD]\ * #,##0.00_-;\-[$USD]\ * #,##0.00_-;_-[$USD]\ * &quot;-&quot;??_-;_-@_-"/>
    </dxf>
    <dxf>
      <numFmt numFmtId="169" formatCode="_-[$USD]\ * #,##0.00_-;\-[$USD]\ * #,##0.00_-;_-[$USD]\ * &quot;-&quot;??_-;_-@_-"/>
    </dxf>
    <dxf>
      <numFmt numFmtId="168" formatCode="[$USD]\ #,##0.00"/>
    </dxf>
    <dxf>
      <numFmt numFmtId="168" formatCode="[$USD]\ #,##0.0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theme="8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8"/>
          <bgColor theme="8"/>
        </patternFill>
      </fill>
      <alignment horizontal="center" vertical="bottom" textRotation="0" wrapText="0" indent="0" justifyLastLine="0" shrinkToFit="0" readingOrder="0"/>
    </dxf>
    <dxf>
      <font>
        <b/>
        <i/>
        <u/>
        <sz val="9"/>
      </font>
      <fill>
        <patternFill patternType="solid">
          <fgColor theme="8" tint="-0.24994659260841701"/>
          <bgColor auto="1"/>
        </patternFill>
      </fill>
      <border>
        <left style="medium">
          <color theme="8" tint="-0.24994659260841701"/>
        </left>
        <right style="medium">
          <color theme="8" tint="-0.24994659260841701"/>
        </right>
        <top style="medium">
          <color theme="8" tint="-0.24994659260841701"/>
        </top>
        <bottom style="medium">
          <color theme="8" tint="-0.24994659260841701"/>
        </bottom>
      </border>
    </dxf>
    <dxf>
      <font>
        <b/>
        <i val="0"/>
        <sz val="9"/>
        <color theme="8" tint="0.79998168889431442"/>
      </font>
      <fill>
        <gradientFill type="path">
          <stop position="0">
            <color theme="8" tint="-0.25098422193060094"/>
          </stop>
          <stop position="1">
            <color theme="8"/>
          </stop>
        </gradientFill>
      </fill>
      <border>
        <left style="thick">
          <color theme="8" tint="-0.24994659260841701"/>
        </left>
        <right style="thick">
          <color theme="8" tint="-0.24994659260841701"/>
        </right>
        <top style="thick">
          <color theme="8" tint="-0.24994659260841701"/>
        </top>
        <bottom style="thick">
          <color theme="8" tint="-0.24994659260841701"/>
        </bottom>
      </border>
    </dxf>
    <dxf>
      <font>
        <sz val="9"/>
        <color theme="8" tint="0.79998168889431442"/>
        <name val="Aptos Display"/>
        <family val="2"/>
        <scheme val="major"/>
      </font>
      <fill>
        <patternFill patternType="none">
          <fgColor indexed="64"/>
          <bgColor auto="1"/>
        </patternFill>
      </fill>
      <border>
        <left style="thick">
          <color theme="8" tint="-0.24994659260841701"/>
        </left>
        <right style="thick">
          <color theme="8" tint="-0.24994659260841701"/>
        </right>
        <top style="thick">
          <color theme="8" tint="-0.24994659260841701"/>
        </top>
        <bottom style="thick">
          <color theme="8" tint="-0.24994659260841701"/>
        </bottom>
      </border>
    </dxf>
    <dxf>
      <font>
        <b/>
        <i/>
        <sz val="9"/>
      </font>
      <fill>
        <gradientFill degree="90">
          <stop position="0">
            <color theme="8" tint="-0.25098422193060094"/>
          </stop>
          <stop position="1">
            <color theme="8"/>
          </stop>
        </gradient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/>
        <sz val="9"/>
        <color theme="8" tint="0.79995117038483843"/>
      </font>
      <fill>
        <gradientFill degree="135">
          <stop position="0">
            <color theme="8" tint="-0.25098422193060094"/>
          </stop>
          <stop position="1">
            <color theme="8"/>
          </stop>
        </gradientFill>
      </fill>
      <border>
        <left style="thick">
          <color theme="8" tint="-0.24994659260841701"/>
        </left>
        <right style="thick">
          <color theme="8" tint="-0.24994659260841701"/>
        </right>
        <top style="thick">
          <color theme="8" tint="-0.24994659260841701"/>
        </top>
        <bottom style="thick">
          <color theme="8" tint="-0.24994659260841701"/>
        </bottom>
      </border>
    </dxf>
    <dxf>
      <font>
        <b/>
        <i/>
        <sz val="10"/>
        <color theme="0"/>
        <name val="Abadi"/>
        <family val="2"/>
        <scheme val="none"/>
      </font>
      <fill>
        <patternFill patternType="solid">
          <fgColor auto="1"/>
          <bgColor rgb="FF0F1B2D"/>
        </patternFill>
      </fill>
      <border>
        <left style="double">
          <color rgb="FF0F1B2D"/>
        </left>
        <right style="double">
          <color rgb="FF0F1B2D"/>
        </right>
        <top style="double">
          <color rgb="FF0F1B2D"/>
        </top>
        <bottom style="double">
          <color rgb="FF0F1B2D"/>
        </bottom>
      </border>
    </dxf>
    <dxf>
      <font>
        <b/>
        <i val="0"/>
        <sz val="9"/>
        <color rgb="FFEAF0F7"/>
      </font>
      <fill>
        <patternFill patternType="solid">
          <fgColor auto="1"/>
          <bgColor rgb="FF0F1B2D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</dxfs>
  <tableStyles count="8" defaultTableStyle="TableStyleMedium2" defaultPivotStyle="PivotStyleLight16">
    <tableStyle name="Estilo de segmentación de datos 1" pivot="0" table="0" count="1" xr9:uid="{51CBA20A-7A4E-4989-9A05-94EF5A0059F6}">
      <tableStyleElement type="wholeTable" dxfId="76"/>
    </tableStyle>
    <tableStyle name="Estilo de segmentación de datos 2" pivot="0" table="0" count="1" xr9:uid="{3CAAB452-30F6-4843-9C22-BE9F75FC01DB}"/>
    <tableStyle name="Estilo de segmentación de datos 3" pivot="0" table="0" count="4" xr9:uid="{43ECDF37-0A36-493D-8684-57B7CBD2AAE6}">
      <tableStyleElement type="wholeTable" dxfId="75"/>
      <tableStyleElement type="headerRow" dxfId="74"/>
    </tableStyle>
    <tableStyle name="Estilo de segmentación de datos 4" pivot="0" table="0" count="0" xr9:uid="{3E78F973-3239-4CC3-99DD-D49DA802813A}"/>
    <tableStyle name="Estilo de segmentación de datos 5" pivot="0" table="0" count="5" xr9:uid="{AA67A766-4953-48B3-9056-17C370F1A2DA}">
      <tableStyleElement type="wholeTable" dxfId="73"/>
      <tableStyleElement type="headerRow" dxfId="72"/>
    </tableStyle>
    <tableStyle name="Estilo de segmentación de datos 6" pivot="0" table="0" count="1" xr9:uid="{32A89BB3-E435-4425-9861-107C0FE658E8}">
      <tableStyleElement type="wholeTable" dxfId="71"/>
    </tableStyle>
    <tableStyle name="Estilo de segmentación de datos 7" pivot="0" table="0" count="5" xr9:uid="{7CB7E88C-91A7-40B2-83B7-C8FA28C5643B}">
      <tableStyleElement type="wholeTable" dxfId="70"/>
      <tableStyleElement type="headerRow" dxfId="69"/>
    </tableStyle>
    <tableStyle name="Invisible" pivot="0" table="0" count="0" xr9:uid="{29813065-3DC0-47F1-B379-9975BED8F230}"/>
  </tableStyles>
  <colors>
    <mruColors>
      <color rgb="FFB57BC9"/>
      <color rgb="FFEAF0F7"/>
      <color rgb="FFEBC279"/>
      <color rgb="FFFFFF99"/>
      <color rgb="FFE0A030"/>
      <color rgb="FFF0A500"/>
      <color rgb="FF6B2D7A"/>
      <color rgb="FFF4F6F9"/>
      <color rgb="FF4A90D9"/>
      <color rgb="FF0F1B2D"/>
    </mruColors>
  </colors>
  <extLst>
    <ext xmlns:x14="http://schemas.microsoft.com/office/spreadsheetml/2009/9/main" uri="{46F421CA-312F-682f-3DD2-61675219B42D}">
      <x14:dxfs count="9">
        <dxf>
          <font>
            <b/>
            <i/>
            <sz val="9"/>
          </font>
          <fill>
            <patternFill patternType="none">
              <fgColor indexed="64"/>
              <bgColor auto="1"/>
            </patternFill>
          </fill>
          <border>
            <left style="medium">
              <color auto="1"/>
            </left>
            <right style="medium">
              <color auto="1"/>
            </right>
            <top style="medium">
              <color auto="1"/>
            </top>
            <bottom style="medium">
              <color auto="1"/>
            </bottom>
          </border>
        </dxf>
        <dxf>
          <font>
            <b/>
            <i val="0"/>
            <sz val="9"/>
          </font>
          <fill>
            <patternFill patternType="solid">
              <fgColor theme="8" tint="-0.499984740745262"/>
              <bgColor auto="1"/>
            </patternFill>
          </fill>
          <border diagonalDown="1">
            <left style="medium">
              <color theme="8"/>
            </left>
            <right style="medium">
              <color theme="8"/>
            </right>
            <top style="medium">
              <color theme="8"/>
            </top>
            <bottom style="medium">
              <color theme="8"/>
            </bottom>
            <diagonal style="thin">
              <color auto="1"/>
            </diagonal>
          </border>
        </dxf>
        <dxf>
          <fill>
            <patternFill patternType="solid">
              <fgColor theme="8" tint="-0.24994659260841701"/>
              <bgColor auto="1"/>
            </patternFill>
          </fill>
        </dxf>
        <dxf>
          <fill>
            <gradientFill degree="90">
              <stop position="0">
                <color theme="8" tint="-0.25098422193060094"/>
              </stop>
              <stop position="1">
                <color theme="8"/>
              </stop>
            </gradientFill>
          </fill>
          <border>
            <left style="medium">
              <color theme="8" tint="0.79998168889431442"/>
            </left>
            <right style="medium">
              <color theme="8" tint="0.79998168889431442"/>
            </right>
            <top style="medium">
              <color theme="8" tint="0.79998168889431442"/>
            </top>
            <bottom style="medium">
              <color theme="8" tint="0.79998168889431442"/>
            </bottom>
          </border>
        </dxf>
        <dxf>
          <fill>
            <gradientFill degree="135">
              <stop position="0">
                <color theme="8" tint="-0.25098422193060094"/>
              </stop>
              <stop position="1">
                <color theme="8"/>
              </stop>
            </gradientFill>
          </fill>
          <border>
            <left style="thick">
              <color theme="8" tint="0.79995117038483843"/>
            </left>
            <right style="thick">
              <color theme="8" tint="0.79995117038483843"/>
            </right>
            <top style="thick">
              <color theme="8" tint="0.79995117038483843"/>
            </top>
            <bottom style="thick">
              <color theme="8" tint="0.79995117038483843"/>
            </bottom>
          </border>
        </dxf>
        <dxf>
          <font>
            <b/>
            <i/>
            <sz val="9"/>
          </font>
          <fill>
            <gradientFill degree="135">
              <stop position="0">
                <color theme="8"/>
              </stop>
              <stop position="1">
                <color theme="8" tint="-0.25098422193060094"/>
              </stop>
            </gradientFill>
          </fill>
          <border>
            <left style="medium">
              <color theme="8" tint="0.79998168889431442"/>
            </left>
            <right style="medium">
              <color theme="8" tint="0.79998168889431442"/>
            </right>
            <top style="medium">
              <color theme="8" tint="0.79998168889431442"/>
            </top>
            <bottom style="medium">
              <color theme="8" tint="0.79998168889431442"/>
            </bottom>
          </border>
        </dxf>
        <dxf>
          <font>
            <b/>
            <i/>
            <sz val="9"/>
            <color rgb="FF4A90D9"/>
          </font>
          <fill>
            <patternFill patternType="solid">
              <fgColor auto="1"/>
              <bgColor rgb="FF0F1B2D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/>
            <sz val="9"/>
            <color theme="0"/>
            <name val="Abadi"/>
            <family val="2"/>
            <scheme val="none"/>
          </font>
          <fill>
            <patternFill patternType="solid">
              <fgColor auto="1"/>
              <bgColor rgb="FF0F1B2D"/>
            </patternFill>
          </fill>
          <border>
            <left style="medium">
              <color rgb="FFEAF0F7"/>
            </left>
            <right style="medium">
              <color rgb="FFEAF0F7"/>
            </right>
            <top style="medium">
              <color rgb="FFEAF0F7"/>
            </top>
            <bottom style="medium">
              <color rgb="FFEAF0F7"/>
            </bottom>
          </border>
        </dxf>
        <dxf>
          <fill>
            <patternFill patternType="solid">
              <fgColor auto="1"/>
              <bgColor theme="8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ción de datos 5">
        <x14:slicerStyle name="Estilo de segmentación de datos 1"/>
        <x14:slicerStyle name="Estilo de segmentación de datos 2">
          <x14:slicerStyleElements>
            <x14:slicerStyleElement type="hoveredSelectedItemWithNoData" dxfId="8"/>
          </x14:slicerStyleElements>
        </x14:slicerStyle>
        <x14:slicerStyle name="Estilo de segmentación de datos 3">
          <x14:slicerStyleElements>
            <x14:slicerStyleElement type="selectedItemWithData" dxfId="7"/>
            <x14:slicerStyleElement type="selectedItemWithNoData" dxfId="6"/>
          </x14:slicerStyleElements>
        </x14:slicerStyle>
        <x14:slicerStyle name="Estilo de segmentación de datos 4"/>
        <x14:slicerStyle name="Estilo de segmentación de datos 5">
          <x14:slicerStyleElements>
            <x14:slicerStyleElement type="unselectedItemWithData" dxfId="5"/>
            <x14:slicerStyleElement type="selectedItemWithData" dxfId="4"/>
            <x14:slicerStyleElement type="selectedItemWithNoData" dxfId="3"/>
          </x14:slicerStyleElements>
        </x14:slicerStyle>
        <x14:slicerStyle name="Estilo de segmentación de datos 6"/>
        <x14:slicerStyle name="Estilo de segmentación de datos 7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microsoft.com/office/2007/relationships/slicerCache" Target="slicerCaches/slicerCache1.xml"/><Relationship Id="rId26" Type="http://schemas.openxmlformats.org/officeDocument/2006/relationships/sharedStrings" Target="sharedStrings.xml"/><Relationship Id="rId39" Type="http://schemas.openxmlformats.org/officeDocument/2006/relationships/customXml" Target="../customXml/item10.xml"/><Relationship Id="rId21" Type="http://schemas.microsoft.com/office/2007/relationships/slicerCache" Target="slicerCaches/slicerCache4.xml"/><Relationship Id="rId34" Type="http://schemas.openxmlformats.org/officeDocument/2006/relationships/customXml" Target="../customXml/item5.xml"/><Relationship Id="rId42" Type="http://schemas.openxmlformats.org/officeDocument/2006/relationships/customXml" Target="../customXml/item13.xml"/><Relationship Id="rId47" Type="http://schemas.openxmlformats.org/officeDocument/2006/relationships/customXml" Target="../customXml/item18.xml"/><Relationship Id="rId50" Type="http://schemas.openxmlformats.org/officeDocument/2006/relationships/customXml" Target="../customXml/item21.xml"/><Relationship Id="rId55" Type="http://schemas.openxmlformats.org/officeDocument/2006/relationships/customXml" Target="../customXml/item26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alcChain" Target="calcChain.xml"/><Relationship Id="rId11" Type="http://schemas.openxmlformats.org/officeDocument/2006/relationships/pivotCacheDefinition" Target="pivotCache/pivotCacheDefinition3.xml"/><Relationship Id="rId24" Type="http://schemas.openxmlformats.org/officeDocument/2006/relationships/connections" Target="connections.xml"/><Relationship Id="rId32" Type="http://schemas.openxmlformats.org/officeDocument/2006/relationships/customXml" Target="../customXml/item3.xml"/><Relationship Id="rId37" Type="http://schemas.openxmlformats.org/officeDocument/2006/relationships/customXml" Target="../customXml/item8.xml"/><Relationship Id="rId40" Type="http://schemas.openxmlformats.org/officeDocument/2006/relationships/customXml" Target="../customXml/item11.xml"/><Relationship Id="rId45" Type="http://schemas.openxmlformats.org/officeDocument/2006/relationships/customXml" Target="../customXml/item16.xml"/><Relationship Id="rId53" Type="http://schemas.openxmlformats.org/officeDocument/2006/relationships/customXml" Target="../customXml/item24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19" Type="http://schemas.microsoft.com/office/2007/relationships/slicerCache" Target="slicerCaches/slicerCache2.xml"/><Relationship Id="rId31" Type="http://schemas.openxmlformats.org/officeDocument/2006/relationships/customXml" Target="../customXml/item2.xml"/><Relationship Id="rId44" Type="http://schemas.openxmlformats.org/officeDocument/2006/relationships/customXml" Target="../customXml/item15.xml"/><Relationship Id="rId52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microsoft.com/office/2007/relationships/slicerCache" Target="slicerCaches/slicerCache5.xml"/><Relationship Id="rId27" Type="http://schemas.openxmlformats.org/officeDocument/2006/relationships/sheetMetadata" Target="metadata.xml"/><Relationship Id="rId30" Type="http://schemas.openxmlformats.org/officeDocument/2006/relationships/customXml" Target="../customXml/item1.xml"/><Relationship Id="rId35" Type="http://schemas.openxmlformats.org/officeDocument/2006/relationships/customXml" Target="../customXml/item6.xml"/><Relationship Id="rId43" Type="http://schemas.openxmlformats.org/officeDocument/2006/relationships/customXml" Target="../customXml/item14.xml"/><Relationship Id="rId48" Type="http://schemas.openxmlformats.org/officeDocument/2006/relationships/customXml" Target="../customXml/item19.xml"/><Relationship Id="rId56" Type="http://schemas.openxmlformats.org/officeDocument/2006/relationships/customXml" Target="../customXml/item27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2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styles" Target="styles.xml"/><Relationship Id="rId33" Type="http://schemas.openxmlformats.org/officeDocument/2006/relationships/customXml" Target="../customXml/item4.xml"/><Relationship Id="rId38" Type="http://schemas.openxmlformats.org/officeDocument/2006/relationships/customXml" Target="../customXml/item9.xml"/><Relationship Id="rId46" Type="http://schemas.openxmlformats.org/officeDocument/2006/relationships/customXml" Target="../customXml/item17.xml"/><Relationship Id="rId20" Type="http://schemas.microsoft.com/office/2007/relationships/slicerCache" Target="slicerCaches/slicerCache3.xml"/><Relationship Id="rId41" Type="http://schemas.openxmlformats.org/officeDocument/2006/relationships/customXml" Target="../customXml/item12.xml"/><Relationship Id="rId54" Type="http://schemas.openxmlformats.org/officeDocument/2006/relationships/customXml" Target="../customXml/item2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7.xml"/><Relationship Id="rId23" Type="http://schemas.openxmlformats.org/officeDocument/2006/relationships/theme" Target="theme/theme1.xml"/><Relationship Id="rId28" Type="http://schemas.openxmlformats.org/officeDocument/2006/relationships/powerPivotData" Target="model/item.data"/><Relationship Id="rId36" Type="http://schemas.openxmlformats.org/officeDocument/2006/relationships/customXml" Target="../customXml/item7.xml"/><Relationship Id="rId49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287505043180914"/>
          <c:y val="0.23981308334779197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90000"/>
                <a:lumOff val="10000"/>
              </a:schemeClr>
            </a:solidFill>
            <a:ln w="28575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92075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047-43D2-B4BF-99DCDBFCFA60}"/>
              </c:ext>
            </c:extLst>
          </c:dPt>
          <c:dPt>
            <c:idx val="1"/>
            <c:bubble3D val="0"/>
            <c:spPr>
              <a:solidFill>
                <a:srgbClr val="4A90D9"/>
              </a:solidFill>
              <a:ln w="9525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47-43D2-B4BF-99DCDBFCFA60}"/>
              </c:ext>
            </c:extLst>
          </c:dPt>
          <c:val>
            <c:numRef>
              <c:f>CALCULOS!$E$34:$F$34</c:f>
              <c:numCache>
                <c:formatCode>0.0%</c:formatCode>
                <c:ptCount val="2"/>
                <c:pt idx="0">
                  <c:v>0.76742058930162793</c:v>
                </c:pt>
                <c:pt idx="1">
                  <c:v>0.23257941069837207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47-43D2-B4BF-99DCDBFCF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>
          <a:effectLst/>
        </a:defRPr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530385624874"/>
          <c:y val="0.23411487517548676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 w="79375">
              <a:solidFill>
                <a:schemeClr val="tx2">
                  <a:lumMod val="90000"/>
                  <a:lumOff val="10000"/>
                </a:schemeClr>
              </a:solidFill>
            </a:ln>
          </c:spPr>
          <c:explosion val="4"/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01600" cmpd="sng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C8-4C66-91B0-F0121063F483}"/>
              </c:ext>
            </c:extLst>
          </c:dPt>
          <c:dPt>
            <c:idx val="1"/>
            <c:bubble3D val="0"/>
            <c:explosion val="0"/>
            <c:spPr>
              <a:solidFill>
                <a:srgbClr val="4A90D9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C8-4C66-91B0-F0121063F483}"/>
              </c:ext>
            </c:extLst>
          </c:dPt>
          <c:val>
            <c:numRef>
              <c:f>CALCULOS!$E$35:$F$35</c:f>
              <c:numCache>
                <c:formatCode>0.0%</c:formatCode>
                <c:ptCount val="2"/>
                <c:pt idx="0">
                  <c:v>0.17960812050445663</c:v>
                </c:pt>
                <c:pt idx="1">
                  <c:v>0.82039187949554337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C8-4C66-91B0-F0121063F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652489135579365"/>
          <c:y val="9.0458412526020465E-2"/>
          <c:w val="0.69101978691019783"/>
          <c:h val="0.80496453900709219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9409691755862641"/>
          <c:y val="0.30064379090945287"/>
          <c:w val="0.37151578375752031"/>
          <c:h val="0.69935620909054719"/>
        </c:manualLayout>
      </c:layout>
      <c:pie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352136737688758"/>
          <c:y val="9.1990253119740087E-2"/>
          <c:w val="0.41856438242249422"/>
          <c:h val="0.70224256851614475"/>
        </c:manualLayout>
      </c:layout>
      <c:doughnutChart>
        <c:varyColors val="1"/>
        <c:ser>
          <c:idx val="0"/>
          <c:order val="0"/>
          <c:spPr>
            <a:noFill/>
          </c:spPr>
          <c:explosion val="1"/>
          <c:dPt>
            <c:idx val="0"/>
            <c:bubble3D val="0"/>
            <c:spPr>
              <a:gradFill flip="none" rotWithShape="1">
                <a:gsLst>
                  <a:gs pos="80000">
                    <a:srgbClr val="00B050"/>
                  </a:gs>
                  <a:gs pos="48000">
                    <a:schemeClr val="accent3"/>
                  </a:gs>
                  <a:gs pos="100000">
                    <a:schemeClr val="accent3">
                      <a:lumMod val="40000"/>
                      <a:lumOff val="60000"/>
                    </a:schemeClr>
                  </a:gs>
                </a:gsLst>
                <a:lin ang="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424-416C-8CF9-58CC71C05843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36000">
                    <a:srgbClr val="FFFF00"/>
                  </a:gs>
                  <a:gs pos="100000">
                    <a:srgbClr val="FF0000"/>
                  </a:gs>
                  <a:gs pos="59000">
                    <a:srgbClr val="FFC000"/>
                  </a:gs>
                </a:gsLst>
                <a:lin ang="270000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424-416C-8CF9-58CC71C05843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42000">
                    <a:srgbClr val="FF0000"/>
                  </a:gs>
                  <a:gs pos="60000">
                    <a:srgbClr val="C00000"/>
                  </a:gs>
                </a:gsLst>
                <a:lin ang="270000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424-416C-8CF9-58CC71C05843}"/>
              </c:ext>
            </c:extLst>
          </c:dPt>
          <c:dPt>
            <c:idx val="3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24-416C-8CF9-58CC71C05843}"/>
              </c:ext>
            </c:extLst>
          </c:dPt>
          <c:val>
            <c:numRef>
              <c:f>CALCULOS!$J$73:$J$76</c:f>
              <c:numCache>
                <c:formatCode>0.0%</c:formatCode>
                <c:ptCount val="4"/>
                <c:pt idx="0">
                  <c:v>0.01</c:v>
                </c:pt>
                <c:pt idx="1">
                  <c:v>5.0000000000000001E-3</c:v>
                </c:pt>
                <c:pt idx="2">
                  <c:v>5.0000000000000001E-3</c:v>
                </c:pt>
                <c:pt idx="3" formatCode="0%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24-416C-8CF9-58CC71C0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0"/>
      </c:doughnutChart>
      <c:scatterChart>
        <c:scatterStyle val="smoothMarker"/>
        <c:varyColors val="0"/>
        <c:ser>
          <c:idx val="1"/>
          <c:order val="1"/>
          <c:tx>
            <c:v>puntero</c:v>
          </c:tx>
          <c:spPr>
            <a:ln w="28575" cap="rnd">
              <a:solidFill>
                <a:srgbClr val="002060"/>
              </a:solidFill>
              <a:round/>
              <a:tailEnd type="triangle" w="lg" len="lg"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CALCULOS!$J$78:$J$79</c:f>
              <c:numCache>
                <c:formatCode>General</c:formatCode>
                <c:ptCount val="2"/>
                <c:pt idx="0">
                  <c:v>0</c:v>
                </c:pt>
                <c:pt idx="1">
                  <c:v>-0.89075816347641468</c:v>
                </c:pt>
              </c:numCache>
            </c:numRef>
          </c:xVal>
          <c:yVal>
            <c:numRef>
              <c:f>CALCULOS!$K$78:$K$79</c:f>
              <c:numCache>
                <c:formatCode>General</c:formatCode>
                <c:ptCount val="2"/>
                <c:pt idx="0">
                  <c:v>0</c:v>
                </c:pt>
                <c:pt idx="1">
                  <c:v>0.45447760582907154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424-416C-8CF9-58CC71C05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07711"/>
        <c:axId val="1019046367"/>
      </c:scatterChart>
      <c:valAx>
        <c:axId val="383307711"/>
        <c:scaling>
          <c:orientation val="minMax"/>
          <c:max val="1.3"/>
          <c:min val="-1.3"/>
        </c:scaling>
        <c:delete val="1"/>
        <c:axPos val="b"/>
        <c:numFmt formatCode="General" sourceLinked="1"/>
        <c:majorTickMark val="out"/>
        <c:minorTickMark val="none"/>
        <c:tickLblPos val="nextTo"/>
        <c:crossAx val="1019046367"/>
        <c:crosses val="autoZero"/>
        <c:crossBetween val="midCat"/>
      </c:valAx>
      <c:valAx>
        <c:axId val="1019046367"/>
        <c:scaling>
          <c:orientation val="minMax"/>
          <c:max val="1.3"/>
          <c:min val="-1.3"/>
        </c:scaling>
        <c:delete val="1"/>
        <c:axPos val="l"/>
        <c:numFmt formatCode="General" sourceLinked="1"/>
        <c:majorTickMark val="out"/>
        <c:minorTickMark val="none"/>
        <c:tickLblPos val="nextTo"/>
        <c:crossAx val="383307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1088881001196866"/>
          <c:y val="2.3513260672807065E-2"/>
          <c:w val="0.35058842231616505"/>
          <c:h val="0.72500027066902495"/>
        </c:manualLayout>
      </c:layout>
      <c:pieChart>
        <c:varyColors val="1"/>
        <c:ser>
          <c:idx val="0"/>
          <c:order val="0"/>
          <c:explosion val="1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DF-4574-A3AD-F060F65EC2C7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25400"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DF-4574-A3AD-F060F65EC2C7}"/>
              </c:ext>
            </c:extLst>
          </c:dPt>
          <c:val>
            <c:numRef>
              <c:f>CALCULOS!$E$82:$E$83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F-4574-A3AD-F060F65EC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28565575012932"/>
          <c:y val="0.17474130148284606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rgbClr val="4A90D9"/>
            </a:solidFill>
            <a:ln w="79375">
              <a:noFill/>
            </a:ln>
          </c:spPr>
          <c:dPt>
            <c:idx val="0"/>
            <c:bubble3D val="0"/>
            <c:spPr>
              <a:solidFill>
                <a:srgbClr val="4A90D9"/>
              </a:solidFill>
              <a:ln w="101600" cmpd="sng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125-40F2-ABC0-273C79B1B2CD}"/>
              </c:ext>
            </c:extLst>
          </c:dPt>
          <c:dPt>
            <c:idx val="1"/>
            <c:bubble3D val="0"/>
            <c:spPr>
              <a:solidFill>
                <a:srgbClr val="4A90D9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125-40F2-ABC0-273C79B1B2CD}"/>
              </c:ext>
            </c:extLst>
          </c:dPt>
          <c:val>
            <c:numRef>
              <c:f>CALCULOS!$E$37:$F$37</c:f>
              <c:numCache>
                <c:formatCode>0.0%</c:formatCode>
                <c:ptCount val="2"/>
                <c:pt idx="0" formatCode="0.00%">
                  <c:v>8.0593068660372788E-3</c:v>
                </c:pt>
                <c:pt idx="1">
                  <c:v>0.99194069313396271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25-40F2-ABC0-273C79B1B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17132046503727"/>
          <c:y val="0.11933784264384266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 w="79375">
              <a:solidFill>
                <a:schemeClr val="tx2">
                  <a:lumMod val="90000"/>
                  <a:lumOff val="10000"/>
                </a:schemeClr>
              </a:solidFill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01600" cmpd="sng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97-4401-96F2-64E0FD601E6E}"/>
              </c:ext>
            </c:extLst>
          </c:dPt>
          <c:dPt>
            <c:idx val="1"/>
            <c:bubble3D val="0"/>
            <c:spPr>
              <a:solidFill>
                <a:srgbClr val="4A90D9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97-4401-96F2-64E0FD601E6E}"/>
              </c:ext>
            </c:extLst>
          </c:dPt>
          <c:val>
            <c:numRef>
              <c:f>CALCULOS!$E$39:$F$39</c:f>
              <c:numCache>
                <c:formatCode>0.0%</c:formatCode>
                <c:ptCount val="2"/>
                <c:pt idx="0" formatCode="0.00%">
                  <c:v>3.0034808340546138E-3</c:v>
                </c:pt>
                <c:pt idx="1">
                  <c:v>0.99699651916594534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7-4401-96F2-64E0FD601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506144004768"/>
          <c:y val="0.15349033704835571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rgbClr val="4A90D9"/>
            </a:solidFill>
            <a:ln w="79375">
              <a:noFill/>
            </a:ln>
          </c:spPr>
          <c:dPt>
            <c:idx val="0"/>
            <c:bubble3D val="0"/>
            <c:spPr>
              <a:solidFill>
                <a:srgbClr val="4A90D9"/>
              </a:solidFill>
              <a:ln w="101600" cmpd="sng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54-4822-921D-54B1A676B528}"/>
              </c:ext>
            </c:extLst>
          </c:dPt>
          <c:dPt>
            <c:idx val="1"/>
            <c:bubble3D val="0"/>
            <c:spPr>
              <a:solidFill>
                <a:srgbClr val="4A90D9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54-4822-921D-54B1A676B528}"/>
              </c:ext>
            </c:extLst>
          </c:dPt>
          <c:val>
            <c:numRef>
              <c:f>CALCULOS!$E$38:$F$38</c:f>
              <c:numCache>
                <c:formatCode>0.0%</c:formatCode>
                <c:ptCount val="2"/>
                <c:pt idx="0" formatCode="0.00%">
                  <c:v>2.7632023673302445E-3</c:v>
                </c:pt>
                <c:pt idx="1">
                  <c:v>0.9972367976326697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154-4822-921D-54B1A676B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>
          <a:solidFill>
            <a:schemeClr val="accent5">
              <a:lumMod val="20000"/>
              <a:lumOff val="80000"/>
            </a:schemeClr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1506144004768"/>
          <c:y val="0.15349033704835571"/>
          <c:w val="0.69101978691019783"/>
          <c:h val="0.80496453900709219"/>
        </c:manualLayout>
      </c:layout>
      <c:doughnutChart>
        <c:varyColors val="1"/>
        <c:ser>
          <c:idx val="0"/>
          <c:order val="0"/>
          <c:spPr>
            <a:solidFill>
              <a:srgbClr val="4A90D9"/>
            </a:solidFill>
            <a:ln w="79375">
              <a:solidFill>
                <a:srgbClr val="0F1B2D"/>
              </a:solidFill>
            </a:ln>
          </c:spPr>
          <c:dPt>
            <c:idx val="0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01600" cmpd="sng">
                <a:solidFill>
                  <a:schemeClr val="tx2">
                    <a:lumMod val="90000"/>
                    <a:lumOff val="1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2-4102-BA04-B4F01462B879}"/>
              </c:ext>
            </c:extLst>
          </c:dPt>
          <c:dPt>
            <c:idx val="1"/>
            <c:bubble3D val="0"/>
            <c:explosion val="2"/>
            <c:spPr>
              <a:solidFill>
                <a:srgbClr val="4A90D9"/>
              </a:solidFill>
              <a:ln w="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2-4102-BA04-B4F01462B879}"/>
              </c:ext>
            </c:extLst>
          </c:dPt>
          <c:val>
            <c:numRef>
              <c:f>CALCULOS!$E$36:$F$36</c:f>
              <c:numCache>
                <c:formatCode>0.0%</c:formatCode>
                <c:ptCount val="2"/>
                <c:pt idx="0" formatCode="0.00%">
                  <c:v>3.9145300126493261E-2</c:v>
                </c:pt>
                <c:pt idx="1">
                  <c:v>0.96085469987350669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8D2-4102-BA04-B4F01462B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730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081144062599655E-2"/>
          <c:y val="7.9096001214466166E-2"/>
          <c:w val="0.93555436995609198"/>
          <c:h val="0.74159192057514545"/>
        </c:manualLayout>
      </c:layout>
      <c:lineChart>
        <c:grouping val="standard"/>
        <c:varyColors val="0"/>
        <c:ser>
          <c:idx val="0"/>
          <c:order val="0"/>
          <c:tx>
            <c:strRef>
              <c:f>'Historico Cartera 2026'!$E$3</c:f>
              <c:strCache>
                <c:ptCount val="1"/>
                <c:pt idx="0">
                  <c:v>% Cartera Vencida / Total</c:v>
                </c:pt>
              </c:strCache>
            </c:strRef>
          </c:tx>
          <c:spPr>
            <a:ln w="28080">
              <a:solidFill>
                <a:srgbClr val="6B2D7A"/>
              </a:solidFill>
              <a:round/>
            </a:ln>
          </c:spPr>
          <c:marker>
            <c:symbol val="circle"/>
            <c:size val="7"/>
            <c:spPr>
              <a:solidFill>
                <a:srgbClr val="6B2D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2026'!$E$4:$E$9</c:f>
              <c:numCache>
                <c:formatCode>0.0%</c:formatCode>
                <c:ptCount val="6"/>
                <c:pt idx="0">
                  <c:v>0.6217756457787933</c:v>
                </c:pt>
                <c:pt idx="1">
                  <c:v>0.42508747746792491</c:v>
                </c:pt>
                <c:pt idx="2">
                  <c:v>0.642003068487638</c:v>
                </c:pt>
                <c:pt idx="3">
                  <c:v>0.55746030141866365</c:v>
                </c:pt>
                <c:pt idx="4">
                  <c:v>0.62508420994304348</c:v>
                </c:pt>
                <c:pt idx="5">
                  <c:v>0.23529184109189658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5-4B38-8D59-970E9919E61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336859"/>
        <c:axId val="54932004"/>
      </c:lineChart>
      <c:catAx>
        <c:axId val="34336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54932004"/>
        <c:crosses val="autoZero"/>
        <c:auto val="1"/>
        <c:lblAlgn val="ctr"/>
        <c:lblOffset val="100"/>
        <c:noMultiLvlLbl val="0"/>
      </c:catAx>
      <c:valAx>
        <c:axId val="54932004"/>
        <c:scaling>
          <c:orientation val="minMax"/>
          <c:max val="0.8"/>
        </c:scaling>
        <c:delete val="0"/>
        <c:axPos val="l"/>
        <c:majorGridlines>
          <c:spPr>
            <a:ln w="6120">
              <a:solidFill>
                <a:srgbClr val="2A3A5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34336859"/>
        <c:crosses val="autoZero"/>
        <c:crossBetween val="between"/>
        <c:majorUnit val="0.2"/>
      </c:valAx>
      <c:spPr>
        <a:solidFill>
          <a:srgbClr val="16263B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F1B2D"/>
    </a:solidFill>
    <a:ln>
      <a:solidFill>
        <a:schemeClr val="tx1"/>
      </a:solidFill>
    </a:ln>
    <a:effectLst>
      <a:softEdge rad="12700"/>
    </a:effectLst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725420308786062"/>
          <c:y val="4.3239430551847473E-2"/>
          <c:w val="0.70530444938949199"/>
          <c:h val="0.8782732694896012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B57BC9"/>
            </a:solidFill>
            <a:ln>
              <a:noFill/>
            </a:ln>
            <a:effectLst>
              <a:softEdge rad="25400"/>
            </a:effectLst>
            <a:scene3d>
              <a:camera prst="orthographicFront"/>
              <a:lightRig rig="threePt" dir="t"/>
            </a:scene3d>
            <a:sp3d>
              <a:bevelT w="63500"/>
            </a:sp3d>
          </c:spPr>
          <c:invertIfNegative val="0"/>
          <c:dLbls>
            <c:dLbl>
              <c:idx val="9"/>
              <c:layout>
                <c:manualLayout>
                  <c:x val="-6.3665298990666891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92A-4AB3-A29B-B0A22E68FB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EAF0F7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CALCULOS!$U$95:$U$104</c:f>
              <c:strCache>
                <c:ptCount val="10"/>
                <c:pt idx="0">
                  <c:v>Cliente 7</c:v>
                </c:pt>
                <c:pt idx="1">
                  <c:v>Cliente 20</c:v>
                </c:pt>
                <c:pt idx="2">
                  <c:v>Cliente 59</c:v>
                </c:pt>
                <c:pt idx="3">
                  <c:v>Cliente 30</c:v>
                </c:pt>
                <c:pt idx="4">
                  <c:v>Cliente 25</c:v>
                </c:pt>
                <c:pt idx="5">
                  <c:v>Cliente 42</c:v>
                </c:pt>
                <c:pt idx="6">
                  <c:v>Cliente 31</c:v>
                </c:pt>
                <c:pt idx="7">
                  <c:v>Cliente 18</c:v>
                </c:pt>
                <c:pt idx="8">
                  <c:v>Cliente 13</c:v>
                </c:pt>
                <c:pt idx="9">
                  <c:v>Cliente 55</c:v>
                </c:pt>
              </c:strCache>
            </c:strRef>
          </c:cat>
          <c:val>
            <c:numRef>
              <c:f>CALCULOS!$V$95:$V$104</c:f>
              <c:numCache>
                <c:formatCode>[$USD]\ #,##0.0</c:formatCode>
                <c:ptCount val="10"/>
                <c:pt idx="0">
                  <c:v>8140.58</c:v>
                </c:pt>
                <c:pt idx="1">
                  <c:v>8097.48</c:v>
                </c:pt>
                <c:pt idx="2">
                  <c:v>5103.09</c:v>
                </c:pt>
                <c:pt idx="3">
                  <c:v>4707.75</c:v>
                </c:pt>
                <c:pt idx="4">
                  <c:v>3228.85</c:v>
                </c:pt>
                <c:pt idx="5">
                  <c:v>2917.47</c:v>
                </c:pt>
                <c:pt idx="6">
                  <c:v>2764.02</c:v>
                </c:pt>
                <c:pt idx="7">
                  <c:v>1868.67</c:v>
                </c:pt>
                <c:pt idx="8">
                  <c:v>1713.03</c:v>
                </c:pt>
                <c:pt idx="9">
                  <c:v>1574.21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2A-4AB3-A29B-B0A22E68FB7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8173888"/>
        <c:axId val="1518170048"/>
      </c:barChart>
      <c:catAx>
        <c:axId val="15181738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AF0F7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518170048"/>
        <c:crosses val="autoZero"/>
        <c:auto val="1"/>
        <c:lblAlgn val="ctr"/>
        <c:lblOffset val="100"/>
        <c:noMultiLvlLbl val="0"/>
      </c:catAx>
      <c:valAx>
        <c:axId val="1518170048"/>
        <c:scaling>
          <c:orientation val="minMax"/>
        </c:scaling>
        <c:delete val="1"/>
        <c:axPos val="t"/>
        <c:numFmt formatCode="[$USD]\ #,##0.0" sourceLinked="1"/>
        <c:majorTickMark val="none"/>
        <c:minorTickMark val="none"/>
        <c:tickLblPos val="nextTo"/>
        <c:crossAx val="1518173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'Historico Cartera 2026'!$G$3</c:f>
              <c:strCache>
                <c:ptCount val="1"/>
                <c:pt idx="0">
                  <c:v>Prom. Vencido (días)</c:v>
                </c:pt>
              </c:strCache>
            </c:strRef>
          </c:tx>
          <c:spPr>
            <a:ln w="28080">
              <a:solidFill>
                <a:srgbClr val="B57BC9"/>
              </a:solidFill>
              <a:round/>
            </a:ln>
          </c:spPr>
          <c:marker>
            <c:symbol val="diamond"/>
            <c:size val="7"/>
            <c:spPr>
              <a:solidFill>
                <a:schemeClr val="accent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2026'!$G$4:$G$9</c:f>
              <c:numCache>
                <c:formatCode>General</c:formatCode>
                <c:ptCount val="6"/>
                <c:pt idx="0">
                  <c:v>25.8</c:v>
                </c:pt>
                <c:pt idx="1">
                  <c:v>27.1</c:v>
                </c:pt>
                <c:pt idx="2">
                  <c:v>28.5</c:v>
                </c:pt>
                <c:pt idx="3">
                  <c:v>31.5</c:v>
                </c:pt>
                <c:pt idx="4">
                  <c:v>31.5</c:v>
                </c:pt>
                <c:pt idx="5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48-4F26-9953-2DF388372719}"/>
            </c:ext>
          </c:extLst>
        </c:ser>
        <c:ser>
          <c:idx val="1"/>
          <c:order val="1"/>
          <c:tx>
            <c:strRef>
              <c:f>'Historico Cartera 2026'!$L$3</c:f>
              <c:strCache>
                <c:ptCount val="1"/>
                <c:pt idx="0">
                  <c:v>Obj. 30 días</c:v>
                </c:pt>
              </c:strCache>
            </c:strRef>
          </c:tx>
          <c:spPr>
            <a:ln w="18000">
              <a:solidFill>
                <a:srgbClr val="E0A03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2026'!$L$4:$L$9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48-4F26-9953-2DF38837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354440"/>
        <c:axId val="98350252"/>
      </c:lineChart>
      <c:catAx>
        <c:axId val="2435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98350252"/>
        <c:crosses val="autoZero"/>
        <c:auto val="1"/>
        <c:lblAlgn val="ctr"/>
        <c:lblOffset val="100"/>
        <c:noMultiLvlLbl val="0"/>
      </c:catAx>
      <c:valAx>
        <c:axId val="98350252"/>
        <c:scaling>
          <c:orientation val="minMax"/>
        </c:scaling>
        <c:delete val="0"/>
        <c:axPos val="l"/>
        <c:majorGridlines>
          <c:spPr>
            <a:ln w="6120">
              <a:solidFill>
                <a:srgbClr val="2A3A52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24354440"/>
        <c:crosses val="autoZero"/>
        <c:crossBetween val="between"/>
      </c:valAx>
      <c:spPr>
        <a:solidFill>
          <a:srgbClr val="16263B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FFFFFF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0F1B2D"/>
    </a:solidFill>
    <a:ln>
      <a:solidFill>
        <a:schemeClr val="tx2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s-AR" sz="1800" b="1" strike="noStrike" spc="-1">
                <a:solidFill>
                  <a:schemeClr val="bg1"/>
                </a:solidFill>
                <a:latin typeface="Calibri"/>
              </a:rPr>
              <a:t>% Cartera Vencida / Total</a:t>
            </a:r>
          </a:p>
        </c:rich>
      </c:tx>
      <c:layout>
        <c:manualLayout>
          <c:xMode val="edge"/>
          <c:yMode val="edge"/>
          <c:x val="0.20054527237928865"/>
          <c:y val="5.5224835441165597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'Historico Cartera 2026'!$E$3</c:f>
              <c:strCache>
                <c:ptCount val="1"/>
                <c:pt idx="0">
                  <c:v>% Cartera Vencida / Total</c:v>
                </c:pt>
              </c:strCache>
            </c:strRef>
          </c:tx>
          <c:spPr>
            <a:ln w="28080">
              <a:solidFill>
                <a:srgbClr val="6B2D7A"/>
              </a:solidFill>
              <a:round/>
            </a:ln>
          </c:spPr>
          <c:marker>
            <c:symbol val="circle"/>
            <c:size val="7"/>
            <c:spPr>
              <a:solidFill>
                <a:srgbClr val="6B2D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2026'!$E$4:$E$9</c:f>
              <c:numCache>
                <c:formatCode>0.0%</c:formatCode>
                <c:ptCount val="6"/>
                <c:pt idx="0">
                  <c:v>0.6217756457787933</c:v>
                </c:pt>
                <c:pt idx="1">
                  <c:v>0.42508747746792491</c:v>
                </c:pt>
                <c:pt idx="2">
                  <c:v>0.642003068487638</c:v>
                </c:pt>
                <c:pt idx="3">
                  <c:v>0.55746030141866365</c:v>
                </c:pt>
                <c:pt idx="4">
                  <c:v>0.62508420994304348</c:v>
                </c:pt>
                <c:pt idx="5">
                  <c:v>0.23529184109189658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41-4FA6-B94C-E45417E21D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34336859"/>
        <c:axId val="54932004"/>
      </c:lineChart>
      <c:catAx>
        <c:axId val="34336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54932004"/>
        <c:crosses val="autoZero"/>
        <c:auto val="1"/>
        <c:lblAlgn val="ctr"/>
        <c:lblOffset val="100"/>
        <c:noMultiLvlLbl val="0"/>
      </c:catAx>
      <c:valAx>
        <c:axId val="54932004"/>
        <c:scaling>
          <c:orientation val="minMax"/>
        </c:scaling>
        <c:delete val="0"/>
        <c:axPos val="l"/>
        <c:majorGridlines>
          <c:spPr>
            <a:ln w="6120">
              <a:solidFill>
                <a:srgbClr val="2A3A52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34336859"/>
        <c:crosses val="autoZero"/>
        <c:crossBetween val="between"/>
      </c:valAx>
      <c:spPr>
        <a:solidFill>
          <a:srgbClr val="16263B"/>
        </a:solidFill>
        <a:ln w="0">
          <a:noFill/>
        </a:ln>
      </c:spPr>
    </c:plotArea>
    <c:plotVisOnly val="1"/>
    <c:dispBlanksAs val="gap"/>
    <c:showDLblsOverMax val="1"/>
  </c:chart>
  <c:spPr>
    <a:solidFill>
      <a:srgbClr val="0F1B2D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s-AR" sz="1800" b="1" strike="noStrike" spc="-1">
                <a:solidFill>
                  <a:schemeClr val="bg1"/>
                </a:solidFill>
                <a:latin typeface="Calibri"/>
              </a:rPr>
              <a:t>Días Prom. Vencido vs Objetivo (30)</a:t>
            </a:r>
          </a:p>
        </c:rich>
      </c:tx>
      <c:layout>
        <c:manualLayout>
          <c:xMode val="edge"/>
          <c:yMode val="edge"/>
          <c:x val="0.11317668694423232"/>
          <c:y val="2.7669528597060962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'Historico Cartera 2026'!$G$3</c:f>
              <c:strCache>
                <c:ptCount val="1"/>
                <c:pt idx="0">
                  <c:v>Prom. Vencido (días)</c:v>
                </c:pt>
              </c:strCache>
            </c:strRef>
          </c:tx>
          <c:spPr>
            <a:ln w="28080">
              <a:solidFill>
                <a:srgbClr val="29B6A8"/>
              </a:solidFill>
              <a:round/>
            </a:ln>
          </c:spPr>
          <c:marker>
            <c:symbol val="diamond"/>
            <c:size val="7"/>
            <c:spPr>
              <a:solidFill>
                <a:srgbClr val="29B6A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2026'!$G$4:$G$9</c:f>
              <c:numCache>
                <c:formatCode>General</c:formatCode>
                <c:ptCount val="6"/>
                <c:pt idx="0">
                  <c:v>25.8</c:v>
                </c:pt>
                <c:pt idx="1">
                  <c:v>27.1</c:v>
                </c:pt>
                <c:pt idx="2">
                  <c:v>28.5</c:v>
                </c:pt>
                <c:pt idx="3">
                  <c:v>31.5</c:v>
                </c:pt>
                <c:pt idx="4">
                  <c:v>31.5</c:v>
                </c:pt>
                <c:pt idx="5">
                  <c:v>26.1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35-4226-A87F-E491ECC9D626}"/>
            </c:ext>
          </c:extLst>
        </c:ser>
        <c:ser>
          <c:idx val="1"/>
          <c:order val="1"/>
          <c:tx>
            <c:strRef>
              <c:f>'Historico Cartera 2026'!$L$3</c:f>
              <c:strCache>
                <c:ptCount val="1"/>
                <c:pt idx="0">
                  <c:v>Obj. 30 días</c:v>
                </c:pt>
              </c:strCache>
            </c:strRef>
          </c:tx>
          <c:spPr>
            <a:ln w="18000">
              <a:solidFill>
                <a:srgbClr val="E0A03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2026'!$L$4:$L$9</c:f>
              <c:numCache>
                <c:formatCode>General</c:formatCode>
                <c:ptCount val="6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35-4226-A87F-E491ECC9D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4354440"/>
        <c:axId val="98350252"/>
      </c:lineChart>
      <c:catAx>
        <c:axId val="2435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98350252"/>
        <c:crosses val="autoZero"/>
        <c:auto val="1"/>
        <c:lblAlgn val="ctr"/>
        <c:lblOffset val="100"/>
        <c:noMultiLvlLbl val="0"/>
      </c:catAx>
      <c:valAx>
        <c:axId val="98350252"/>
        <c:scaling>
          <c:orientation val="minMax"/>
        </c:scaling>
        <c:delete val="0"/>
        <c:axPos val="l"/>
        <c:majorGridlines>
          <c:spPr>
            <a:ln w="6120">
              <a:solidFill>
                <a:srgbClr val="2A3A52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24354440"/>
        <c:crosses val="autoZero"/>
        <c:crossBetween val="between"/>
      </c:valAx>
      <c:spPr>
        <a:solidFill>
          <a:srgbClr val="1626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FFFFFF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0F1B2D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chemeClr val="bg1"/>
                </a:solidFill>
                <a:latin typeface="Calibri"/>
              </a:defRPr>
            </a:pPr>
            <a:r>
              <a:rPr lang="es-AR" sz="1800" b="1" strike="noStrike" spc="-1">
                <a:solidFill>
                  <a:schemeClr val="bg1"/>
                </a:solidFill>
                <a:latin typeface="Calibri"/>
              </a:rPr>
              <a:t>% Incobrables vs Objetivo (0,5%)</a:t>
            </a:r>
          </a:p>
        </c:rich>
      </c:tx>
      <c:layout>
        <c:manualLayout>
          <c:xMode val="edge"/>
          <c:yMode val="edge"/>
          <c:x val="0.17870669078052315"/>
          <c:y val="3.2150038334128946E-2"/>
        </c:manualLayout>
      </c:layout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'Historico Cartera 2026'!$I$3</c:f>
              <c:strCache>
                <c:ptCount val="1"/>
                <c:pt idx="0">
                  <c:v>% Incobrables</c:v>
                </c:pt>
              </c:strCache>
            </c:strRef>
          </c:tx>
          <c:spPr>
            <a:ln w="28080">
              <a:solidFill>
                <a:srgbClr val="4FC3F7"/>
              </a:solidFill>
              <a:round/>
            </a:ln>
          </c:spPr>
          <c:marker>
            <c:symbol val="square"/>
            <c:size val="7"/>
            <c:spPr>
              <a:solidFill>
                <a:srgbClr val="4FC3F7"/>
              </a:solidFill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BB8-466A-BE85-4657ABFA631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B8-466A-BE85-4657ABFA631F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s-AR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6BB8-466A-BE85-4657ABFA631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B8-466A-BE85-4657ABFA631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BB8-466A-BE85-4657ABFA631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BB8-466A-BE85-4657ABFA631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2026'!$I$4:$I$9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2.9999999999999997E-4</c:v>
                </c:pt>
                <c:pt idx="3">
                  <c:v>2.8999999999999998E-3</c:v>
                </c:pt>
                <c:pt idx="4">
                  <c:v>1.1000000000000001E-3</c:v>
                </c:pt>
                <c:pt idx="5">
                  <c:v>1.5E-3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B8-466A-BE85-4657ABFA631F}"/>
            </c:ext>
          </c:extLst>
        </c:ser>
        <c:ser>
          <c:idx val="1"/>
          <c:order val="1"/>
          <c:tx>
            <c:strRef>
              <c:f>'Historico Cartera 2026'!$M$3</c:f>
              <c:strCache>
                <c:ptCount val="1"/>
                <c:pt idx="0">
                  <c:v>Obj. 0,5% Incob.</c:v>
                </c:pt>
              </c:strCache>
            </c:strRef>
          </c:tx>
          <c:spPr>
            <a:ln w="18000">
              <a:solidFill>
                <a:srgbClr val="E0A030"/>
              </a:solidFill>
              <a:prstDash val="dash"/>
              <a:round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BB8-466A-BE85-4657ABFA631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BB8-466A-BE85-4657ABFA631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BB8-466A-BE85-4657ABFA631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BB8-466A-BE85-4657ABFA631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BB8-466A-BE85-4657ABFA63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'Historico Cartera 2026'!$B$4:$B$9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'Historico Cartera 2026'!$M$4:$M$9</c:f>
              <c:numCache>
                <c:formatCode>0.0%</c:formatCode>
                <c:ptCount val="6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5.0000000000000001E-3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B8-466A-BE85-4657ABFA6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3600854"/>
        <c:axId val="83683581"/>
      </c:lineChart>
      <c:catAx>
        <c:axId val="436008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83683581"/>
        <c:crosses val="autoZero"/>
        <c:auto val="1"/>
        <c:lblAlgn val="ctr"/>
        <c:lblOffset val="100"/>
        <c:noMultiLvlLbl val="0"/>
      </c:catAx>
      <c:valAx>
        <c:axId val="83683581"/>
        <c:scaling>
          <c:orientation val="minMax"/>
          <c:min val="0"/>
        </c:scaling>
        <c:delete val="0"/>
        <c:axPos val="l"/>
        <c:majorGridlines>
          <c:spPr>
            <a:ln w="6120">
              <a:solidFill>
                <a:srgbClr val="2A3A52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3A4A63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FFFFFF"/>
                </a:solidFill>
                <a:latin typeface="Calibri"/>
              </a:defRPr>
            </a:pPr>
            <a:endParaRPr lang="es-AR"/>
          </a:p>
        </c:txPr>
        <c:crossAx val="43600854"/>
        <c:crosses val="autoZero"/>
        <c:crossBetween val="between"/>
        <c:majorUnit val="1E-3"/>
      </c:valAx>
      <c:spPr>
        <a:solidFill>
          <a:srgbClr val="16263B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50" b="0" strike="noStrike" spc="-1">
              <a:solidFill>
                <a:srgbClr val="FFFFFF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solidFill>
      <a:srgbClr val="0F1B2D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waterfall" uniqueId="{5982C3B3-8303-4ED8-8CE1-24E4FB19EFE4}">
          <cx:tx>
            <cx:txData>
              <cx:f>_xlchart.v1.5</cx:f>
              <cx:v>VALOR</cx:v>
            </cx:txData>
          </cx:tx>
          <cx:spPr>
            <a:ln>
              <a:noFill/>
            </a:ln>
            <a:effectLst>
              <a:innerShdw blurRad="63500" dist="50800">
                <a:prstClr val="black">
                  <a:alpha val="50000"/>
                </a:prstClr>
              </a:innerShdw>
            </a:effectLst>
          </cx:spPr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002060"/>
              </a:solidFill>
            </cx:spPr>
          </cx:dataPt>
          <cx:dataPt idx="2">
            <cx:spPr>
              <a:solidFill>
                <a:srgbClr val="0E2841">
                  <a:lumMod val="25000"/>
                  <a:lumOff val="75000"/>
                </a:srgbClr>
              </a:solidFill>
            </cx:spPr>
          </cx:dataPt>
          <cx:dataPt idx="3">
            <cx:spPr>
              <a:solidFill>
                <a:srgbClr val="A02B93"/>
              </a:solidFill>
            </cx:spPr>
          </cx:dataPt>
          <cx:dataLabels pos="outEnd">
            <cx:spPr>
              <a:solidFill>
                <a:schemeClr val="bg2"/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s-MX" sz="9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</cx:dataLabels>
          <cx:dataId val="0"/>
          <cx:layoutPr>
            <cx:subtotals>
              <cx:idx val="2"/>
            </cx:subtotals>
          </cx:layoutPr>
        </cx:series>
      </cx:plotAreaRegion>
      <cx:axis id="0">
        <cx:catScaling gapWidth="0.43000000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100" b="1">
                <a:solidFill>
                  <a:schemeClr val="bg1"/>
                </a:solidFill>
              </a:defRPr>
            </a:pPr>
            <a:endParaRPr lang="es-MX" sz="1100" b="1" i="0" u="none" strike="noStrike" baseline="0">
              <a:solidFill>
                <a:schemeClr val="bg1"/>
              </a:solidFill>
              <a:latin typeface="Aptos Narrow" panose="02110004020202020204"/>
            </a:endParaRPr>
          </a:p>
        </cx:tx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0EE3974-7BC2-4540-AD70-1B4C4D8C5E48}">
          <cx:tx>
            <cx:txData>
              <cx:f>_xlchart.v5.2</cx:f>
              <cx:v>SALDOS</cx:v>
            </cx:txData>
          </cx:tx>
          <cx:spPr>
            <a:effectLst>
              <a:innerShdw blurRad="114300">
                <a:prstClr val="black"/>
              </a:innerShdw>
            </a:effectLst>
          </cx:spPr>
          <cx:dataLabels>
            <cx:spPr>
              <a:solidFill>
                <a:schemeClr val="bg1">
                  <a:lumMod val="85000"/>
                </a:schemeClr>
              </a:solidFill>
            </cx:spPr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 b="1">
                    <a:solidFill>
                      <a:schemeClr val="tx1"/>
                    </a:solidFill>
                  </a:defRPr>
                </a:pPr>
                <a:endParaRPr lang="es-MX" sz="800" b="1" i="0" u="none" strike="noStrike" baseline="0">
                  <a:solidFill>
                    <a:schemeClr val="tx1"/>
                  </a:solidFill>
                  <a:latin typeface="Aptos Narrow" panose="0211000402020202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MX" sz="800" b="1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USD 95.940</a:t>
                  </a:r>
                </a:p>
              </cx:txPr>
              <cx:visibility seriesName="0" categoryName="0" value="1"/>
            </cx:dataLabel>
            <cx:dataLabel idx="3">
              <cx:spPr>
                <a:solidFill>
                  <a:schemeClr val="bg1">
                    <a:lumMod val="95000"/>
                  </a:schemeClr>
                </a:solidFill>
              </cx:spPr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/>
                  </a:pPr>
                  <a:r>
                    <a:rPr lang="es-MX" sz="700" b="1" i="0" u="none" strike="noStrike" baseline="0">
                      <a:solidFill>
                        <a:schemeClr val="tx1"/>
                      </a:solidFill>
                      <a:latin typeface="Aptos Narrow" panose="02110004020202020204"/>
                    </a:rPr>
                    <a:t>USD 41.392</a:t>
                  </a:r>
                </a:p>
              </cx:txPr>
              <cx:visibility seriesName="0" categoryName="0" value="1"/>
            </cx:dataLabel>
          </cx:dataLabels>
          <cx:dataId val="0"/>
          <cx:layoutPr>
            <cx:geography viewedRegionType="dataOnly" cultureLanguage="es-MX" cultureRegion="AR" attribution="Con tecnología de Bing">
              <cx:geoCache provider="{E9337A44-BEBE-4D9F-B70C-5C5E7DAFC167}">
                <cx:binary>1H3pkt02suarKPR7aJPEyo72jbg8a2lfbNnuP4zqkkwQKxdwAd/mPsu82GTJdrcKlqxpRMfEtOzw
UqdOnjyZ+WUmgA/Jv95tf7nTH27HR5vRdvrL3fbdY+F9/5dvv53uxAdzO31jurvRTe4X/82dM9+6
X37p7j58+368XTvbflvmBf72TtyO/sP2+L/+CtLaD+6Zu7v1nbOv5w9jePNhmrWf/uS1z7706Pa9
6eyxm/zY3fniu8eHW39rbse728ePPljf+fB96D989/jBrz1+9G0s7A8f/EiDbn5+D+/NSvZNURU5
L/Pf/pSPH2ln299fp/B6ThBjv/8C+/3DX9waEPB/pdNHjW7fvx8/TBN8q4//fvDWB1/hwSt3brb+
3oQtWPO7x/89tvdf3YIJuskdfn3x4O6/yn+/+fjdv33ogP/6a/QDsEb0k098FJvuay89+rJ6n3ro
wW/9qx5C+JuqorjiRV59/AMeeOAheJ2ykpOC/upC9NBDn5jsyzp93kOfvPXBV/j/zw8PAgig8vYW
ouS2dY/ef9CPTpP/MLrfrfLvAQ3FqMhzhn81eRG5BH1DcM4J/ONXl1W/f/ivoPkXtfu8cz4r5IEd
vmCG/zBXPpnlHH6337/DeegbVNAC4+oLziPfMFKRsirAwfd/Ijx9VZ/Pu+u3t0UO+u2n/2EueXur
/b+1CBEoMozSipf/wEuU4hC4C/5Cv7qE/h4Pv+PpK/p83iW/fY3IJb/99D/MJd/Pd7O5tb/b5d+B
E/oNgSxHGANrR97gvATwkH8WpF8ry6/e+KjK//6fP9Xl8w755zsjn/zzhf/Xbvlyr/CPtuoIbdnp
Yz/2Sbvw569+/PrQJkZvfdDWPfimv/v15v13jwuoNv9o8u4l/Pa2X63/Sc3+1Sm/v+XD7eTvGz7y
+NH64eN/MvhP60Yv7n9cfMP4fUa8r2o5z3P++NHk5o+vcfJNjgGYBJcloqjkxT/63FdOh9bZf3zb
3/7/kZ3NK9dZP333GD9+1P/6W/eawAdhhllB7z+8v7t9Ay00/FLxv/Awu8Y1Qp9aPf+4V+Hvzfzu
ky/6L0i+/8RPJGvS5h7PIBk+tZbdVu8jr9NEQy34VHS3B4+HDalTqNirHGWvdIGyRNnQeX8qu59Z
aRvVqFO+ov25I+V2aIKmxzTNIWg+ld4UBZt0x9WpWM65I4e2G09pkvOHkp3M5RZ4oU77Zpcnu83n
o1ahepsknULr9KneZTPuq2VOn/p1ZIcOy/1IM/xjmnAI8k+FsyDYiummTrNR9Npaf7vmiqfZhUKf
/qnwnU8dHliuT2ga6qbdn3Vje03TGzLyp6KJ3Tbuc69PurpU063u0pBDI0yC2/q+wkSdpnYqX0zE
zndIdvl2SFM7AmbDF8ZlN+vTHNANrPK+V4Qlio6AyYZ1WKm2+iT5vD11ci6eNzx7kaZ3hEziGZ7H
AGYR5d3QtwfakjTM0xiVlDYbkyU4Utqa9lzXODM6UXgEzG6Z1IQdU6euH1425dJeSb/l5ySbkAiX
OeKun4pen8YQ9N0+mvZmkmV1kyY9AibWWG1umfSJ/LT3B9SnWYREkGw4KUMnQew69bYei0Ee8F6k
4Z1EoLSI04FZiJJ2k5exXcvaLFuq5hEyF1X4fuhGfVpYO9V665rDyuch0dwRMIXVzd6uUBx4pSGh
8O5AGR4TjR5BczdmX9tp1yfWduaICbV1YN4nql4+TIW0nGezO5Dey2fT/L3rn6RFYIRMXGIr9yzo
U1cuz02jZT3a/mWa7AiYFO0ir3YsTxyjG6eMuRWOoL8lCccRMAfKp2lbkTxJStXfRppPqq6m0abh
HkfI3E3eDR2m8tRM3XlfHb6GItsuabpH+NQuzEWbg2FKrd2xIVZdF+oTawSOACoLnHsrTXMcx77O
8Xool/dpekfohO24QYrOy9M046kmM36PmiUNPjjCpvW7zLTg3Yn3+dFs/d9EIddE2RE0i4awYUeD
PBUlxXU3TlfDTH9MM0qETL8wH8YRFFdr+8QgImst1es02RE6Fy6sKQkoLkFsjuwPkzGv0kRH4LQb
YhW3IHpknt14xJ7k48bS0IMicCodBB4nEG6ErAk5jjhNaxTBcpvwNBqoZ6eg14MoIXlTJou0MEER
LCfpxpBTAWEyZPgwiRyfaBV+SLI3ilCpm6y3ajbyRKXG+tIUVSA/M7e6Pq17QxE4GXO+F17Lk9j9
gWc/ihElejOCZmDZvDUIJLssPPFtX9Rm2r9PM0sEzZ4IOS9sFydp1r9n2fysIf1wSJMdIdPlbN42
gcRpQRt9I/PtB0za8lma8AiajR26DlVzd2oL8dxmHtY9+TqlVWUUgbMqfZbjzghYDX4Y2xtu0xZU
ZYTLCQk9LC3Ibdb8kFfZcZtVWviVETKt17CkLJQ4rfa0Sl1XPLGxKiNYli0uZBi0OOUd347I2p9h
QSvSMF9GsGx6BWp7Ik6dV/bEs6mqnRnTGqD7PahP1682yyvUFSC8736uRH8SIk9rB8sIklneS9ki
LCD6Nl6PfVHBdkHh0mK7jECZy5z0KwfpTds/AwC9Lr0rEw0egdKPa5vNGYBya2+hKKu6mVWqMyNM
at4V62zuI0WX7sRb/25qK56InQiT69KZsmxBOPOkluRSusTWp4hQOZMS1g4BwmSV/kCqfK1nqmRa
EiwiXBawMenFAvY2fMhraVx5aKtsTYvDIsKmlFsmQ1aKUxkWU+drKw/91i2XpBxbROAkyzIvGwfp
Ll9faLV+GPaMpsVhEWFTNmOzlAJS4ZhxXFcYn9Q+NYlGj+CJW74ug6DiRIdSHuGI2x8KM4g0eBYR
PMuxnds8gOo86w97/4r2P6XZO8LmaPju25aJE+oyWcu1Wl4vK+eJ0iN0ZmvZSyUcZJWw10I3dctf
p+kdQbN1q13VAJLlII9hvOp9T4uSPILmGJpqHSqQbDInaoH+vs2wg5Wk9f3Rw6fVgbE86Oy+rql1
LI4iEHuYN/M8TXgEzH7gSDs3AXTmaquXfTkucAyZqHmESzFpakQ2gHD/rAsXs6S1PXmESVbCycyy
z+LkXXjWa/18X05p5ogAmY9833jlQWNdF209pRX4+zPzT11o8TpPYhqhe+DbDS38U9SIY5rGERar
wVsuxAJY3OkTsz5HoXuaJjnCoQ4oXzcM5WYQUr4RaPrBzlal5aY8guJmxlaxDVzoNH478uf90CSl
D1JFUNwwYn7EUMhw+L6dT1YkBR2pIhgWGmfjOAEMC1zchWKv9x2lta6kilDoK9p6byDstr6ZL40K
wwGtVZsEQ1JFMDStVlO+3Qe1y8bTXrrmyOcsqYQBM+RhaCPDUHCDBeGt7W8Z74tnguzZlKh7BEhd
0XGRFYifh53Xi9guvs1Qou4RLPvW53xw0L8SNQ4/7o2b6RmxmWxJCCJVhM02z1Um2x56By1fq2Kr
JQ/XFHCSKgKnW5jQywT4Maa4Ch3soTMqbXcdOsmHPnUDXdi43oPTXBgOL8PWJ5UbwiNwBolIh0sA
J7L8quw+XHK0yXOSTXiEUGWUnCiCLBt82Ycza/cw1UzOW2Iw8gimY24CrNLgA8YM70+Vnt/LocRv
0rSPUDr3e4/KNYe8VXxP2FQXW9pZN+ERROdGlyu+z4ilqA4CNdOBViZPAyiPAMoG12XbBsL16q6i
e75nXVJXT3iETs1LD1uZkLYUn15pnhVnKgJLKpuER9BkYS/Kxs7stFR+eTbnuX02wFlSUhtBgBHy
oN7TvG+V8Ts9d3Jsj+OC7U1YB5IoPYKnsoWEUuTpuV16c6lGv980vg1pZmcRRBnr/Vb4DjJhsy4H
xNpwElRuabqzGKMZ38NajfSsqmm+ju1enDdY5qcldBYBNG9MVo12oGc+9+ZFRdr9qIP0ibpHCLWk
6ULTtPQs1JLXBE36konia+F+L+WPBCASE4AsFDpLMknPRjp5x/ZtfyUntNduGOS56DualoJZBFiq
xOb7nJEza8biKVTvvG66tknDFYtA64IotzU4+BYVta8HPKAbpSuVlmxYhNocesZh23t69vM2vybZ
sF21YNurpAzMItR2vEKMYEvP68zpQS6e/2TwPCfaPULtaHaxqVnTsw2lvGZKoFfL4P3rJN1jXhAz
pvKlh+hxqnS1zZV5vpYkS2tkaITazGZoyBlYxsiZu7qnw/489yRLVD6G7dTgLGQgnpeFOw8ZL46G
t18jqX0BWPE5J5dl5wwp6XlphvF7oArJqym67/PC3So38LTAx+Rhyt+YMHvTG3rGRRl+6ot8fF2Z
KnRpkU+j3MOKwDntIPLXQbwess086xe+Ji1PyR94Tgi2P2ULoak60z1BE9muTU4TuyYaJRySF6ay
LSRlgrfhe+Js+YtwHUs0TJRwuqXthq0Fw2x+NscmZ+46Q+uaGPhRwqnyCTF3n/IND/68rY7WI91p
WqmN6U4GBWXE2pBzO8/isnGNTwvP1U1aSogSDgbSoRwxtAleqvI8LcifJmy+hqp7732mXMWEp26F
U4VZZKA7Gbajz1fzdKYkjXlHSJRwqBqGSTJAEyFLeYWekh/2MqhzkmVi3tO2D3Ticw5g6qb5pSBt
e9xR4dLahJj4ZDDiwNZa6Xlc7ZshI/jJbDG9pqkepZlZKduX60LPuXfv1dRXN8hLlyg8QmpruBb5
zsl51oQeW6Tmi8iyNEIvIRFS0Tx0u6IbPQebi78NWKOLZH2XdK5ISIRUheWItEH0XHieXUyD2ZMs
oDntyIiQqDewIqt6iSeor8McDg1HodZsM2lQJRFUG+qDLmxFzqU0+cHYQA98l01amokpUEvT9xKV
AFWsTPa2Abbsseh5ZdIycEyB4mzG24IgJEc4n38qbbcdcrMtaS09jnqDUlfebArQNHQlrXOjunPG
Bf5KxN/D5jNZLGYTdRgzOJyH3mCsnH0xNtoeYB8LQmdg/ZZonyjuRU85mJySM+o3elOJrP0JiuB6
l5QQcBT3dulsAX+TM+Vzd+2Ljl0mX6TtLhMchb1hsiuzBZPzvnN52UZsztVCm7Q8jKOwL1tQHIoG
OfO2Y7AObNgFqAE6aYuZxOQiTdQMa0yoIQJn9ISnsjsBn7tMi8uYYUREng0e7+QcqFhP1ob1gNRQ
JUqPop7kXNBph0V4NrXm6rqxqXfS72n9dswxErRijHWanQOBTAOERX5lnKedhZGYYFT4Zu1aCT1T
7k3/fusn+nRtbfg+Kd5RVKM8Uc1S9NAzeVSWpzJbq+voO5bW76EIq0s+QNrIoFeVfgn6mEk2fuhb
V6aRAAmK0LoxOq4kgPwphBLXfGfs0iw4S8w1KMLrlvXKWg54BUaG/5HnU/ds125Jy5Yx3QiItEtH
76OyM3TYagE7E8eqctXLZWCjPCY5OOYeLXA0IUum2BnBOfBxwmP/wq2FfJUmnT9cpsFCZ+e2gZ25
Vg9DXUosDgVchk1r/WIKEt1WuuU9NJYBmAg/QCUca6Bs4LdpukdrQAJhEvAGPciUr8tTOE705330
abxAEpOQeFWMamsJPVOgxhQHCyMfhgNkHtSkHaDFXKQCTtt1CwnnPJhyfzfzBv8yVjxx8ybmIimL
1mUhDHr6ZdveLhYXL/HU6q9E/n12+UyfUEa4NaUrFcs4mL4s/KslC8WBGe3S6mAZoZbnJBOZndi5
8qtrbhpeuLceAjVLDMuozmZwravPS1OdyThXdQM3385ZgC4nKSxjWpIc8Mxx76rzNEn0wmiTP6sm
xX5Kkx4BFivCrRC8OvMJbtJlM6t+aMd+TduUi3lJUw53IYsZVWeGB3nTB2Hqtt+WtGQT85Js4/aZ
Z7Q6N7sC1hNB5k60yH1Is8x9T/vJvc4Alw2qZS7B7jQL74AJ5k0tgbX5Jk18VGgpE6rqWKjOmSoH
fyS7pupQNVVI23SK2Ukkt9MmuGvOAc5injvlqzrPR5QW8kUEWILm1ZfWNmdNiu0y5GtzdET6tBp1
f+X4U9O7jlQOw4XhM1I+q2eTZ9fe6yrR8hFcuwl1GnPosmEfWj9dvUBPgJXi0+AaU5WMhrtqrRqb
s+ihI6Y5Ri+8nXEi2SBmK3WiqQwXS3MeXJ6fMpTJW2ON/3tSUOZRXzyiKbRzabNztwKPkC6yPJMF
Dh7TpEcFlm2Va2CRn51FZYofKHL62K9iep8mPcLr3isY3+BNdm5M2E4zL5rL6rMi0a0RXI3NRjlV
ujm3k9aHbAzqFUMK3aXpHvXFYXNquz9dO2uky+eiyIbvYb9bH9KkR2Ddc2E8nUN2XoZl+6ncWvWk
YfmetrmSR2DFTPalmvvmbPe9PK+9fNE1xqXtrcQ8psasxTC5tTkzkvWnImxNve1CJGUxGDLwMM80
C7V9ppbsjBfSn4DsLy9rOaaxjmCE0kPpZYPmluwkO3ur2/1m0P3wFjW0T8vBOGY1tcbDEWmLsnPB
FAKmx7r2xaGcuzwJUDjmNUmGeDFg0N/knh5h27X5EeGuSwIUjolNisx2mwSkmjmMw1MRgrzB7fa1
pdQ9LP/YUMLsloe2hzpdssAJZOEw65sSLsq9U3Q1X1sH3mesz4mP8Nr3ammDW7MzFzNpD8285Re4
3jaf1SBUV1NH2Z4EXhyTnIC7xrXBW3YOE1tr16ISbha5KVF6BN7O0Vx37Q4pGW3oSY5bXI+wMk9q
/3BMdOqARFVlpm0v00pW/CRHhP7gYDtkTGrscUx3EpULfuP5cPFz0Zxhq2S9yn5KzA4x38lnJXaG
ueniVKuPc1iUrXfX7b+kZGUcs53wTERXwK32C6u28egFmY5GKJmW2nhUa6UIGe1Kk13wDN2lcHq9
DJKkXenCMeWpEVXWZIg0FxLsImCdn9EPeBnbpG0iHJOecrhtICbl26sqs9weewvn4VSNW2LUx9Sn
ZRqcazjMx2A9zuulXOZnvldtYlTG5RZVrMN5OV6n2ePs2Ou2hykiwqTdicYx+0nNFhk18+G6KjIe
eg5etTCoJDFwou54IJzmjWrJtZcw7gOIA/1rhfyatGmMY/aTU/MKcbll127ofwwrsR80W6efkxAV
k59GmPXRLEbpqx4BUchSuT7d2Uz3tJIV059EJvNl4lhdJXZW3Bg4r9I1bKXhtOMAfD/66tN1Tw4E
WeErpa7aVebGdrArArzzIVTHNANFLfJSubzMCqDHbEWmXzhu9XPXJLYLMfGJCTIaxYfuSoLMXxZ2
WfQRyER72vUsODh6aBzEp6ZaxKiucBRBxaGkZHsn2dy8S7NNhFpnUbdD9VXXdkN9fwxT2F9OS9um
3WqGGVQP1d9HZz2MYmivlaXmZ9pu4TQr3Kb1aixC7Wyt2M0A0jc7ofOcwTHYcWq6vEuLnJj/lGUw
om2iq7xOdMiaJ1VbwE341gCbMS3lxxSobZXNHPYJQlNm5pJJZC52hW7kz517v379TL8WD0di0AuG
MPjsorgy5aECxfm5WrGTL3K/jUPNGzRUuvYFnEvMiTaL0GxxL53nTlzbfPLiYlujS+BjZ16+/vNv
hb/wrSI426riJFS8vdKxmw6FHOx13XKWVghiXhEblsz5oEB6sY/raV8K/IOm+Y6+4pMvaR/hGfZi
87HSSl4bt7UwnUDZuZ6HqeFfkX9v5s/5PAJ05QeyZSNAAo76V35SekHrKwCJYzDQhlF0gnFw7Zq0
TsUx1WhEe863xYorpKj5JrO7fw6Xs/bESIrQDUcqyvRz1l4X3uyXNSztVg8Fzu6S4ijmGnFMM5Pv
K0w/YePCDrwbq+ZE6Tom1p2YbhRCq6TpB9B/aPLqwJawPHUD7tKORHFMOHILNRUwjNprK7p5OJZz
Xhwa39M5DQox5ahaqilj3dzCTZBuGOuAh/HVrkP3lX2xj7umnwlVEgE5sKAhbHB3baQc3pfYdLCo
vz9VeDYjQ0lN2rkZ6mCC8qEuud7wUucSk+o4j0jsT9xShelkGYfBRGkhcQ/aTza/JexNd1kOHTjz
GT2GbswOpmvztFVnTFXyuncwBLKE/n4CunTN5xZGJ+ZFOfyUpn0E/WEaq6VsLWhP1+JadE7D5Xzd
qjTKJY7ZSrRYUe9438H6ZP9g9knd9nnTpQ1SwzFbadRVBVTXSl2Vn+VRol6Feu4CT2ykYr5Sy/Yu
a4deXbsF4We+K+hlpZKm+TamK6kWOEQtLdklyM49vb+GUEMqmZI2G4E+9DAut73sTb+s9OKnAaO6
6oS7ZONG10Tto5pN8hxnC0xAusLNcXao2Fzd5jNPG0SBYxKzHduuIZtX1wIg/qKYx+4lq8KSdOKD
Y7JVAxHi94Xr6yI3c5kCpXWrSdqZDNxnemh5a3eaabTpKyK7OOeWT/2lzUW3pmWcmGiVF3vXL/2Y
Xbhk/EmuZHdcbTkm+jXqvnMqg3QcFg8h19VLJETzBndtEIniowKtikb3+ybVFU/Vfhj1pp+XRndp
i+aYaTXyRa6mM/0N4FX/jRSyf997m3YbEbZxHzrWTGvnNSf2ujebOciKDEfisyatr4+HObE+89Wy
5Po6ERTeG80bd7brUqZdeMIx1wq1LfIBjrCvkuviQ7GX+tghUnxlUXhfgD9TmGOu1Sxg5w9LOABb
mgqOZy1XSJ8rPakKhgHB3aSvNABfaIVj0pVgdtt3Cut+UzH3ais3deFa2STqLo5JVz4Ujm0juncw
nOdRqreLWou0C4o4plzxZoWVJ6P2WmWjP7vRVE+bkqTN/YSnHjwMTgtzL+xQFPbqUeACNltWNtTE
r2l8bxxTrgq35sBzW9mFeGxPhZ/zd3Bsq9IWaDHXyu+WAW2ghSsTHK0HDAM1b9DYuDdJXU486skM
ncR7yMR1KOAm52Hiu12Axg+UqzT5Ua3tQ7UvqgXtid7KGsETUY6wKZt2oIrjiU9CO69oqfiFZ1K9
YxWa9xp2MLav5MwvIPcPdKtg1UaAZHENcPBZHBCMLNDHYVI5eTox2qQdcMScKxnILimm7gqct/zQ
tdN0yfuQNr4P7m0/DP5NrkvT+V1flfOjrU0bqqGGx1Xk7itL5C/knZh2NYyMlhUcPl8XpEZXV62Q
rzlcm3mbFkAReCdpYFw5dPoXlJX+tQQKfk1JSJu9hcuo5k6rzjeGOmjCh5m3taUz7+tBV1+bLnBf
/z6T+2PeVZ81M0ylxe6qOjpvoLnE9GBFgylM2uXM1lxqRo/TYPl4mq0z6lWS2eJRUbuGaWhjz/hl
3wOGDdreX0egVKahOqZkwTrCzf0CXPZmHdiNgOfIvMQzTpswjWNKVr/x3u2OuGvru6U4VXDz6pm1
Xs2J2t/D/ZN1KVzhreBufQFX4aFmdrWzJlyrAuampCGiiNe9jaQT3FyqLr7A3buJw0TlBXjuX0lK
X8BbzMnKDBr2nvvuyon2Bw0jS59i2ptE6dGq1/BlLkZXNheYILo8g3Fj/XEEssTf06IyAvOYsc2K
e8vAtVc4Ehqp+qXviUuM+QjMDewql3AVvruORYA5pSFUryUe9rQmNOZkrTmeBCakurBlJPU6IDEe
h2Xpv7Y7/jE8PpMrYlaW3cxWiMk6KMW2gPE1a9stNQwVb9kzr8cp1IzOUzg4HCZeh2bYpp+FxdP+
1M1tiU4kDw69y9XULAdNtBDnTRX7fpfkuZjUhTbfLlhX3VWseTbX8FwGQY5uz0QiRSGPFs2VsZPr
B9JdqZr3Gwfsh6fjqs1XIP+FSh5Po+pgoE61w8Mqrpwt4oehGPK+ZvtcqAtsLjiZtrGQR8DPFxhp
lwEd89KVMLlsp6N7P5dtlrjnEk+o2mYzmcE4ByYKI/DSArq2MqRNq4Gz5YdZcVjRTOZ+hDbEh+lM
LGpvMk+3RNNEyJ9hBtY6dVl3BbZIuKjWDM9ZB6Nl0qIzQr5yywjTT5G8FhNuL4XL9FED0+KYIh3F
DK9ZFVm1Nfj+WQSZO4jJ63Mxb2n78ihmePm2tJ73i7yutGr0oR0EcANFF5avrB8+f4QBvIGHflVl
O5RjY5qLLJYNX+hUwkiszoz7fjbNsi0X0mrf/5hmqgjFO0XrvgZYhM7ZXMLV0aGoixwm2qRJjwp3
MyI89WLLLn1F0VMzMvFKwaz1pK0vFNO9CrpslsA1+Cs81ma4NCXsWfOQVac03dFDNwzGahhMBEE0
wtnwHes1/6mY+de4ZJ9vClBM8BpaLcUkdXYZqJ1usqnRQChjReJ2L/rDKCs0S1/s0DIty9qcdl/h
536wIdE2MXwH5xFcZ7ZXaVtbk5KzF8Wu0qY7o5jglYlur+C5bObaDo1/B19A/83QLSTxOVBM8Gqr
AFu7QdvrKCr+sodUdGinfn3/51Hz+bqFYn4XHfWYr0KKq0V2qN4B2XzGJ7auGzutzbKXX9mi+phs
/th7wGM/Hkan2SQQghjMph65JMvPMF3CTrUCagqrFUN2fb7BthXWdYc7vRybdlXzdekyZ54QAntb
9ZQvFL/N+TzKg6uaYoCncUh4jhBsssj56dgV2X4aCSr4c2rLHSZk+hmpZwi+2lMPiy75g9CigOcP
NBh56g6zXOEsAYg+WfVW59UQTg4X43KWVK/Y1u3Ae3PuxFjJ85I1FQs1NPKFqT08zmQ5iDbLV6DO
wwnnm0X3Ao67KF6hLdy3jTznHo5sa5ovC6ptP/Rkg2d7zMqd8mllxdPBemigrB2z6Xm2wt2qo5nm
LBzULPIeZglxyZ+qFq8UerNelMV7tIxgmwPtwEOHAiqEOCjJYbIoMYhl9c6bbXlvcif1M6WC5E9o
C53qWPdr2EZ60D316DBkM+Y/hXIl9wYU1dS+M3s5+Vumi52rehICjoYWT7Pp5xXubu5nmPzd8tPC
GEwJDFz78VlOsfGHeYUF8xEoA00PkwrLwtxhApKe67Ksxic5TBnL3lTwFGH2C0yx8PlFZat0d8VY
5GVdNQ2tbrPeoeJZp+ni7ndTBHOHYPt1PqgWZjEsoKtYLNwEXmn+Dqjy8/jjvJQeriko5ebj/+Hs
SprsxJntLyJCSIhhC5c71Ogql+2yN4RHMQgQIJDQr3/n9tu0+eyuCLYd7SyuQKlU5hmmZSmKXLa0
xGuMmqE6/vdO+EuG24JHGmXgbWBXnmvO7aFteP2p922xqzxhW+RIWAxDQCuYBPRNHaoDzAOW+uRB
sWffnZZtwY6AbddU+TjlxyGiF96r5dMSVtP7/16c6zb90/a9Ltq/brRxyRunuutkQjirbouhVwoH
72DbG4kPiKUrpEHf4pL5/zR9//TnNmfZlKCnHdsSJYtLCPabgeTyiYZycHmB/95lpGvq4BjpioxZ
7DNMYIiuIwPhATKzzBPSfJG0WMYDuLZjldedp5KHYOormsFFIdJZreayrdJqSLo+86NW8ywRIhlv
la+64EH0rIjuZ2er8uhFnpMHRxOoclLSa5Ja4PyjQ2UZ9gp6jdPJG8ZEZxR5rOnTZQ09ka0Kk5uD
9cdqfTVo7E0ybUpq6AU8tmk4KUkjm/NVT5Bkr7145Q/aAl4yZGO/WHGHjTCNJg1XQdBBgORY2Vwk
6OBRBiHWWUAJBfBWfkNXf2g/jB7x58fKU8NQZK4DEPsUdQVZHsu5V90t7LPC4EsnSgiIpc0qZJer
0E1teJihUZLEWc1qx/Anfbpk2kBM8m4qW972aWAm2oQZsViJn1cRy+5EEaZOqTdpdbLJNAmI4Xf9
kE4ATQxHnSgnTmJtfACKeEfWDIiEhb7rS8fLdJ4awPrQifSC1OILIue2LBtyVhViH6pkhqpiyOeS
HSXkHpaUXlmKsDNx/nJemaf8Qx0t8fSqCVCUP6gOizWNI+g9ukPjL6H6GA2h855YgKQL+at5GE+e
R1WcR1FTDBKSVbZeLkOQrP0JcB7RfPTWQso7ZuMZIElSshGyHhU+twfwRQJzcVG3DPdImmX0fgUw
nD9YInmQBlr58ONI5j4fbFPZd9KG/ZqpseqXvGKVJrlZ4XJwu4hQ+5nog2k9xRodRiQxPqKrMlRm
hbqYTPALygVM3giK/C0kBMxQHVxSyeGmb3ojMrfgQvZMUd61B1QVtTowfKH0noCFp9NEstC8cUb/
LQFu6njeDr7X14G42HCAWBvoMThEWnD9vvx3Dvlb/E0JMNAiNv4ylhdpyXALSiR5aLp+n9AR28pX
FSxZC68d/VwqT3zny9UoYOGm2teFZlugGW31HC1AUiC1llNqJn94WWNVvHGH+tvabBJexN04dKw3
lyGs/BtayvpTZ+n8xuHzjzTeH/JpuLl6z1SFa9s4mk+T48snpkElWlPeTY3SKQWsan2n1OLG6xYR
Q3coxsgCjAbarXcokwKCtSoch+pxLEXUi7QC+jHMIh81w6GJuFyfVuEXYZNSFcg5VTG0Jc4EsLko
Z0It0UkHEW3fC+gykg9GeXP9nBS0Izex9Xr67IMesZgUm8ERANEhB/JlJDOmdemMyhSRHFq/PxfD
eJx1bS+qjFvqszMNsMneU6Zll3YsqYpvIW/I+oRJ8cTuA7TTHDKVBGrpEre65ylkXqxN2RyN5FGP
8JByMJTQ8/TcCTMuKRRyoLyV9mW3unyqDZJrCkHT1R08oYIGqbeAQ9l7V4/YhcnUTf45wQHkSF7I
OQy/CTf0yQMLIE3zqFzF4l9FMdDyawPzFJHZee75nOquipLULT3tP0SUWZonHVhNPfoJLgCBQ3pz
eYS/iJEfe+sJ716DMSz3YdDYdoxelNMQgqqz5kzfCpr29b6r7XaAzpuyS4YCcaPvFgTkfY1utp2b
kwgs0jlBWNJnjKez2ncf3E7MxejJIrw+bslzv7+J9jlcsK2gbO9V3McFqoFYWWO7h2UINH1ZlM93
9nK2M/hecCKS64JE7xcgRH/uyszb2btkEMli1+VYklS9j/cJsbLt0H2sZVz2K8Imj/3r9EaX/B/P
jT/ksu2wHdziESkCUVtWHyLySzVhHnc/ioAe66K+qw3qMxqnOjIfa/VxZmPWTyQtiy5T3lsSH+E/
QLE/PMX/0lsIXQM6q0u5aiZuOTQ5Cv8UacZ4d7fSEhdL+KdMNblVcR8F940xXnxC1lqLn4YycpUO
6+qxKlOCtvRcp6XnPH3vBag4usxrVhYdo9Ar629DZ9Y2jSixK0u9tQ3pTdnPjWoz5oqEHGsA5Jpv
HvgAsN1xAbCEn6PrP7Gg6VaDe0YnYpQ3XZFU7X1URnV3w0WsxOe5m4e5SlU/2fE9GYZZqqxZtQ7q
FD+iEN88anxRpA2hff3DM542LrPJbMWHYi3NgOtp4JWg9vTrWDz2flDbu1ZbNKWzyV9ifQB8rCme
1YJmwH0PRTnnHXBFWevnaEDHc0mNRW0bHVa18vGjHEdZnmDp0KlLEs8xT4Ve2qU/AJUjW/z+cnbD
xY0B8O8+8crhlSrJuoe495OhyswYhPquB6ByaDN0L+L4Rxsof3gA4WMgr62WCyWHxW8rcNx7yH9G
Y9bRUgj8WB0363xZEHMYMCiNA/+bk4SXQ2rioa5UtjJbkDaFJDyNMH+mIOSOENAoFpWLwhT9Q41a
jz+Ngk+IEHPUnDyVnCZ8zUUMwt9jPeG+8pBQt8hzAga4wg8qgn496skHu9/FcSWfgIdThh5Qvffu
VPKVT/fTzCTq1srjfHnvEk61zHQS4YxOuXVCnUvic+9zC3TR1KUVRJsjVD227WwPpQnLjUnR+jXT
fIBcNBtNBscjbPXbtZYLxEuIv2ocgbaLeH3CFFyKKRvc5HEITXVxEVaZjy6m+rqwyZgPc0VjjDYK
PiwjjBdhJ1xlQUgtvCg9Jlh5CXHAhV+qicr6lya4NdVH6PQ72qVL6OGfZWEJ0N+5tvhV/mlti0l6
aQ3zScB8/C7C3827BCrE2BOmn+NfZBIlq1FtDAWsn4Z47rxXz+mZ19lYOua++7Cu9X4EJJLtASYV
esjKWiVtzpQZbHfbrc11g0WDLoccN+4+sYeyAwzZ3gYVWhDjsSZRqLscRBTNSMZnhjRxiOKqNT8p
VB3m5xhwhmo66F4XITo04vNa2EbnIF1iA5OR4DPHfbvS3/0Ja/RjqCeqBBav9debjnRthKZJOdHn
eICWnJ+CnS+foB4z5uWgvxm/Ie8SmsjgR2+Wvsngou6+U/BLDixYIzgr+8K9BI1vxA8Rhiw4iSgp
I5cKZsuhuLdXdMqd0c0aoHligyJpxOuM2X/f3AeuTGh1Y3GZrGRmmmQsP03IEEGfj7WNqvJAi9D0
N7IW6zIcoDYt6uEQyDU0n0KPTO4naAmL+hBOiRfVqS4h10PSmQXaPaGRBuLjQYKD53eZNIAPuRQZ
xLNDCiCFqNRxgcrgSM8RAdMtPMFNKpyKtIWx8/AL/jtqNamA6a1WUOmH9y2ydbDGdEmjGdDyzxU6
ZDE7WtBmZZLBpLlZ+nTqklmgcPKCgQwpWeEi/sqRTpPnkXYm/MxWD5OONFnaMcCzmcUEv9C0Yv1T
VU7x8Gr7tkcDL7CBmh8KUlP71YgF4Ii0XomqTrLgywiT70GBoJeSa3fAPxoRRhAxxDSMoVvcLD5Z
UBIG3cCWwwg2DlQOJa7C/iuaVSvJo6AJg1+gQGArXaZeJL08Rg0klY5ofk3jw7CgC9qnuDAu7sgh
ORW9L2F+Sb7htc6mSGMb86pNcTyY5N3caRpBC7aHYib+DZAE5lvN+lHgi64t8cfUE9c7wqkZlPYG
mDajdn8MS+aBW6C5IxdSBRjhYaq7AHniDab4sYJfUj41kTTzY18MnJ6wNiL4LuOgxa2+jnksPoBS
OaOCkyAhiSUtp7Yzl3gI3GBhGRAbIlIocUFjMMMtoqMmi2Y5iw9B4vf6TEY6mdfp2kT1Mgxby8bk
UlvM5jIF1s/yNA/INfdTjRkUvI9J5aP5gj7hQUiXxG0K/YrmBRbRCxquoC7QOsU13MpPgLmErn+K
yVDL9TDC3qRWt2ukHNrU/qTsLZTUPE5SSrtpPkER3w/WtIAKCTD1aI2u7TfAw4IKXYGkNJCBKYcR
xCfcL2C63MAAU5SPYOlh7C6LwgZf4e8ucd92C4YSJoW9yajCtKOI8WmKo2R6bJum7rtTSWo0qk4d
rrUxyX3he9Ut7TsyrY8mxm2xy5JppcLdM+fwrkCHwaAdAo16JQU59NRr6/bQhXi5XTaoq4xBqh0a
HU9KxxO2HcyvVjrkzkBOpUv1yEUXP8rBiM+F13OUBXbU1P708dtdgesNrZcfgTEJJHPt5HcmlZ7t
9DmgsWEZmtZA06Ru1SZ+JhhNt/cimSrUfLjBQTzhV1W4ZR2OChpdyQdkQUKrdAmqxDsSGs5zeBpD
tTR1ChofXb+tQImMQFE2K7mph8iZl066abkPABPQJNNDU3GG+sIhCTQp4PBISR8sGkoTTIYnHfkj
SnqmKzR/LW3tR2T22vsyR2tERVrTFjqQok5Y+bNOZDe+jPHMenEKelbGfjZI9CjuOBliEWa4WDXL
lFW+6qvzikY9SQ7J4ndqSQcP2enZeNGCtBwEQ9C9Q8MknC9FYnX45EhDFvTqowoQuYxqLbopG7Em
cer5gkFFE+Tf2WRNKdALTiOfMvkeHUMc52nPS66/eNYs4qeqi2BSaDm1Zl7TBWqH9eekUTDjTT0j
a/bJX5Kalekw9qCKp0U8O69PbTm3cFqfXKca7Dc0mFaOW3Cw1rc8XMbwGTJ4LHlfOT5IjTdB0esD
TWGoOgiNxCHihU406iYOCl5/lG7m3feIVoquadAx6w+pTEY//F5xgWMgpVUoq09iFcUoYKfmof5J
reLFcGmnsi6qFGdaST9O6E2RJq0WUgJYMIRa49Mq1ioSJ16hlqVZRUgMH125cM/HlQE2uzOqqBEC
BBj7SlWgxTkDQYIi1vp3qDuC+COTyI1H5fyrU3vnlql5BZikaY52oGZs0mBqWfG5dUk/PeFROJJc
Mct2ujWkn+i7sA1iL02gG+ynUdvNfeYlaLzKrJawaX/ui8COF99KSY+gx3Y9iu6lTz7oqLTjvRom
sX4uXDQ2M/rUHmt16pekD+49hz3xRNYa0ripGhKH7m0lQi4rpFgJSHg6rL2oOU6NpWs7lCVBFYDs
jOlJ9HNqYECvUkV4gv+/rSFld+YtTqlPbi2i6MbWcc9f0RexwXfXY8EAR9IcPdm+ZcuDhXBoeQOp
2QiORhAqMPGN7qZR//IVALI5IUmEZgGwUmV/LhZWz6+NgrPpewbJ5PJ5MR6b+7SHF9z6sammZjhD
+a40fhqTMOo/jgTqdD9cGwPok7NxAfUkpZBjMy9NMlAU9Yswil/WoTZVdG5FLeHtVZXe3KZ+oWb+
05+bmuN8BY7io0ESwfpA+6TiWAPrFXgL2M/DcGsdWhNfCRonTyvA//wOw6IRDnJAKL+z/QxfD1aN
VfKhqqp6aTPckkZ+7zUgj3+mMPCuHxvIPdDjWGMffhXTgD2ZNbxIOIxv/ITBpsoPfi5F7yVPK0wY
LS5QxiP83BF08S+Q+4v1Sy+pLr+tyYjuYopU36yPkelki90mV93dC2+t5xRta9O9MotSEn2eMCKX
Wgk13I2ktOwEpGHTvHCuyrYBlG6l7VmqAF1tD3Xdxxlqt+pxLpalOU219rwhXUAt8V5KsAXpz0Zq
MwPORqGG2UH3309xLEb4Kv2aTgeil5rcjcFcJB871Ul0vseYq4NfAQn6wXYBlF+wyg6bYHKRhm/D
HKIke/ImoyHyMzdFV+cLH7zmsIA6Ez17YrL0ZlxEEJ1rZ6SE24NN5AOTrnEibR2yz4sFYJZnfTfO
PU4bUUypC+tpviUY9obP0lbt0mRFF0kt8vjasniG4AmfjrVdGmRCExhWHwMXcXJSUxtHOVGgmU8H
DB8Ck8MLs+zuUHxGy00UCz/MMcIU4lgz7NCb1nVhkfPA1bjwRpU/3BVLQ6YBO7qvmtuqDYyE6qaP
0cmFrHqODxR3XvmwQNx2uswlJi0w+ZF9K9IZTxieo05U4YPlcczuWgLxqQMPvVrhYeGwE6VMxI7c
FsD69d9F2GI+MEf+4D/6ElU0LnFwgQkfhZqaMR8nPS53oaGhugTFoJHz/XkhlyoYfXuH+QZMPtOw
1kHypekrZY9x5ZbupcEuhnNm7fzhNGLm6h7DZQoUSivQgMoF2hw0ae/BhaDuYQmx0J3MZs8SWl/4
KgLPHSCXXHVVVnhrlMhc0tDbR1Bm8QbaMEMuAaa7rjlHZRc6uDuhtD2Ttpc7G99bMYwSzgcdKrzq
TCsUZKew4/F6ieKw3zd22OphsFJMECAx5XmUg3/qMMV68uaOHna1trZqGLGwLnBI7OeRztPPmOIl
KFUGz/uib0YaKH0IqGxNe5x8ckBR8Azf0l04WXjO/D5xXcBjXXxYQxwdwUyQ+Hk07yOxsa0GRqda
k2DCL49Fh1MnmVMJdu6+BdnMMSqHPnxtbJj7LWqxBJfePJBmnyIO+2e88a8ptG+AHG4tC3MXlvRD
Q2lRpFMo5Od9D7+BEPrRigFu3yN8mwTrwQU0OgP0watsX/zNVmUxTG2jkLMchgfFhYC8mceBe0tZ
9x/SyB9aklt2v8DqiHWtMCfuZanqPAidrFM/GIsLhwgxzKqCrhYHHVIPWXhtIVtOOl39rJIGV/8a
veWHCnlNQykJNwFns0Al45p6wbgy1EUxDMcOwdzG+B8mFYjiRDHuUGj2K4pWtISk/b2XRN10I5bK
L5FlJ4jhYbQk91GO2ZZh6HzcU9YFnV/MRsrqYua3LGqv2/VPK7d5MbAsWLWorbkkEa7JxwXDfHue
Ct/86on2GwyX22EXiY5tVQxw/ych5mJrXujp3hJzJ6J9FgwYhv2eMfyGhig/6xXegaeZpWGR7vps
t7oFtYFMMNBy6GWOGQUy9ce+sJvcCfdEEVjZYjqgc8hQVTtxPFuZAlUPfjE4LAM0udx1MfbNjPh1
dPuv5NPNFl3OGHHb8LYSVer8130LscmZTeniyuIzzeFyndhc1/uOvq0ZCvF0V8K7AUsAZj4Qv/uG
RVtZAbH4QFI2eG9dCcW2G+hZ7FuGzSb0upItS339Ht4HXjrsM85mWx0BwOJw9a6wun597FlWhPtO
uq2CQNn3uCGPiFtOp/rXQt8Yb12/pj+koq10QDG5lQ0KYVlxqaMXh2nWruXdGqB1gU6Al0TguIQm
UpfxeF/9tpULmMASgtAsPrMV7iak1UdvIPu+4K1WgIN5q6W4xeUF1EXG2zZ4Aw/xt0Xe7LhCotFu
IY2SV/Xt8Cmcj/uWeIOy6E0de+iwrvnQnIrXZJ/EEdvar1Qhp6DCIaxN0GYRmGfsA+RsnVfAeZ/Q
p0XgyP+m2wMrf+xahy1duVkltsZ1SD3n+ibel363LGUKzjnKVgSNu+zTsk9Jg23ZybyKGjT7rktA
DlF0iHbm3q0HBFpHlQ4Ukpl4MHWa7CtQt2xkiC/HDr0CrMGT/Na83/W2thzkYYJbBVpeGP7zXIjz
+haK8y+bbMs6JkVA/GjAwzo0RD6hW7XvcTd7d/EaH0NJPC7Qb/N32u9LNVuSsamrau6vT7sAV/3L
3/nCNjeKbpEREdcax0FZzRzGZhcdiW1ZxT1UBUtMinD46HOLbuGw71DbsolLo0nRl4i7mkOhAXvK
dr20LVkYY0LYsvWIO7kvANOmhu28E2yJwkMFZ8l/vjKPpt2asX1uHGxLERYFHWfh8MTMHXp12He6
/4Np+VcNydWyFhQG4jnor593one2bOA1aDwo6iCoaQ9h9a7cx/BmWx5wAMZAoy3iNs2pfeH+vlNy
a8rQUT0tEjCE3IkDtTc7XZXY1o5BFr6bJ4a4qztDE66f9yUcf1OXWtN6IFv///KaDl/Yvj2xpfvW
wodjBEVclZzUp2CfLzjbknzjqV5lDBG2fFEHzVPt7SvPt/zccVx43V8flyCPAU+1T/OIbWm5bGgi
lwSIq19LnZb78LRbOi4bRCj768fgysMgM7qzit4ScNlkdaHnHk+7nMAwDct9m2LLvPUhcIt5nsLz
fne3++RW2ZZwu8R1Y+IeDxt6KdCkxc4Pd3uoKX8lokPYEVCr8C6s9mFIty4KAriLtrDXuPGl0n1K
odm95/ihW36tNmVQ1iMiL+tD19sDE/uUHuiWW+s1wgLasiKhY4rhHd2+3Ybi9vdmg9JNAige4noE
Ov0pMBf7ViL8Pe7qLR3EmxG3d1nMcruv3gWy7fe4IHPX1u8Q1x7FZV/mpVu+LMH4KvZmBGUcVf/j
tG+z0WRTQvqLiiN7XQT6K3jnf9i3svT3FXAkmqyAJETuXm2EYfLOF7bZbKXAqA43VVxQjv1l3w6m
W8cD8JR6uLQiqB98LcqHUOldqYFumbCu9ZMgXhD4H87VRYv3uxZ3y4EdYaKsm+vnNX72n9Rbest/
vqGA9Pv7KxvihPUDTDvzoL6A+GP3CW/SLde1o/0kUI9heY/hYZ9dNd3y+zxbrgNQz8g0ADHqdFC7
znW6dTGY4C2qJolF4CJvf3pm132Kbs0LGlBhSaIQ1qHnBljtrgKabgH20pTrOF2/XPZYfpK7blN0
i+VGvMkk1++gRid6ys3OZ90UjpQCckghn5EDt3kX7VvX7TQWcHoJx1wEXb7zKa13KYTR7Qx2SkoG
a19EHe/cU7Sry0a3o1cFuBoz10cdH83dtO9z3ZoPGPjhAliHoBi7W5WxXRd1up22lp2GZtM1rMnF
qdv3XW3nrG0HldYogIR+8cSexM4PYHN4dTaa/ZgjqFzSVeTzzspgO1sVQsTAZSNuIsBRPIa7ZB3p
1lCAXieRNkJYILCzncll6yNQJmpSdYyg0aP/tM9/jG7534kGRnu4fq7VQ/J1+LTr4NrSvj01w6G1
wJPGN/3rzo916xPQOs1WP0FQnibZr30PuikMIa8cNhAywG30e3mcX/cF3VSFgF17PvBv1yUNXpJ3
+4JeT/N/9VCiyK9DRxak1XsOrPS+ZB1utpWStXXX8XLezs+L+tjugyzQLfPSJ8CUQpQMB5Y86vhF
25d9q7CpC3U8trDAwipwPydTFu1CndBwc2YxaFvq4XoQ0Hi+TCiKBoDqdj3xdvKNt2ZHL8ET02xJ
m33ZcDvzjkwAcdECQYsn/hDs+xa2A+9paunkXde2Ehk4Pmaf0RjdCvQr8DNUteJbMN1JeBcmdnVt
6XbiTUk30njC8+pjSVLvx773tdlnvl3B+a0RtVlvHFCR+zy/6FZWvzYQFomuSYHXd/H6bt3Xwafb
cXfSTiOR17igb6AyoPtgFXQ7756BwoItHOIu3s3k34VsXyWzFdAfalBpQI6+1lz8qd53AdtOu80c
9ZVEYsh7mSbdgeyNG2+SLtcl7GIRV/6oZVr/3PWJbYfdvqjgb10BpBEVGT/5+0Tg6XbUPS8gzyUl
wi5B5pOvXbWPjky3o27BGjFCswbFzMcJ3Iqdd/ztmDtQ0NL2W4Stq7tE/9LrvvpzK4Yv63gpTG3Q
REp1vvdL2PQ5woAWvWwQdDk22T51d7odcY8ReIj8GrRt3g/RV1XvXIHNccajhUXA3OMDm5rbWECS
uFlms+9A28LRrnLllZF4aHryH4p815bYEvSjWljaCOhRBdNXtmCmNe/8eP+Hou+gbwVeMCq8O/6F
7bvjbQn6lkPrASxSBAUbQfwIxb772Jagr7ya+hFHXChX3xQc3WBw6/eJC9Mtib6KtKmqBvuNYlLk
7uc322rXo/F/wTt0y6O3Q8O8ZVqnC5BB1ruRVZ94/MAqn/SHpHegE6e8cAE/gBXrxXNWBglopAy8
Qo+D2u3ImoL1YKbch7fBeLSymMZz0jLK78Kl8LDfOmrNnAe68QDbjQYw4aeHisLwCuwwreZYpwXk
vdX4GLvIzA9WFSUIcFMZDzdrD1atd4iKBsxQIF+8ueG5tH0dHehYrgaof2Dn6akJBbWnRYy+eWn7
CU6oKZS6WjjgFLKQpAEjExzU9TTAwACEYti5TWVGinXoD5A3atu8FZ6dlpsgtsny0MahmJuHxkym
e0vI9m/LvElBsLWpndNC5J30yg5bug71Ye16rOi+Tbgprj2/g+8PY1W+QsUUPhNNDbZm8fW/g18v
P3/6SDY5KapBE/DhPpN3S1uYXNlZdJcS2iEUViJO7BsvgoDw+4kNVT9wUhs4e/JYgoZWh6yDvltc
1fs8LegWOhPiC2UUnK88xpeVT55MvkBUFKTK/16mv7zkLYImsiFXTqsybyhorJclaWwEmRlLgjdG
bn95D1swDVRExxgE2woko6Saj8yOBXsVRhRBqsGPBw/3v3/I3/7O9b//675KYlaATN+C7gphruIi
FNglL9oFIOC4vpDevkbLFm4jiFhD6VV93i4rhzUnqx8L1/f78jzdXI+DGdwkzpY+T0CCb7Kp6Yb5
NoYQw1t2sX9bpe2eVvCknlypcoADoI4gwde00JEgvYOD6Qqtt/9+GX/7qjY7u/Z5vFroS5/AW6M+
iHdrPYIX+qbG9t/ibzY3HM6qIC7UgPtdO4L8s4K3t8zBvjbtFp4Dwz7HtZ2haiZj4O97EbgPLVxw
+Bu3/78ohNMtTicZ2rAzqp5OIghKdUROLZ2GUMlSzJ+qsi0qwJ6RqMR724O4djPiMBGPUGoyEvID
vuzvYiEIeUlsGXunvk50UKVeIcbAfyMz/+Uz2cJ9ZOfiUetQn2jFa5Z1Wkt+rJp2EadiZcnO0m6L
/qkCkN2CtpxPQazD28hXxZc2bqt9m2mLAtILCPvtAnE6YIHsjyKq+UfgUctdY3QQJH/PN4kfVyEY
k+PJ58Q8XrEgHwEahPTBf++g643vD8fXFhUUL1FhPGGGEwGIC7IDFvVf805bBsfKGNYf5L5rPTtm
ruLe9N7AO9y++++//Je9tQUONSPIrBiDTae2X0Va9NFyu4Rs3df02cKHknlaQPmL1nOgY3Dd+NSd
YFT2liPc9dT906pt8gKJi0mA0U/PZpFl/9NbMXOK8jaOTa3vlOW1eGCzkOTB1S16j+B48/ZYN6w1
bzSi/7JxtmgjSj1wgZVazwB7xr1OIcDAwvd0FKH9xEsvTl52vaQt/Gisy2LingvPU+kNX69GY2MO
XQJw2PbFj37/un0WhksAb5xz4HXBfSQSesP9dp+lO92CkcZ2dS1EdYNzT7zmaaF+uCqoclgAOd/Y
Pn/5iP8HmATxQNBYvfDcBl7/LEFNuLSUVB/2rc5m709BQ1iNW8EFCYZcpIgNJHHQf652Pv2mDIBC
IXXI6e2lmlSBGwDoyBJaKm8cP39bm00NAE8WzfSSDBervDiFnU35LSRx8v2/1+afu+Mf9iDZnP29
nlgJgULoS5lB4iQLZetB+62Po/AFv8rZLmUQvfxqolgHJyiQD96z9SKQxLkhzfCrGLyV34TV6oXP
BoLcAU9HyBZ8jWowtpEIDSshiFTMWB5LVzUfE990fsarURXYcJRq/0jN0l7FT1kD12vM70TCPpVJ
ZFZ18scBCBceNIuX21g6nJwy9L0XWKj6333pTHSIR6+Kcmlq0byL4eUzp1Uxdl7+3wv05+X3t6Pl
UkU8BKY4OfeQ5T4LOJ0+OePcrmMJoi6/b1yx+h4hUZGcoZcqjmAte+/GhjZvtMDp9SX+78v1t8Nm
0hhW8VHJi4NgVhulTobQIcq4gxAMUito5ClUNdVa3jCmhHsKw642x4GTkT+sA036TPPVQKeadgXL
FPe1uAw9nerMK+fQ/h9nZ7IkJ69E4SciQoCYtlBDF9WT27M3hP3bBgQCJBACPf095ZWt29UVwbYd
hgI0pDJPns/NYExFErXXVZL0ZRYXXAdpNcAZ9gOJlkXeCQMZzba0la2EM26r4RUeqFOpuyhjRox7
+K94m2Jg11bDoS3ec+ppnk/Mqdcnpdr+HWFRd2OBvizEr3wIWxEXDk3EQ78cT4EXMN2kjHZre4iL
NWryRkSLSjunVgncoICyh9h+09i19XIJDzrjDno+gZezPhCj1UNcF9t6DtzEKo4yrNJO7NH5ZDrP
+x2ipfWToyW/cXJ7PaJybe1cwrzWQYOlOqGtodEfEIagrqkAOAPosuA8bHPUTLxiXyBHPAGWOlHy
bttbs7aLqgxLUvjDehoSRf8LIPyPMpjm8Vtw82tPZm0XFV3DaObefKpCvcjnhuMBy7RauRcexr6r
WJQuYwRaZTZOdQ3jHNQuxKZo0bWBFbAtqnmMbOqp94Q6ttPqvONi8b5ue3PWXkJ6/PqYSv/UIRqZ
73yQT8bcX0v/RmvWn4P1a9PIChhVl8xRBzDWCV6zpZfcAQlFYMoM40Z4iglvkvH5Yq5JPnZUJ7Bf
k/E0JDqTqIzHXxVltfuoYSvoH9vQq52vsNyFK5s/14mApBTr5HEU8OKRWbkkUfwfPDVZ++wqdlkn
exLCLjwGrNt7GdsqNoDFVMst/cplzrzyYLZE0AVF2wuXmJ5WnBfL1Df+quFb2VelemQTaVWXAp0e
kRvD4E/8/tr9rH1HClEmhpfeqSNswlkWxoD6gwykLg+JqQV8aiiopofCAZvggEqMQ860HZryQQ9z
Pe8rOI3cIuS+HoO7tt6wQpo1atrCOcVxMpM49YQeFz+tRBmAa4g2Ibe4lcG8MvNsCaLbooN9CH12
Epwkct65DYuKA+APCzv4SDv1j7EXMv9bUVad+W4kofG2pk1okf7d6B2Hwm4JXiynSqGpUIiYnAFR
v9UGeO0dWktWx1beVQ5vT4tYvU8UeORyV8HhlAARXkXbmntdW73Ik5JLiXzyKXTncYHTNSXhsSiB
zty9vX68fh50bR0jyIwrHKOC4tTEl2gzhfveGDyF7dzqO0EGuR740jrOCS5uw7TrRxaFGVN+uA2G
5tqSx1XLwetdUtw5WkzvVRC1WUvqZVusZ3vSACpAYV0rk7shvvjV1aO5E4rF2+IXWwJYw5eDc+24
J8AGpl+ydQUcrOZpUx4ARaZ/hy+sqaap4wlH93Uzfk4owG4HyNCj4saXvwzUV9YjWxRY9eBkdIto
T10Mh5ROivl5QEv2piOUG1k7bo0iKmllx/Drw+RzOGsuU7TiDjc+7JXgzhYJaiDWJAo6zSmR3jTX
mZzqkGfA5vZwaQedw/wHUxbOwKBuqBzjGyHltVdmbbZeCeJMaVr3BGsr2KK6LBhlHtCWVPu3Z+OV
RcXWEw6dCSIH7UIndKCIMR3l4tZYVWAR/w25rNlsC7dshWEDj7G4Cpk41YyA/dWE2GB2i1qLddvX
t9WGpeMDlusCqVc7Sn2Z1Ro9lERON7bSK5/Blh02Cfxzl9iVJ6NmWqUuTliwDlop+/D2V7h2fSvK
jhB8UPCQxtMEx6kq7ZGo55mCx9fHbde3ZjaS5ZxJgHhOYoTR2x08QqvlIxF8SF623eDyYH9VelQA
S114X17y/r6e0mahU3enWjb1N8bptTdkze7G90W9hCu8g0g9fWKrM2QVwA6ftv18K/0S8XYBZbma
TqA8qC+LDgRUX2Mzbry8NYvVGoDN7UfqFHlwLwa8sqE6Z3SU27YFW7pYRO3iNCqASTj8IX+F8GHL
YAU6f3775VxZ+Wz1opzBnvJg4ndy0BoMA41RJSNqHrPu9lpBBXHsDaHqvvX5tp4XFKb+HU1IkNRz
Be30Ce6OqLL2vj8bGFGadeOZ2ZY51uXQuas7ziciSACVY98+GOZvMxlzbbGj7lg0dZMTnMqFcWBF
aHPWRg7v3/4cV2aCLXlcICtPkJxKTgt8XneaBPy+BVLr+9tX/9Pb+8ombXv9hGER4iTaRafSTJJM
qQFKpL+DzGINJWQXhY+Kuqj6Ns5nGtX1Zz6stdpJ7Vb8oRnhV7u78UMuk+O1H2LN+IHVRRhwJU8O
nP+YylYNC8kyayWM42FbXKzuHZKasDyPhyH5GJB+CPZVU3vji8OKqWDp6IN9uG2G2QpL2QbSWQeJ
Eem1SLsHA3/PB6fetrjZOktQ4LolgNMnru7LJFPhKnH6XcJpY8xrCy4HDgNwkKbGE+naOm+WaTx3
0XrrXHtlRNrKSzZWC9xDqyofKYhloKVNd4EXtTcGwrWrW4sBDxMzFf5YnLyJyWesNOWHNvbcGxmo
8PVRZuswB7/pYpg7VjlgCl38zYWUyBzqyPHKL1EyF8m7dpg8vqn66drqTEkAmWiWoMoBEvXdrI6k
9+SpwAwbX5W1zS8UE7OAviZPtBEUuYuS81PiQIRx9/akvPYtLn//a5sfCl9L5qrkVAeBOZgygBGo
NzVwL992fWvO120SoBWhSU6+b6bfFZkKeC2XIFdsvL61z9crYwZr5XJSaHvbe0iPHUZeuRvfjrXN
Iy8KZNKyIsgF4vOzngf6a1qT6cZIvfburbQY5DIlGeYkOU3hzPJ4Ney+aNnGWWYrOkGIICOHJXru
Szh4n4C1jPuHqa+735u+rC3uRJ4Xxo84MeXh2KEAVcjBByU8BM1v2/UvwcvfI1NwyspJ8bzWjc6p
G+kFwCxBb43MyxR6ZTey1Z4JeBZrWHfyNDncdT8bdM3or06DgO73Ipmi77Y9hjWDm1GayJ8TnkPD
Nr1zixhMoiTa5kXj2urPpfFB2PB9gCunKY5gRm7MDJ/8vt0Wmtgi0LF1x8mImuUsBOI84zCBHjJO
Br1JBAS25b8fGeVpGFMifZk3yZLspmKo38F5e5vvjWvTlXy0sbt+vJZ5WNWOd+BB2QSPczsmG8N0
2xzMHYCcazvPOQGrCZB00s1fDc4wx01Dx1Y9zuDGRED98NwxI9SpNClGNPQiA35Lqf4n2HllDtiy
RwnqpgOxpj51HZmjUxIim5OWhKvgIOJo5McCjv9FuFscpZ0PIlCOm5fIhI7AM7Rd8xX22oI9cxno
4hPixQTgCQpw67oLks739p5zoZzIBoXljHViGQbwRoDlPQXAYMAvlkWx/9KvovX3Qd0UE6iSa+3c
Jd0EIEgnOyEPIW2Fd1cPdHZ3YINEQdrAQSB6R0DodFIALxPzbepHVaR6NR370TkgqO954dHhsUrc
ut63FJ27WT1O3gTKizDLpxZ9VnVWe97823U6vj6azp3Uub3Y6VfpCgNqF+XsquucXEJFNs6pC5t5
mKmvdRwkj1jtihjHpdXf1rHs2vLQbnVwb9TKT5jDcrkD0q9s8nhqxl/bBtIlVPprKXX9yPRD7XY5
Za4+J2SoHvtCh5/evvq18o5tujbTJUiAcuF5gfXBnIDbXtAhOvhL84UmNbiEApaz/rdlbMsy8+vR
q3dhr5UL2jOG388mWsjwVCgPqGkgTaSBw8vsO4G/k25Sen7atwBa5Kw2eng0S+/NTyj3AFCQQCaK
gysvVOLfQcMnwcCFRt0Jt9XFbBWqQYoFor+e5aS/GLfTYPxeekZvnN1WZOTjeMDcQaCQ7MfLCVIR
oHvXprmR+b3E0q/NbGthrQDyWBOw2MA/bSNR7VTMqXiOYfgeHbt1qZtfkyhBvdrFnUOiPTxbA/3y
9ni4Etb8UTX8NdrAbOvqpY6nHJ4v7hmstyFnnTQftl3dCpqWkHlI3DpNrtdkBpBgnF4M2GC3Gkuu
RAW2KlVf2vwV8ub5FNM+eiojQJWfQLICFSTul2Jb7GRLU+UAOol0CpbryjgXMgC4almQ4FVtC55s
aakOazHXFCqF0aDTDVU5DvzNMPnVl01fwdaUVnz0zMqHIS8hY2SZ23H+06k3ikpdW1QaEjrMIHLx
fGihLGyA9jipUIhthzZbVNrPbh1p8I5z0ZXzLgY787Et61u2g9dGkDWvJ7+lxIfKLueJHvjRCJLw
g6gaE6Hdsh+3UT9dW0CKjlbq6aTguRT++NAN1ZQPUSFvLB9X5rAtIEVE6cWlKjCHAX3dq6D1jhrU
7v220WPN4bj3Nfpq3CFPuOiPI/WjlM+Vv+3qtjp0QUJkrSra574APSlr6nqOwKkLQ3IjaP1zhHpl
cbV1oR0B4Vw63pjHF7rZvanaanoBn6aG72wdqvELVW6Irl2VhGTXjPOCXr1KjmvNsmiug/F+clRI
PvWdG7hAHA4Bqb9q3296cI0QWFWPjOu6eRFTLYodMW6R/DfSFQ77KOCWQepXSpKXAbCzKhs9IXmq
a36BA8bhVPVjivxdJbJaDy45jWvF/R0Hh7HYFSvrnShNCsj1csAT1ax2tAY0L6tG6ZQffKDQ6Ee2
gPjxXLc92q8XvSwwpp+g0NiWMSG2QMhTc+QCNiXzgsrmAfwj/RvJMb6prENsly0BylsNHpWX1xM0
bqnxijb1GOE3cqlX5rbtGwh5GaTtsseHb4ZifdfHYDu9r8ESCHbAOhfb3DtcW7nbKFgYOUMr82UM
6g90HQsBlJMS2yprtmxXKidGZLAMeTtEXO8d01T+Fwl9eL/pK7i2seBIHFBB+0bkA/JjezdZwRmb
6XTj51+RG9j2gsC8yTjiROa9NvjUu7oNiiKLIJVEr02NhbA6Fgx62yMaxhqT9YnfFj+70B3GjY9n
xVa1q5a5at0pLxDS5oWq5u/VAKTipsXRVvbqyCtGobXKQ6hr0EnpILBuJ7BE023XtxZfWfZLAyyb
zJNhaN4jLbQ+Bq4zH7Zcndh6TAUeEhoZW5X7dVt9mWejgEMdw3pTQo7YgkytBBtaZw5PTNXjhwax
/pDS2NsWugJL9u9BaUoWVxleqxxuIX1eTm70KUIOYVPET2zlpelrBeErm/JlrsdntGvFPYh6Rbzx
3ViBRzSuPnENHfPI58tREdcBewCH3m0f1h70VekORERTbvww/lkoMcrUMz3Z+G6sTCvTHZDMvT/n
q4rq70zO7XOh0Im17cfbY56xAQuSO+e16Jdn3SJ9joL5rU6z14MliPj/HTUM0dEgpmHO58BUzoM2
oVedGy5wutr0823HQMrgNNsaGp5CuXZqx4nqnf3cQlu1aU0gtphvintS6bCY8wAYujI3IqTmlHhM
bjrvEFvBd/FzUSzhOjddOTzwWo/36K2LN+XRiS3Si+qoHXACWZFzUO2xQ+cT4BjNNtARsT0FOap2
QLc6OoevGr3vfaf7Tgwhm1Z79M/+O3aCBk3foyBe3lTay+iIkZMsjN3oJLg2Mq1JG4+BqGgAY2rd
N/43f6mLZ0ZIv/Hq9pyF5kF4a+3nCQTDJ9609XvdreTHtkFvzVlvdMdxDR0vB4w5gfCLQMqbzcjj
vmy6vt0h0koPFgW+8HOfesgz4hCaSjCtNp0xid0hEo9A/iVeRXPoBYH9RoeCirLRkc42G2Bi94jU
07qIgcx+bvogAZK1wkk2WPptU+r/ZIlFXHogNPh5O7Kw2rWdW3QAtKL9Z9MhjdjKRC/ikwZWO8id
xm/+A4dv/a+WQbBtN7F1iUrGdd0p6udwV+RZF1X6Zwfl+ab4j9i6RIPeQ6rLieYr4T4BM2ccnVRy
oCK3Lce2MlG4Qhsciv0cdr9iFzApvHTtUdDbeH1r4gI7jvaIcqZ5wARVaTgMMMwQNd9moExsCSJY
GXIoGQvyCCG4+Fx4SRP9WMuRbONEElt8SEPW0ALmBrkKiALf1u3Ih25iG5d8W3rIW6DbHbRk5nTA
+bGEpPXZwFLxhu70yqJsSw+rFT1Lo9+YfBGAX+8Equ/iTEYQx7eFC2H4755SImSdlInXvETG/ADe
NJhZHnKxwbbhE15Ox38leGlh4qJW0stNpYtjBOL8UyX6bdoTEl5e219XN2AwDWItg7zj0/Rz7RN5
lEFxqz/p2su39lv0Qy+CEEnzqYdWvHFC/R0rNN0WZ9oGiSpu/EBy5eWKSf0hinVkgLIXGxtuiU1F
BFR0MiBrR3nRNc0nf6b6cUJz5cZfb+24Ji6bNSYY9i7azzo0MEk5pvKy/m/acW3Z4VxJtqKcR3JX
9OGUjpFD2zu4uEfBxhtciiF/DZ2kByMbUHeax27oH5kLSDag6TFWiG0PYB0PoUGD/QMI5rmJHXNX
FwF9XhMdbwsZbJEhYRKq0kT5+YIsMT0Gi0zgTtdV4zanWfJ/OkOfIXrV2NSLuofVLrrl/R9JMH7c
9nKseUvdBN6CUUXyQEpApVHWr38tZQBXoG3Xt2YuYyKhgXZMDn7xeJfMynyIS5Sot13d+3foQBfv
rn2o/XwKPNjhVVWk62M0OnrjomkrAuuxHRyHr2HuamWeiiISU1aguulsHJvW5O1b3SVr7/q5W0Tg
yrdu+xy57bYGRGILAmcWUSdi4GEHFWPzwYsnER8bCFm2xZs2gBB5aRMb8GRzIMzjb2Hrkx+NT35u
+ra2ItAZApg4RE2EkuFMspIP+hFa6luucX+KUv9fDSD/pwF0cKj14irJ/THueZxNvhn6DLHyIlNB
16TYJ3UC6niPAGhKUiUMXcD5TtZkT/nkh2umC7f2UvxfBhztYqaVHExHxPoR0NpiW16R2H6PTYlG
E12OUY4eyXm/8mYO8FtAw942AG3jx6CbGZKg2LfXuS+/1qMu3pm58szGy1vTP6IVFWA0BDk6c4rD
6lTjJy7DeNl4ee/f+T8lsFeMloDmHXGccZcUYdE9B1O9sWGD2K6QwBKb2R9wWObBbD54MuzUnkVJ
fNOvDz/0tVFozX+oRWBPP/Y0l47Lfy4OBbs+Geofm6aQLSYcYz3gFO7Hech4SB8GOmpoNZpaNJ+2
3cDauiuGpG6IPq/cU50AFtLjgUgbZ9gYmdmGkSVlqPWua5wLVOBejGrJbhlghrdt+NhiQj8sS0fS
lua8cMrj3E91kJYeepq3hWa2haTPdOF4TZfkDC5Lz5xPzUev4tO2rdVWEXooDCKXEHs5CDXkPmjG
5aUIR7UtKrM1hEmNTEuPOn7OEMyrNCk7VqcVa2+1r1+OHa+MfFtD2FQTqVc05eZDJZ1xH1Qj6Q4z
m4o6DULXf7dtgFpnZgByq4ZWKsqrpHP3KJjIA8CYxcu2q1uzd3aCWUB4luQQ7ujcI85w75lmG2eC
2ELCxBl0NAAykBvqemcVJDwL0JC2LYVpiwh93vaBNGgfcT09fBIK1fBjAWOdbY1ixFbHjaivlgUr
2Bn0crUApozaPgxO4n6bOyOxzRNpZwqgfhg765Is9KwW3YvfCJ6i5UZ0c6UFh9gKuUl7MfH9tT5H
sqVun5HEl82+xjxGU+CgpgENtKEqDqWpUf5Pl66rkjshpC5ghoD2d72tOmcr2tjkeGE1d+xcwi7h
Lu7gkFqzRr5/exBf8guvTMQ/+sC/jl9r3UZdXQzN2a20ccCTw4t8bmEHTZHDEhKOr0bCNfbtm12O
Fa/dzMPf/7rZHA6KjXwt8gUJDpmifIG9YkBT6i2GyJVlxZaxQYoqRtFX7Zl6QbSmUZTwKCs8uAru
B5zob7yza49hT3xCGoV2mObsFNHw6JGSh6mqO/F501uy5WzN4pC1iklzNkDN/oJHIs+gcw9urIlX
PrgtY4M7sJKYO93ZM525m+EhctdDTL/TTtC+lBW5ZQBx5SXZarawaifpV0tzLkI9ApMxB1rsDJcw
NHr7NV0x1iC2ng2OVKWrPN2fa9Z2vMqgw/V/agbH4d/FUM4F2kgXM6SAjrNjFwVQCfdrg/oqzEfi
3Ic+9ePbP+Tak14G41+jOob9oClWzs8MlRWRea5c68x34bB3Y9pc+2SXG/91AxJNqylZI84NoHwn
2ekF7oNCFlmslb8ztbllbPBHiPbKBLW9Fedah70b406SFtPHhDr8SKnXZWFF0NMNq5QvzqUCkE5L
36cDIpqjqeZkB2G32QfgTX3Y9katdQLdOmVAHMbPplr4sYMxxN7vl+TGgnp14NhhQalARXEnvM+S
tzN8J9AUn1Ex1F0aBYw8aa/ylrTpuQ/dFpB6/gEievK7Hby62s2cVv6NIXwJlF973dZC0qhR1cqf
5VlUbOBZH4aefvCasEpS4UtO72Ihw+VRNlP4gXUDwpe33+8V9Tex5XajQncXXLPHc7W062nirsrg
17d8Qtz3iFCEom5aPfXUX34ipIfWdfH9XdkLt0xD+NbewcZbIxV42dmjnvWpaN34dzlHyX0ZgjZe
VGH9foVq+Q47Y4kDs15zcJi+v/3jr8wGW8iXEEfHvlqmszeE7SFh7voeNrHr0TfG/0Xc+ZZ31JVp
bevGJsi4mq5V0zkocAxMAxphR3HDSt7IXv1ZCV/5+rZiDDzQooyTYjijitOyndCR5tk86tnspe+Y
4d7xlugL/H8Kckz6QpjjQEqPZkiC835Xr3RoUmn62H9klY4OA2C+sBdK5sg7MNHV5NiCIT3vt711
a5Hr1YDm6WbQZ1gQNpDsr6R+dHEYe17qVR66IL6FD772ea3Fjq1zkCTGm89Um7XJosFNsrmJgyOy
K+Whk314q6J27U7+v8uqxyENDNdSnusuKdk7gA5idzfCfOzHUFXD8KxLHWxMtNgk3GXtTO907XKm
EPyO4L+WJt6RelY3dvU/KcnXBpO1ppUzHI8DGZgzuowp2c9zbDws1lPbH8YVe9HPXhb6i2gcn+6i
fmxphj6O8KVsOhdHSEZYkQmAZMd0xWh8pEJ08lCAkwMDj6GMPwVGeuXnnnGnnbLWgSucyFRb+WPq
cHAhn/sJllIDzomFlI80pBPbzesUxR+IcONuJ0g/De/8eDDuJ6n7md9HMYsbNAYVa9NnXds5CUcn
XKKK8lgujSyLHTiLZVBm0Ct0ywvcFZEiyYgIB3S+R0OyiJ1bjp3cKexC53GEROtAiNd8nlGI8lMf
4JET+nwN2dfw7H1aIP/72dA4/AWFDLw9ARzcBswgxFrEu2YMue6oOQcBnc96LfwHPYXi1lL9qnIS
2jxLqEQg+gyntpzOBXOKnfJMLDJHov/3iwJaRKaeNHxKY71WX+eJzn06wUovQc7HK/w09qPQ/VDC
VGaGARJ8n3dUBWhTkp7zGV8ggVn7FKgchVLsAKFbl8WQSunS+4hHBoaVaKhi+4jP6gftQtJkCEz7
d23EveZA6Apr2g7RJDrOgJ4dbpy7LgvK/w1kPK+VVDLxEsxzuIozSkCBvHPkNDwkjKnxkACzdcPd
7tWpj5tYRaE46GAWpF1xbvUSUmB6hiDOEjUk1QPOP2TP2oAXW0pEuNflN/wVvUWLM7brUoxnOYv+
AQ24YkmN9qdPby/Mf8Ld116YtTI3PBYuLBvHcxB6vTqGPp14Hnja+eY7jA4pXPb8JtPMT15oEGiV
Ocj6JkfZ9+QlXmIzHmqJX3U3xfAm7ZLRhaxgVe7naZ3cW56cr+6leAfWou64peeh7uOex8DMO6cJ
w9T3EX68/QpeDaNwdWshx244ez1HRFAavpZZMbn1tCtjH5+wl2j0T8POKz6GZnAy7Slz45h2baBa
QWoDYCkvomA807GJRNa0U0zSwB35uzp2xpe3H+3aTaxlHTQOeLuK2T+Lnq5fO4cN/2Gq8u8Ok7cm
3LW5YK1fcpzdYEV72Rl+5r87wZr7QpcU3bGdYWkwkP6/TY9iKy7nICpDGFqV912BQHGegvBDCJ9F
tHD6wRaVBoTG1tpBiLsErpDkPKN58hlG8fMjJIa3PPmvfAtbcHnxTdM+2mDOHWlklcnBga4TZPfp
WzDU22omeAZruQCjzxshlF/OaAXx9+Bc1B8NDNVuTJVrz3D5+1+LUQHvAh1Wmp6j1qO/F7SY7ufJ
E8thjcp1U1kTj2DN9pGG2Ec8Zz1f2pzuiCeDB9WO5kbcfGVDtNWX0eoXtewTegaUSeyGjpYnB2Hh
OejLKEuqeWWHBr0qcMPxWnP0h2pTkxgey5rwHE44/To4/pmCVJtLpeiQJY1nfgZdB0rj27Pkykpp
+yImDWctSdbwXAhl9nO4OC8gsJvDtqtbc931cNy7mG/c1yGcJOOk5S1s1Jz1xtHsyuiy5ZllgHQS
QA8hPrzTfaGGXjRSjvwWO5O/e/sJrt3CmuKVquohQAx0v5RxeKerLvzu12Wzi9ul3faSbJWmhLdZ
scAp+jxNATvHPK7hyFdPt7xurj2BNcH7pNKJCZLozBNX7twBHnBUT/QOnWb+jVl+ZRDZQs0EPnbj
gvL1eVByfWkSmRB42qr5y9vf4PWTKzourAkuoBORvWiK+0rNsdiPhkclTwMSlDKVERm6L26vNTk2
HSqP51hTMu0q5N7648TckBygi1fm6wD3gN/o/V+XHTMBOgupJ5wljyuSFHQHEnTn/X77B197H1aA
YJpCdD3tivuLRv592AG/lrbLUt8YMH+kXK+EYLb2sxI4hCym9Q5NA4fbR0L8+kfJ48XZMwksiXhq
VN17aBp0SzgiUBx30n4iU5DpwTHJu8JpTQ7TiAUWq6Luu7QMAv4tNpTqHQtKhHY0bpDEjJu4kOkS
VegL5hEGTTbMFedpwYjW2UxJaxCALOIhVgrZsrJGE08W18o5oKu88VMSTsVyV1aeuiO969bHuJjD
Eq5hnvFTVhLzLRkb2mQebnx0CKweMr6K7lQ48MfIyhWNQvtYRf49axQaxTjBSdFHHZI9zIYT54WY
hBQpCqj+XYmWrmAvEG86OzR2mSjz2NKth8lH/WS3ll5LQRbk88dgCc1D7ftYILxlCeKdx9R8pJga
HkoqIhiRWV/1cqPs5Xp/eMqvfSsroqKBC3LxXCxPZQivRIB7JuSmh/JiG58u7kKb4zqWw3LnrXCP
u2eTrIZzjULuMRkBLslHHK7MUcxCF3fT5bfzZQ69i8UpSlsXYu0paaBvfZqKKfIAMegTXjwvjbt4
GcqEYnouG0eJnXR0fVeY2fUfFlHiXidqdLDjcaXYnsFmoN8D/AAjnQpAm4vbX0uKA7wHimrX84a1
R3SKduuLA87fw5J4Rt973cXcOe1441GJOjniul1k9PorpivqlBlFjux5UlMkc1j+kp+9iL0ybRRF
vA9zEDfIakJnJCGp7HNMQOVlioHUB02hu0akQs91SMOHutOx2i8rc6ZHXYVde+Bl66pDycaFPDV0
8L+XQo4GEHtRzEG1cykG1bPpDZsyCom37rIABoZmn/AmcPMiMlN153td/LWSnapPwbB6msOcvxqd
B7+M1hisixKcH/TOVDsqxgXsndFAe+4NSfIR7WQ4orZ8wszi9RrDjBkqrfDU6Ji+5wGvk9++SrTc
Od1UjxEMWZLCIFk2BzCpiFeFxHU5+32YwdCvrDDY2kHDYK8bgpfAg+tYXqMC7sJGBPAO831qAjQe
ZK4Di72PDl2I3PdIki9HoMt58D4M1qKuDn0rk/FQxuW6ZEscKD/VsO9QgB16XTvuC9WuT/qyV57Y
tADIplUj82nGP569tlFHMDnaej+W0vk6hEud7DzhNWjYh2lW9zQQEqjHOGxk9IVOlDIYjAUXrx+k
Pb7AInVKRHYxY+mepriL7gUdnCoDyGOmqYrbpsoml08EvgJJqD9X4dgjfR9y71cd0u55Wj08PnrU
a/VhbsOYATAyrstedSW4gPDPdGAth9ir7+CYNizN09C6Lj3NwhFySlFi81FSasQkvEdn6DkQyJzo
JK7SiXRee5SJA/zMLorFBKAmQYbCPcFXoUVibzSOETibRpRdvGBCwtxdKKbePCGHrGS9n91RDOPO
mUhRHZC9juph1yNZuHwdu6hN7thMGkp3A0br8llFXQDGdd3XMDbW3hyxX+iUatWPmBWy3w0DX9iC
elBBnRKmMoJG/2PvS5Zjx7Elf6Us98xHEAQItL2qBRmMSQrNuoM2NF1dXZAgOIAAx69vj6yqVy/L
+pl173uVqStFBCOCAM5x9+MeZYx0BIyD9E5HKeXIUZlOcTPFdt2hFJuCH120Llu5A+gCgy4zD0ih
zYvQz2GVTUM9wX6t08K9liE8M9NGxL7HEuoC8AgndLxb9JOqSYRbNrAe4BoPF3fT9Hyut3RplrVR
6bRC6XntKGr+pa8S9V0RzHVnMoinleRI1SvnB7MRK7vdNVk3kAfvXIFCVxrtfvKKKvokAZ1M520Y
29jv53AZcAeXCSN0V6t44N2J1w40/x6nn5+P5RpYBlP/durqO6E7ZR4lrTpSXRQ+4KbPthgRs/15
Cpbakd2I8ZIa2Smw11Hm0MF/0UECF8N08lTVbOwOGBcTbf0DR9E44mACk4AkNpUSIWXzJYIrO9Xn
wZdrFB+iQUDGFg9b+0QIub79EN+HO9KpUeVu3cbiGaaaZk1NNLWvNBYSGSR91T0hJ3EjqQisLLOq
mzFCH1oxf4+MKXXGejkFWeBtQh9bzl10AmK+fCcsQn1BiIFAhky91kdeuQJUZMSrqT3zEQzWbq2Q
L5paNUY3pdIrSRlE/xtsgONi+hVHW0CO8BTqgj1x/WLPQZeAFcFYQ4MkZkMwJCQNVFw1dZpkUR/V
4x2Oucke3Qhro10sBx7C7G5sHE1HmESx2ySM/bGWjFWpNkMyPAOHCt9UN5QfQ7OEScoasuF4R7kS
HRhuO6zsgZFXW836q1oY/V52NiqztWHRAyK8mE6BacGWKHUIVbVZ2DRqfSnhv3ZsY+uXDEQ4apHV
1UNWCLvYtwJn61cG54VxN/JY2EMNUVceLHIdclsn1ZoVC8qV9DpyEiK90y/mZzQkkGCJ0EjsAWYU
x23xfXepRD09jWhXt31YAPBJIf7Vw5FQqse9QA0tsq1pMK4ygz/4DBqgbQeNvZz9QjJZ37wvTUyq
Fzsg/iO3Gi5g6Rb37Y1GGhFPMUFWxTtJwJLhPoFmdsKEh6ago1A2Ae0tgvbBBlcrlgYMXr/TZOxs
GpTERxeV1GWfEWi9+nQR2HrSpCiDH4Mi8xsyH83nUPjpFjhYHey0EwA15Rb2ySkkHb1DY4/ox7Lt
xodKk8ikTbe1J0y0ofcLzaQu1okJAWOVnN97WcXyW7DqYtvHSunPoowK+1CXRHQ5aa6TsYTX0f3c
JXGbzmCxvo8YKh7zbu7IcCf1gIIrYn0CRwl8jEHqSjb90GXUB2mHxcjSYlpGm2MsM8AICmCnn2h2
Q5WxuEme2tigLBR9P7a7PlrFLcbwUObiVBhFlcYGtQQfmuuWVEw+n2M+0o8V2R77qutEmaMfLL8X
SDeQWTyCjcxKRADZXQDzifdgUr5BVtTU3SYsGNzDHKn6GQnCHd+VJYb6l26U3xoUpv1RI1Sgybmx
SZU1FqMDewbK8H2uYUp25DSolhyzmaS+BErL7RQNsviqVenYQfSK3gZrV21wbmzjFzmtfXsXQ+Hp
bmrCLMnruAHtbE3HRdbBB7DPNfxypiP2cvKsLCbBdxg6QaZIM1p/qqIWolBg/hqfe9K6EamqzVju
kIZawcBpJdMj+LGuhfiaru9TsS4sjV3VfMyqjeXToseyx40HwHyHenccLjWCcjEVSIJiygB+D1uO
wwxc8Ora4pKIagJHFfWw926cGZGR0hP9qGzlyywmTD2uOJm+dANBkQYbtFUdKqu8fpngdzDiG6sF
pDAxrbIomPScTjXjj0i99Gav2y1ZYIlS9regRjr66OZN7WeULuPruNF+eF2rpvvZYb1FGGmz05Nm
wrep7pLNHKBphrfyNHt/KAD5BikWqlmQBestChkVu/vexst7X7uSpA6Ww/YIL1HdnjQG99/d7LFZ
xNhDt+eKVtYfu052rzgjyXCE0Z3bhiwcKstNikFVa1NToDA5Ou8RFj2JxdU7yKjsWxVI6s/NHM/L
mY2z/OVD3ahvNuiEekC2a6dvAwGG8Qg0ae33ajTiZUTGFX3SsUBKCwqPpc4x3jhCXMUc35oMBDkD
L4vLRnfJJzWHR4l5rOqNSjnai1oNtp8ChmbsaS7pGqZoRvvwGKiyQSkE2+Awle0Ga0QbDlqcmmag
NMMisl3abIglSlWtKn9FQKEd7GqDlO5ZCx4PB1fFyiJW22LM8Chi1nPyiKU5mBHLYaLIwOZDXBYc
ASQUfgTp3HbW2kyFFWSOecCL2M/pPMEt/HZ0MC9IFRLt1XJAnS3sDb59Tj9UhHwnkc3sGlKF/Xcr
8frRjMyaJTMjvPheoQMpRqgjmrITFyEahiTqcLXEH2nTk/6NcDIvIg2XzqD3dEVRNFVmvGsmvreh
gsP0N5iWrCPM/uDLUDd5hBpt2cupdTg7BKek9fsirCFnSeH5W5BD0LkimLKVVmF3Qpuf+PsNR8L6
SoO14rkbSGgyK+okAC2FWbP+lDiVCAJKCUXC02gFq39ZqI3mGLlx04xjvIgmGX+FYVGB/PYaht3V
1wGVKM+NctECB55wiuaXPhhjjpg7zM4OaVMKHTc5MiVKbGwIaUbhjDce8ShIOax0ijpPUDEG73PY
IFonTbY+onW+OO3tg5RtyzJXRmKpMkR2Of1RFNi8aYbagsqXJlmi6AXS4Mq91Ruplwcd02GK0vl6
nJ2rGNjBWUxhc/W3pnYTSPDF0Iw6x6WWOHgNg5vDK+h7Yw+Ybw/10WlBIpdynxRhc5Rr0tJLiTWI
N4eOsojvyFLQ6Gcxb4u4zBVUAPcIZ+d8H0L/POmdAh9F7zyMUsiIQ8MYWqF7RBdJgQ5iivWIbFuk
0KZD1LQIYUfO8wK1xciResrBgGz34PBoD+K8X8CLxkk7T0d0WpydMGi+YcwKoASGudo5Sranxtkq
fAuh2o9f3BLR/ksIq8zll8DrBntW+7A5T0PIgnMfGkXv4Z80lpfYYMjqlszN4u7DjnbVjSuLTgzp
iAqMfq/M1pSPK/dINtkFlGvepTQOFfAL57j0bxtSKcavGqU2xCOqxkCMTruuL/ixKLUfP6paj+Lk
4iGRN9iPg+UGfh8Jm3a6WBEtFA82hqWIDOF6mmNQk5L7DdVJ+8jhllQdGoSMwWSmiNp4ue3dNe4C
rXg7sbMc1do/Vmi59X3vqhAeT5Ou4X0IC5y+fCWdwwhK2iJesd5yH5hW/0RcqW7u5qZAYZYlVeHt
ueM2aaMsodqOb0lhk+C2Xq7oUsYiGF5WqYrrpTz5VsXIUgyXxOUbEpM3SCvHoQ0PDbyv8In4Dl3A
TkY1xsjQpIq5SydlxfLDE1XKj0Qsxbjt0AuE1eO1kWAvSTfDY21INl1/L5kv6S3u8TVxe94Po7Pp
1CTlQFKiZ68fMfxGmg7DIzOsBXeLLLvFIPSqcuom5pJCVIHkZLYdVJX0wBUqApvOjIUUG3S6cUbm
z1qhsT/3hVvVjQZO1B6HitDgs4TbMjAruRbtrRw3eedLX+zdgmy9HwtnpcrJGq9JmlQ8eh5C2Y8P
5YpoZphDiigPrazdLaIvF/0I7/iZ3fYb2NeL2XrxhilDXp3c0PfbfYBGdF+idh/SVdIGxvs2IIXZ
KcM3chjXaIhvbIv0vX0013g7Hm3yDyeK8LNkVTu9Fkgm5TsbdQnLpxFwVW66TWDzs50p7tSaTF86
WcNqvPDIhzx41W6/YtTPaMsGzGSNCDiLyyarJ4oh0dmhkd7aXgSptxblTFouw/wYgTTgZxcO/RvE
wl2Rwb1/vJlrViJNhDM74StfYd2EAgCsERTDAohfDYfzS9Ag9DdPVhPJVM4yeEF7yJ+aFU9ygkk2
ZIU4gNbwxLlfb7EykZBdBcqeaiO0vUPzibwSSwa25HWTtMjyUktvclTUTXxQaqjLnaPTBLFgJ9U7
X5YC1rRGCnvC9EBZpBWGvRNEeYysP0EuET4nElmGqW8C22g4tmrcxnPY4v+beu3jNB5tH79uo0R3
OSSsSxc0wlfMVlCCNrYjb1s/Y0evnJbulmCOrjjiQ6jGoxq8XLEkRIJaAZM6iEAnCk+AMRvzDWMk
6AkpzJfPViEOFNy1jS8iMY6lU9fLG5nAsisfTFCCGzF1TXYFmVR3tugn+nx2FPIogi463HU473QG
30nLv3mhWXTBYNBc3DIRzBuGoBHUkQdTWVzQwZQqm4WcHnkSbsBwO17e2gSuzw+zWJuHEevW7Acc
VHB+VI3cL/24tYdrHfh9qKW9jUP47qXrHPh2r2kzvkDWDLZLt3XAclw1q2+xrONfjl/L3iQcP9fO
Lypf+bqJuxAT5T9LnLY6m2gMZFjQGC256RYI67ZCzyaFR4Q3p6YzI4wLNKmAXFCFrowkvJmeloUi
DKEmrRE5yjS2pH5GoncqCcFQ5CqTfkM/JByOiKIOkGyvzVpccJoZhg43IGVWUC7lnqHlPsOml8kU
KTiNRA8eLiKzTvkuG1bn2H4yER0/sc/XLR4k+7sACE2UB3HlMf6jMQJxb+Ja/aI6bF1qkz74Bg/T
yJyXkiVPsP5iwRNmGizNAgsiNV0Gpl/KApjTQQe2/SrXxdu0dby4XUmwzUjqFPUDwO3BXVdbC7sM
2Xe3BONAQ1YCcwbkUtjJpehSIVOMxqh8DMd51AcDVrPBRCjK74eJNtNhWqBG4lmjREfOgCfaIAP8
uq4INQvb9xGazi/c1OIRb31Fco7DbrIQGUZpadDFp4lgcb8Lwc1+M87WKBEL6ei+tpVYdwN1ZZ2q
pUQFggYSBcYMn66rr5kqcFkDQJY1LVvEtuYT4ssjmH178rWJV7Psx5D3GKsutsL9WqDhMimT6EHA
oqCyrubS/pKw5kKROskh3g/MtjX8AxsItXogap84U2OTSbP6B73F/hcxxt852KGWGMca8c1TWG8h
+zcZNronCZiV4zoAIwHE2ZfvkbN0SiPn2YRyOtEA23m/say1sPr9GqMibs9RWfccRxEiDTJeo417
RIsdo0yjiNm+WyvnTIaNuy1PHC5Q5NAzFba7euy4uUMyZTO8zDhkyJMYqu7bOIowOOpIJ9gRCx7y
ZRdtrCYZImyhwxHlKsNH6J0AzlVqdmMWIjO3zOeE4wCpyoDcqHnq1hRrigTZ6gNX5obq6ERXUAAp
zH6CcEfXCWlyrOl6eyLhGDxOXhRyX24jQ39E5+DHJIYFIJVYgAgEvf0FYVKDe8PU7VOXNAHNwrYa
Rsxxz9zsoqiHFGpAxuWcMVNs/b4A9ERPkozipcBnV2M6s277JzhSJyBVsRaGXRkq4i52bA3yexH4
G+x9rEahsyG0y3CoaufFafMMsYEWZfP7XLh6TUcKlPLioTt+7MFYAQOWmzjEERPYLcqW4ZsO16p9
YjBNKjBkUtm7ZCuVeJAzAvV2C2qfdYeAjlHtUej36lIOZlH7oUv8O5gM9RQiQEZlatAtyxEbYU3a
TXjD6RxoxKhZ3iCC2rRIEj7JniU/CijsAOGqcDXolbD+UHzP5Cg85q6zCBUaeKgKdoppX1YrknY1
kzdGNyTBnpUo8sqKBRFOdgvpC3EtVOtAN6YmrSG4/kXV2C4vaFhC/ctyANzoHHjkg/0YDyM59+AU
NQZvl4EujwtzQfMcEVqy55AKwG4CKrfxHk1oVdxx6P5V3qMY/FKJxta5xoiJx7FdVIBAYS0qDgAu
WfU6DKs2qZWqvHbnU0yOUEVx43fT1tYG0scegvo17ZkU6oWsfpzRBJphAmil4s7z74TbFpMSa+WH
Qw8l3nRXdBpuiRbCI57JCBdpukQFWWRQCsup8hqXARvvtAL2BSFSC7zD58h1I3UeVlzcoTKq47R0
1POUw2EV5r/orq6124j6aw4Rv5wa1wt0pkk9jCczVSL8CRgDXgaR5tGhBaI0DmncUJQVYSVJs1uj
KLrvNBZXGoBXtTujKbEH6buyuIs8sVs2ycKPX4ZFKBhHzLLR56Dt5iGdAr/hW2okh4o71BFLDQJZ
5kxj3yo+RwqeNh98GPW5rWDOmosO/t23IL/swHJgw9XyuFrwPu80RJmzW+kU2Jxu4/AOpJCdaRfr
8maQcSLut005hRC90MVHzodRHIIBhROwRvSVj5boDmbj3gCuLnfFxmL3VqB4ZMey6Yt3/CUBOgNs
dwM95G0vv7fgJMOzq7R4irxD6mM5NWAKirAkSMhiME8AwDvNPViDBsXyNwogoMuKUCT6iD6hFalm
hdXgv5qkwmYqmvaG1tNW7tdOLM84bByc8IfrWBFPFg/2DvNRW+ripDwmtqLLPZwC53onjbfgO5Zl
idCcGj3eDjgkotsF/hnANDHT94LMge7LNVHwZ9Mb/00koADPLCh4BYgUCDClSMPNXadajy1BO5O2
fVM0uV8oANB00z0qFnzKGq4c7Vaxg99kF50A/DvMyo9hzQ+cLdWyAzwo0Ow3Hpa6pV/VV0JnWe+b
eCtyG4BkPcGLXUwvyRCzGEANFk4qNaxtUblh4HDLEPiMWFZkdZZ4T1y1tskRZrtGtwb7ozurudTh
qWCRtC9AWafxphQjUtsDnii0twzJUPC3xf52o4LQVVlQ9Ky82bCUiACYERCxI9gsLPwgDeK0ONzU
/iD8/+Nj+V/qs3v4O5/r/vaf+Pmj61c02qX/tx//dqk+4O7a/fL/eX3Yf/3Znx/0t/vpc/Dj8PmX
y3vv/rIf25/vHlT7vz/mT0+BV/rHleze/fuffsjBJvr1cfyEvuIT4xT+j5fDNV//8v/2l3/5/ONZ
Xtb+86+/vf9sqnaHyIOh+vC//eNXp59//Y2EMJuV1xGe//jvL/KPv7h7b/DgDK/avA8f0PH8/Tn/
/MDPd+f/+lvA498TEUIRnCAaGHKV+fPv/yx/x8KKwiQiMYWI+erc1HagafCQiP1OuGBcMtADRFIK
NYvrxj9+R8PfCcLEGfZjPC5kkLL98wL/9M3965v8Cyj/B6TZePfX39gfQtl/MfYckQ+SCDBxNMJz
Ef7v+XqBCbs59GWzHxJMIulsHVjb9Dtb6FYC1C8Znx6KBlbOuFPnTYOZLez3SI1uAYcEDDGcMSGW
rogEhzg9nOqbBDkv7NrdoE6OhqXzIAwxtllhTgxlz9V2AfaW9QkzFvyRuFCmdDUr9tHA0DPCSfi5
K8f2a6NGWN3B+U7v0WzIELBAshgUJxpgX8027m6WIZnCHRmS8jWAJj1bJMMxM3XjvjZJd27qmF6E
6ypo8OWwqCeFesXAb8KyhOaNDZT76YelBW6pGzgHBTEyVtMY9ca+gSO3g15k1ocSKALJlGogSBtb
eoz7gV4wMBbnCDYDbXI9tG8p2e6GWN5PbHyBLObD+yjY9SAcn/1wX0fr49LlMAjBvpvBpAgUR4H9
C+TLZWSWzWm3zfO9a+I4x0jQkM6qqnkGXE8+zz50a9otbLmLFwMCtSwSgD1wa0fpCjAvrdfJZFra
e1nAP4UZKFYQxKLTlrck1TX74AV97CkZd0UCjG2bC5aBEXjClMaEIYNa3s2L3mn4jX6iudC71nkU
3eCBo/GGe16hZSJoN/ftHKKdhC+dyUu07F/ASI01tO0hElXbygGd93V5XCnixDB6XrUZIMNB5iNR
mLNc3eRuVuTbbZS4Lqshen/0NhjaFAQ43INQVovRi4MfDMqtGGRwK/nZ0kIgirZfxLKvrky9UBid
S2ndR7nYgiF3uk3yRC45mdXdhhHIe17r+YInIYeWkGdSr5/cI7CaZaadqn2PmYm7QU4dqAPckidC
fYGwjaVMdgOAwMNWrebAi8H+KkA0nWw0RVmEJYrwDRNjrnZpupexJjWcwq+3vBMmQoSXcjNrQQrq
ZN3PWpov3tbRi6sSZLRPtP4GyY0FTEKq/TrI5FU09Yy4l5bdV/M0PLYAzG9rgiizQITfrTD9j3hF
1nY6oK31+IYANaQeGGcOgwmKwlAuDHUpgewI8xxtOvqNHj0gM2DRYNofekkoQKeaIFSQxmBnbZAc
SRvUODZjA5ddDVwG3aelWKI4lK/Rk6t9ByAVjiBpZzS1kxSHqN2aMa06Y93B+XU9jIAcfYYYLd1C
Peu3fR/Y6WXqOT+IOUhueNtFNwXAgDemKylTqHEeoZWbDqAN2jEr5tXfOMHdeaS4sdMEvd1pUas7
A60If0DkAvM9CChC3JTAhSEPjOlupGJi2dRGuNNqEbEh6zCc1qPc7cYpT2z9hrDt+uvGwhY+wjjx
cig6WoCcmwGRjPh3JPhIhdYom7D91tecGvC+8CRLjgHH2qvZdJSmXi4NjwhScxAOc1q8bl7HYkAj
JR1gimZig04NJjT28IB1DxAMzUf4LKCiRzFTHGbMOEAuO3P5KLADFGHGYGDQNUdulqKbs3HqmBrP
0A00rw3rdgxtbuaC9bFO9BtEZJdoTrD/XKWXuujIjezQjg8oTc9Qr33gukzKay7uMVr80FRdcAKt
6FPqYNvbaZK29MsmMJ3Ap3eQmPK0wuduP60DPiWw2XRL6RwnXxX46DOCAKcvC+cj+BYdhykK4jEX
MsRsU2TtJaxUcKnLUjyo7spNgd+6rLXs7xOGa5uonu6XpEHXs2JbJ9KMF1bp/uKEjT9E0MkM0alk
F2raHrbpKtcBi+MEqPmkETO0PxscUvZmKq24bQLt0Q5HIbbgyzTM8RNnqO6OxbpFGFpaqx+YmYAI
BPFKu54Ai2T6CTSdvyDNDrqNHhx03ANNQlyF2GNQqN4FnByx798rRch+QvwyUnP8tTjzMgfXWJ62
hsy70fsCqTrbcpt0QXiaWHXDRQjcn/R4RrATe0AA3qU6Zj/IBK2QTua7Mgx+wkIX/a9cpstCO0zL
ga9HBbwFuyoek+8WnyzgNYVuSVf1D7nQPcwKvhSW1ndg+6B+aqfytesxZlP36OHaEtPztUvuYxvQ
tGjAidXJ/B5EwbnTMRpmj6qLYiyIJXArBB/3hhlVnK3V8guuD2sOco3umxkZZN1YDvB9lNBUhEu5
bzyAQwxMjGd4+fEUmhycElF/5HCCyzvU3KmIhMgHXq13YMXBMvseq5LOIjej5VlZ4NzH6W4ewD6L
E+R14TMN7XaLFwODMBq1R5C2fwWeWOUL68kPVQCwJYjWe67tpl/Aj0PM0QBDmPT61SATb6+ALT9C
LY64vX64C4zJ4jCZblZVrj8gc3FHyFLUk+zKC/aTOwyHlg+EWpW1qsZ247064nrQF3WeIJUcgY+J
S/YdcJNvQiB/OQ7gs8FkcDc7xkD7zZD5uabd0a604Hnt8gPRKc/DTJ+1bnaJxOJr4dezi6ijXdoy
xEwUBPd1qkUMZK08zK0onwNgQ+e4LjrcI3w8WbSIKUQ827ke6JoWxQJJocdkR6MuCEsR93WhnzAJ
V6d1WwAl1ovuvzXVdk1c7vtLZIrv1KNyYkmzb0L/TGxwUBHJihK8tHX+zOcRAjA+rfGuLkFh/eAO
spNTM/TurunHbs4JQbsoQiAtBVHVDcKryvBq76Lva7yRcyQmNaSqxNDYCnPgpzAsJ2RKrbI2ABFi
8VrAZ52mg6LusR7Wq4fqRr3MaFP1xwYMwtEBU7vUYYdXcJICUZdT7xDiWdp9uSzqQYgWM91Fyy2C
Nta5+N6sMCcHSdM/h5ttMpS+YODLBIsv9chPeN6iYc0CFJaoBBTb+aCUeHfoXC8csO3LjMbyR6tL
YI2wl3D3UycNloZL3C8quvJ23tpp37FV7GaILMxhndbmse8mvQeEsn03pOQHTOvRbKA8yXEXVM8L
bLGyson4botFu6dO8REipqR+xnlw7dfGGhVLuyCBLUh4ddPSEI2sxo0VV2PxhjM+jHEmhuJi/FV3
gvdycFtl35WZoE1LGZxjyN1aRHX3c7ORdF9jU0wnTBLHNwYyyosrIQsyZrhVpq9yeLIiI24Ha8G6
/jUO/WzzBL3oN7YtgJRFwXsGvSGogB00YxOEB4HdA63rb4pGNOPObmR840S3NwCxkida+eDUBOHW
7HBMDLc67MPbyJp2bBFpxICPp5Ei5dGxaa5/cACHUe5DqFwzH4eW5WMn3EPNi+twIUJhlpeyRHbU
mXkE9dXIBVnmodj9/y7xf+gSoYj/n7tEOJyO6/+hQ8SD/tUhEhZyziKBLoySqynOP7vE5PeIRDKC
3hPeKuC08av/6hLJtbEUDDI/ymgYXd2X/9klRvHvnFDKYASJh1P85/+lS6R/hIb/9y4xRBQfR/QW
j6MImVP/Hu9I+7nuh0jOOViz4MOsACAVwLAZ8IZpi30M64qvfmGtzpCjuD6Ahla/uFFmDyeL4ZM5
JAFROoJfwIxX+QwoDRT55FyyG5N4PCDGdwlTpLJWn2E1NPcol9u7BfivylZoHtecr0wfgRl2R4fe
rM49RKk2A8y4ZgiyDNgjonWTKEeJgzCltEqSpPtmt2k5DmotThAsm53pW+yRy4IZbcwUkqyWZflz
hnebc+IXJJ0gsRw0VjgYm7xOOGYEuJ+egVgbtEBiyZoNJUSjJ35WJcW2CpgvwzwAvys7KASBtN8g
1xHqTGCvidrxJeQHQF6IGpog3PcJpKK9BAAf04LkJQU7mc/YBI9cjepuoW38UcdMbxn0JlCLGyVu
GtDkc8oGj0oG/q19xsPEfCC70L7wZnOfRWL8bbcs3QGqZbsbZTzpDAw42/fwWzyh5zMfQ8mACTLQ
YGk9+DlzSzPC9x5tBkDMeXoGl4VNICzd165lUFLjVIDAE3RGG479CTc2jLZjVRU/BzsOD8hfKZ6W
RLdfOtMuew9FTcbwEWLL30r9LsWqv62BqyCIWTZ6D4HCsAdyG+5GeGIdJjNHNGt6amnqQXaAwcH3
CaoP6qliFuGDgQKaQMRZ2UcM7dQPiVYy2SsH6gxzN1Kdq20Zb7fC94iXlkP3HXbRBEmsphlVFhV+
ObRlN6MRj6nZIUJKxwD1AM9AFiFjt1+rUUHf1Al5mwRieOMi3r4AeS6mtzXRsc5hFxEgniwZu+M4
LA6aU2KOQnaQyM5XuWdaAh5HlarsDUKpwmJXt4PPlA8IWmM+UGZv2wTp1KAQAKRnWCT9jResqm5I
EBIo/hEmCl+medhjTBN2wiHLAtnNx9ap6MOi0Ud0T7J8p5jK/hKFRJ6A1Qa3VbN1KJxov2uWRaO1
o+4M0Qpav65E3sAYV2g/JmQXdWCA41KZG8ejeTeZDbrCFlMkyRSVx6UBtxC2PHrjHU4bVdv/zd6Z
JbeNpVl4K7UBKC5m4KUfSJAgNVCTZcl6QUi2jHmesZteS2+svwvZVbazqrpcT9kR5YzIiEzLsgSR
dzjnO+cfN0oWTSa8RVDNAHiuonRb0M443BU4UQxf6FtT9Yy5M14p4dLmV9yrEGqbk40B95HO4jyp
yUJ8KLKlHa4MQGNeqUmshkLcoATUtG84vGs+zpXaTUd1saqvXVFOr1FfByco9mWndU0T7mtnJggR
R8L4qHRGdQvhn7EnmWXRc6bhFcm4VA5uYxf1rwtDulVUIOxGS+8PwAqCs34m7qMgvMafKNCZZkYk
WDSM6SZzTVqdd5LJVIk8CBhpShtF/dYVuv6wTCObdzSU+2RuxVXhRr3vRHVnQAowZCosRyPEaXeq
z8vYVRdDaIR3SR2y9eYBZ+eUi/YN47uWZZPAbd82naH5hPz7axoFqszrQNruAmZXfVJCJ4o8AOL2
MxPKjBtHTY3XaqniO6GY44OTjoQsNGsUz4smyTtFS18ITfS39O4qr6xJrJJlj9a2QXJZlFOVJ7Nf
hXhm5obCOcba0PVlLRzpwsCHh3HJuKDobfUkAldMsYt9x6A5Ge3L/JJWTKECtOEi2lo2r+Ciegs1
HcwsiJOXmcXlDacu/8iaEe2KvIEBdILoseEO8dpqGr5Vai/idQltcUNoo7oz3WTnVtnERQkTP2Hd
SDG67Y5MCM4Fl3VFiOsI4vu60gbabwZoBY1a121Fduye3Er2OBl0dG60tElPfZCXVBSMyaHKM+NE
dE09aVFFuoVM1eybgunC2zCLMuQ0Iz0U2AG7yKybkwnJ/Agw53LJ6Qy73erqVPlhlXETjuwCx5l6
537ccFzvlI1QVBwgzM3a2OlNNBPIakjst50iXjj813Jk0Jugu2s7LNVTtPAGyqDIMd9JK0APCnzK
LoNyyaP6Ej70pgjjDRAx+bPBuuEqkO+W2alMP+n0+rFvnSaiU4YwJSZQO9zEo6LsCoMWGZ17rJ9F
wR1GyvLpP+evX89fAG2yWf4fH74+9J/7/H/+u/jx/PXtD/3t8IXGbjkckX4+eVlnKscrHamdmSU/
H7ysM0FdDsI8hwqgMTk27q8HL+dMqLpDSp5NxbF1fu835HneaT8VdiDP85eTilY54AHpEt3/OVru
zKnt2Iilu5oj5I1Sxu5Vq86FN9Q66nMmhWiD0d5XHSmhw9iqyxc3E2yQqNmJzxpatxtTStpNGqMl
EbSPt+276E1QrH2tOBVtFSoDYVp0fKRtOXZW4IU174KNmlUoogtF7NiwFvgdawo5p48TjNnJmsdu
n1N8ezsxgQLatqr7+DLEimq5OxOH8IrKckZfdePI5b4Dr7creayfx9YKKXwcW25fTsNnXkQAm+yM
kxcRKkv5eqkr2lCcyCJPtmpBOydFH22LpU7yQznZvbKNkdoznzS3aGDV4tjdsFlWngWQ327TAIjI
cofJDzM7ajcFSyUL3lIinUtLMi0MZsSU6H86jmsfX49OoBy02Bz9eFjSB4Mo4IZUkkVzGSegw0Ap
5jZoHGpx4jnhk8apTKONe3cG7hjrXL90qt6+c/rHDE7goVxy+ALWyoC4JlpVNWxBG/MrYzSrxzYd
woexKxxG8y3myRgZ38yTI9YzMgYXTWfuPM5UBUi9o+VbXoMKaHIWPfTahMLWqdFr2arTRVs2xlec
5ru2bu3lIS3H6ZkofbMdBuafcQw3uy1eucXZKltuo3pmCaw6Z48Nrx2JYelvmmZIZrnBqZWs4sbS
Ur3z0Uex1KkXHM7R9HsHBLbOPhf6QoCMAGV9D5NgHftelma3rMJIVLGgx6wjWELNkXBvhlQR20wt
6z0EXXyk/xRCtmis56WerWcN1/iuGR2NQZ6tfmTFrHsKdKq83Fv2bJ4gXebnIXSdjQU3xrU7latp
2BFtrVdNfCwwWTdzopevSzd/SkEquRkjo8dx2tw6hWNcUyEy7BgaYD9wCY/3Qkrwpl2lT6QNdR8J
VvsQgoB9JMLizPuQ9qti27zL+fqq7XcpMr+bWMUHkrjSknGD4MpdXYHUqb7O0ikYioBo1mofkDUK
rkv6SY4FIYuIPNFcnHQzo0IpT/Rzy4GpRsIO7Z1AxuYx5uMelLcKNok0Noq5sfE4loKPwq63ziOE
8J1bOv3Bhmc6THOH1A8ULG7n1UGpnXA7SVMFihV/hSwzXgvm3Pys1mCR+FlVcp5LW8aaIVu9ZHVr
QmncxPOS7Zx2Kr70rtLCp60mDzZ8EN+GS9JcDlwB39qg5FQvpFuUL9p4HuKKX8yaquwLApab3q2K
K4uOiBbOUBOIk+lkfRo6aVZp4ejeD6uFpRWC5Lr0tSB+xutuNbu6LC1f+6IKiJ4muD3zltEIHxCe
tPeqo/+41D+YzZorzH8qPty/ZN1P9vS3P/F989POdN3VcLHorIKolH3X35UH58y0bIdEgqnhEa/7
7A/KA9uebbm2xWanOj/605p1ZmAjs1nhUat8efbvbIBgmL9sgAb2N4MEbcPVLMZFm7/0g5Qin6Fe
hLMDWnT9mh3OsysHt4oUavNSj22xEL5R8LNSaW3NNvrhxowEbmmD92W3QcWM2j7tt2pf43s00iZr
V8cMoVInZyd9NGfEUsukudbLpQfTZn4GSjFPulyYivdFykFwhBtm6SJZUt0xlsB6NhbTeuYShiE3
pskxl8sesSyxtRbFvQFyNMEw5ALZxiP2tOaYrJu0NlhHI1ZriOBFjXa1XGKD1mK1JT88nGfrGhxX
ndH52bo2V3KZ7ifF2uty6VZnoR0duZy7S8/Cvi7xWmACtbLsM1iYHSAf8XESuS006w7RphZ7ha1/
LeT20RPb3CwjywVUIbuLkceHKioDQNmi4FLrsgEVci8KSIAk20ruUGWXmweIPfMU2pBFLd1DD7rc
0zK5u+lyn1ONDPMIJs9P5U5Y6Ze5+hSN1Qg+JMIrag3YjuXWGdISsO/kdprPhJcbYIitIzfbad13
y5wOlUhuxpTOTv4gN+gS39y+A4I1doB6c7rLTCbO1MWMKL0TkJSW1weW6TdG20RPHQWT2l6NRehe
ppZi1Z8VTgAZKbhMC/cWnKlJxM3VJzYnRqMZ8Ln10Gs3XdsPtaAIUgGr2jJNmmzLhjExU45qixbH
xdl0u/oUVu7Y3Q8zgQuU7yUe1HM7nxY/T/jfltqrjwmpVJ9WoOk+cEbtQBDUemLGbP+UDkl5NBxg
nVwilWkqZ6NP6WVuBs1z2czitoCD84mfVRcqWgLVdKE77BUGHt3HRp0c1EWND03UGed4r+TIkw40
X4cXxbVMR/u+inShbgl+hd1mKhXGgumFKv8dkCEqavrOlb4ryG7NxjBj8479ZVqa5tEpJvwq16gb
mWkwUXiiMUx3DXVusHJ8cDVsgmpKLgtOlzQ8zG6BuZwue5IpQnwpbLvz3Vkv0F0CZ0t+lohO7bq8
H2tl9kRFtJSZU/pxArw5N2dV7Jsino+JInqvVSyxHW2lvKLSjAJEheywoyjuriV2SxVmOWP4B/Y9
3RLNC/G0HnY/ec0SK3hS2O+9wO2wKGVBZytAqwXCkxcz4P5i0rNi78zNWHkLkfybKkXtz1W+yrnn
zb+xRVFfzGTcdnlaVddxEVvHRa3rPchc6TtTlF6VKoj6xrRol+zs1nmhp4Jdt3FNWi3SETeFI7ms
gnB8vrse4ryxHworA94jbukj4Y7XNWUYXhy06p0J1fkya4l624LL3yzJaHuGEYqP2txkJzWzjHOr
CLEywny6jflJb80uwLNwzCdys4ilqZYcOZSEB0a7hx8SJpkAxjbGlVtk9V5QFAQjGTrHdKGydKZb
oaZlNc9uRYpsaU/6cKrJD7C7O+7yKDIcR5F3tp8HvbtlqjrWNS3zx6o0n5zUaq41qwqOtBMrF9Wc
d9d1rhq+BNh2boPXTrsCzGpa64hxNm07PbZprAzuLaLciLlJGh45i7REj3ccgNxelsDNdK5EhP0j
KPmBYBqkZzicB3TueaGuBpeh46Q8nNzA3eo5n1E397VXlOh2cYNw2C4Cy3UzjOq4X2JiMRvRLiL2
VfqidIBaxbyIiamcaM/psVzU5mPIaRvyUg/Lj3NbnZxGEa+NFiwWh3pM2B1xbwfwoytOsymMc8Zv
lKSVanxEUcJVsWBZa3yxHptTTLb+oyX1w2Sc3csa0gcAhxmFCIyr2GgHc2xsuGZomUeIcDzlOk0W
DHvviBRr8InbGlLxE1oVt7SJ8t9DOaS+0GK/WUVOpUHvLCAi7X0kVdAg1KvbdJVGm4kp2DpCow/x
g2o64DYedDb2Tbaqqv2qsAYhKE1lq8JLpQBLAYN+baCWfJrU9NmxtfNWDSfPkWJtK2VbY1VwJ+wE
2Rg67VVLyz8GUurVi6S50aX8S+mUXoJRTf1Gt9odsFtwSKVYbHSkMQwpIAspJQdSVI5XfTlVJ6Rm
KTrPXLyTTS2laE2K0gS3m6MrhWoAa3ekIyd8rMFeTSljk4Ep/T7UXLQpFYye6Gz1gUty9tlMx2pr
rHJ4oBcOMQapkrtFkyNrL4w3H6WKDm0RngaprIeryG7YqbYrpfI+sfd5vB/1Q9CXAYJcZ/nLKtZT
Mo9wTxz4gtwFUqhU9buJaL0S8pbJpOZPUe/oRZSybkvpCMTSG0iJA3HyrQhmS+eAfSC47DATJkwF
kojRF9JHaJXScTAtWeKUW03m1dKRaKQ3QQ2stCkm0wEjysg4aTtjRI+4jaWvQRYMi8NZyIruKp0f
tCk9kLoDx9mplGQgeVOochJdmF+j1EZvzM3AROl57P64OitJjsmSSb/FWK0X5pi0Two+45spnRlR
huHXSYj5pmpijBtTejikg7Ngjyq3jF5TKieIuT3PRPlcSYEqNfUDQnV7sPVp2CVSxtKloNWu2taw
6lyplLzEqn4FHJ52fKnWzaQh9xf5o6Lq1aUjpbOw5/JXSTnNFJmE7aTINqK2Lavshv5GCp3mBHTR
F+5HqHM2I462y6rZqat+l6xaXvCu660an0GNMpKjlP5aoVjEW8YYRdCS4mAsZcJF1bVdIKXDkaLt
nbXqicBOs6+vKiPZQvUka49Owi0TLv7IkcSQUohyqVEymzt7lKVX9/oqYUoxE0wsok0FgVOXUqe5
qp7lrDHkNl3V0Gzs3H0gJVILrZTbVXVHXZN6k0khNSV7n29aKa/aUmhdurHzxCq+rjKsFGQZ35K8
hMNEfFfKtarLwcujzSfwIC13ZCKsL/gbo5dJqXdphpaqK0cqwPTLuDuI8MCvV4WY+GOce0MUjtfu
KEhpORG9C1ddYE++TGOiLa86c7dqzsW8BK/dpHa3Al7zBZJ92PT4Hs/ONJEHEVk3PtRSxmaFSh/V
ZL4oFOH3SWjcVFLsbrIQ3Ru7sPpEbVVz5666eAUp76O5Ih5IxVyJ0vBWrDJ6qtX6jeIGMfvkqrPT
VHyHyFRdzIwU/xzGKPCc09HmCSK2eDu61fnoTOJK9ubvZ6nnV02tAzu09Rt5JeT+TCr/IrYvQJ6M
S1W6Aon0B+ahKPZZrJzs0VzumRMlEBTGwyJ9BbFaDJN0G5rVeIikB6GvdgRCFNZE2ONSWFZufGxW
60JfbYxCOhqx9DZ66XLAhVVfl9X6gPlWP4Y0nahHEkPkkzahHWCHMpEx5PlpJaPMgUeGHsz7QH9K
VJ9I+ERBuhkB5cvOPNoxORaAfxm0mKMYalG7T2mk3URx89yNjGYdqZ/mHhTnB3V2Q5gAu9/0mVrt
0CihTklr0wQdJeQBQNOPZsIPoJxnJKKonba2YTyNQVi7uKSE6I3BmD1bm46DETe4Z6rlT+CNiGN5
S6MJK6HVpPZtGeLz1PpLE2cQXHmxaUNZfJnlLuKb0m9jnQW71F0qK5pRkECoXmuzedPnZCDXWoMF
hzZx3KEw1lvbxonIGRpkRT6oTdt4ppreqktGxAn6keYgeRTRmp0zLewHc3xexBrMy7y0V6qePwVD
MNwi97W7qtUDzoblF2S7D1ZYfppt6QiZHLVKqiuUIS6+UrpA6iaJb4OMUts2105c4Z7Vpt8LN0EL
Suvik2VyfGeU4EZ1FJq/CqrTjfZiqYp9ZxcHUws8DsePagxYmPDKI3O5GHbCAWS+iOvFm5xy3zQV
0MXyMVW7zZKWO6ZSk77orA99ZT/FVn2EyNkPwCGniACVB7CkbNwm9ERQDtdJ3l60rsrWqN4oWuur
Rl/tXKwRwsrXk2pNftwOGUH19Ck3qenxW4TYm8UY6q01hSHnR3XweOdtqSffAaJWkXrJ4s/UieSB
1pULRGxf6SidFy0x4iZVzjsqeD6YdtJ4Q3uXWkBv3Tu+aL7DjMY72kiuQYKOrt27t+XUGrXHrIzA
J18IFZlKQFKVqGQqocls5ScjAk833TtVqWnZwyBRS41ysWAzZdZ4xSF1OADHXPGutQ9ZTghxs9QR
zKbZhPCb5spyVivX2TPlhj0aYyDbcVwD/ZQQqG5Fz9iwcKFhp7MHJCsv2q/saLdypI4+617QAJdm
K2farMxpFDBfcZQgaqGnxMl1Sac2ElTlbMIwhJVeBc8Y/ACi1VjZVnfFXCXwakv01XZmy6eqa/iQ
9vmyX1ZGtnvnZVVz9qOVoiVSAqPzH4fnV4dHQ/n5PxQu4hwvYfmXL2/ZX3Zt99aUP5o93/78d70L
ZEZFr0K1cqnEVOVk2e96F5kL8hkENd55GZ0Kw7/qXeaZZbgEjm3MGJnkQIT6bviQxzBwgITjgMXA
6tDA/DuGj5BNiT+SNqaORmOC7NDnbZiu+MXw4Q6t8p4JHeZStkEIMDLMZNQ2ozNlvb6npFIt3ENe
KgG9n1mTWqqxKZtGFH5glrZ1FSlmWr41+kBRwHlMONsk5UoQrGVkECKAcqlQ89I9ZKlIXUDyoV5g
w4ogq1FyBfVkDwXzOAkKM8jTPCSrVoK0j26SrRqKtuopkTBibY9+j84ySMlFXdUXIl0CKSaVskzm
uFTL6H2EP6VEjn1n9Ul8XayeS9tZ4eAt1HE6G0PaMnZHHZCSSq+GKgEOI6uBM1Asti2kraOk0uFx
V7cnWZ2f0FU6ZdtoSpQfgtUdSlMqBXedERWgAauDlAGgpxvMcIwlY3CrPbc2a1sjlkf7SZpQRNzc
z2nL8WU3DYri7JJuskffUKnc8MqKKaXUkUlXKzNon9r0VBXcmtL26hjDcmI2Al5YsPpi8+qRcWaY
Mt8wZskPqAhQ3rJ6apQukPKopdXWjGNL25K2ZlAUew2k1G41wMCuSZU86gmtGEl1ntHesVcHoI5A
hluEjLmMa+IleU+/rEkYa03FtGtCppFhmb60qQgpZIQmg4U8x+4mV2PXweQLGbbhSGjetjKA01td
zQw/GcuJZEBHfc/qVGMDGuKqswmhkqcX05rsWdaUTyoDP0zSaXhZMnjq0wyWif2/poNsujuda/j8
jFthbiox4X16FwV8Bt16DN0p+S+kNl44sR7U90HF63DvUC7BCjmDiFtlDUW+ZG65zTWgoUptDS8v
9HrHgZ5mNiUp7pFY65uAyeIxnFCDUUnLADqvOU3cXelppUFpukFXcC4rV4SvJJjSPXFb14H9LQeK
hMyoOdb1PNz3C2NIHylVXWipGbvSUS8bszR3rTVV9zRQOZ8Noq7eFNT5gznk0xUT3qGec5d6MQrJ
rohH6UcU5W3Vdl+pI3UOUW1QVpjRdHfdpF0bSfv0UFjRqwsP5lA4v3G5g3jzyCwd0jcjtlBVvOn1
MHkkMVpP1VMURspd3jgJplfcWXZDR7lQkWdkcagRvJvFqPuzQ83qhgubpzVdUELxWLSpROyiWVLd
1Jo9biPXOgbLlGieGGNdHCeOdodSDycbXczo5uD+/+8+9EN08A+BwPcM47e44JqI+1D+ex/0fYWX
ucM/fqJvBs17wvBz2RedzCuGBB9/3Jnk4KyfwIX1E63hxn/2CTISlF3/hfghQ2XOGHxhQAcIdgt+
sVdkJazJt98neehaNpYCW936C0CUv/GHR/THr/2Pucp/72N++hZ+N2X5D57EL5/mhyeh2WcMVWcu
6/v3KeQkoJ+eBL/Prdm2v38AT+pP+SR+Per8/pPQz3Q6yAzok/dnwavspydhntE1QnZYVf+kr4m/
52n+/mPgNMdJDRuSI/r665fHYJxJ6pN/9PfHwEHwz/WC+HsH399/DDYHV52fNObu+uvXV4N+RhcA
B07j2wpCCPnP9Rj+HuH1+4/Bwss2oLVsfsw/vRuMM8fReDbm31bQf/X7/xeW0W9R9s/Z20vzX/8L
AAD//w==</cx:binary>
              </cx:geoCache>
            </cx:geography>
          </cx:layoutPr>
          <cx:valueColors>
            <cx:minColor>
              <a:srgbClr val="EAF0F7"/>
            </cx:minColor>
            <cx:midColor>
              <a:srgbClr val="B57BC9"/>
            </cx:midColor>
            <cx:maxColor>
              <a:srgbClr val="0F1B2D"/>
            </cx:maxColor>
          </cx:valueColors>
          <cx:valueColorPositions count="3"/>
        </cx:series>
      </cx:plotAreaRegion>
    </cx:plotArea>
  </cx:chart>
  <cx:spPr>
    <a:noFill/>
    <a:ln>
      <a:noFill/>
    </a:ln>
    <a:effectLst>
      <a:innerShdw blurRad="63500" dist="50800" dir="18900000">
        <a:prstClr val="black">
          <a:alpha val="50000"/>
        </a:prstClr>
      </a:innerShdw>
    </a:effectLst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6" fmlaLink="CALCULOS!$P$96" max="41" min="1" page="10" val="17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9.xml"/><Relationship Id="rId18" Type="http://schemas.openxmlformats.org/officeDocument/2006/relationships/image" Target="../media/image5.svg"/><Relationship Id="rId3" Type="http://schemas.openxmlformats.org/officeDocument/2006/relationships/chart" Target="../charts/chart1.xml"/><Relationship Id="rId21" Type="http://schemas.openxmlformats.org/officeDocument/2006/relationships/chart" Target="../charts/chart12.xml"/><Relationship Id="rId7" Type="http://schemas.microsoft.com/office/2014/relationships/chartEx" Target="../charts/chartEx2.xml"/><Relationship Id="rId12" Type="http://schemas.openxmlformats.org/officeDocument/2006/relationships/chart" Target="../charts/chart8.xml"/><Relationship Id="rId17" Type="http://schemas.openxmlformats.org/officeDocument/2006/relationships/image" Target="../media/image4.png"/><Relationship Id="rId2" Type="http://schemas.microsoft.com/office/2007/relationships/hdphoto" Target="../media/hdphoto1.wdp"/><Relationship Id="rId16" Type="http://schemas.openxmlformats.org/officeDocument/2006/relationships/image" Target="../media/image3.svg"/><Relationship Id="rId20" Type="http://schemas.openxmlformats.org/officeDocument/2006/relationships/chart" Target="../charts/chart11.xml"/><Relationship Id="rId1" Type="http://schemas.openxmlformats.org/officeDocument/2006/relationships/image" Target="../media/image1.png"/><Relationship Id="rId6" Type="http://schemas.microsoft.com/office/2014/relationships/chartEx" Target="../charts/chartEx1.xml"/><Relationship Id="rId11" Type="http://schemas.openxmlformats.org/officeDocument/2006/relationships/chart" Target="../charts/chart7.xml"/><Relationship Id="rId5" Type="http://schemas.openxmlformats.org/officeDocument/2006/relationships/chart" Target="../charts/chart3.xml"/><Relationship Id="rId15" Type="http://schemas.openxmlformats.org/officeDocument/2006/relationships/image" Target="../media/image2.png"/><Relationship Id="rId10" Type="http://schemas.openxmlformats.org/officeDocument/2006/relationships/chart" Target="../charts/chart6.xml"/><Relationship Id="rId19" Type="http://schemas.openxmlformats.org/officeDocument/2006/relationships/image" Target="../media/image6.png"/><Relationship Id="rId4" Type="http://schemas.openxmlformats.org/officeDocument/2006/relationships/chart" Target="../charts/chart2.xml"/><Relationship Id="rId9" Type="http://schemas.openxmlformats.org/officeDocument/2006/relationships/chart" Target="../charts/chart5.xml"/><Relationship Id="rId14" Type="http://schemas.openxmlformats.org/officeDocument/2006/relationships/chart" Target="../charts/chart10.xml"/><Relationship Id="rId22" Type="http://schemas.openxmlformats.org/officeDocument/2006/relationships/chart" Target="../charts/chart1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17</xdr:col>
      <xdr:colOff>986790</xdr:colOff>
      <xdr:row>67</xdr:row>
      <xdr:rowOff>0</xdr:rowOff>
    </xdr:to>
    <xdr:pic>
      <xdr:nvPicPr>
        <xdr:cNvPr id="28" name="Imagen 38">
          <a:extLst>
            <a:ext uri="{FF2B5EF4-FFF2-40B4-BE49-F238E27FC236}">
              <a16:creationId xmlns:a16="http://schemas.microsoft.com/office/drawing/2014/main" id="{E8B98DC4-070F-85E3-5C4D-1B07C6D04A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duotone>
            <a:srgbClr val="156082">
              <a:shade val="45000"/>
              <a:satMod val="135000"/>
            </a:srgb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0"/>
          <a:ext cx="18817590" cy="12087225"/>
        </a:xfrm>
        <a:prstGeom prst="rect">
          <a:avLst/>
        </a:prstGeom>
        <a:solidFill>
          <a:srgbClr val="1B2D45"/>
        </a:solidFill>
        <a:ln>
          <a:noFill/>
        </a:ln>
        <a:effectLst>
          <a:softEdge rad="112500"/>
        </a:effectLst>
      </xdr:spPr>
    </xdr:pic>
    <xdr:clientData/>
  </xdr:twoCellAnchor>
  <xdr:twoCellAnchor editAs="absolute">
    <xdr:from>
      <xdr:col>0</xdr:col>
      <xdr:colOff>723447</xdr:colOff>
      <xdr:row>4</xdr:row>
      <xdr:rowOff>109765</xdr:rowOff>
    </xdr:from>
    <xdr:to>
      <xdr:col>5</xdr:col>
      <xdr:colOff>253547</xdr:colOff>
      <xdr:row>10</xdr:row>
      <xdr:rowOff>171450</xdr:rowOff>
    </xdr:to>
    <xdr:sp macro="" textlink="CALCULOS!E10">
      <xdr:nvSpPr>
        <xdr:cNvPr id="8" name="CuadroTexto 7">
          <a:extLst>
            <a:ext uri="{FF2B5EF4-FFF2-40B4-BE49-F238E27FC236}">
              <a16:creationId xmlns:a16="http://schemas.microsoft.com/office/drawing/2014/main" id="{A962156B-0571-43E7-A497-043E86BAAA6E}"/>
            </a:ext>
          </a:extLst>
        </xdr:cNvPr>
        <xdr:cNvSpPr txBox="1"/>
      </xdr:nvSpPr>
      <xdr:spPr>
        <a:xfrm>
          <a:off x="723447" y="833665"/>
          <a:ext cx="3482975" cy="1147535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B69EE0F8-11BF-4F83-85EF-4B4EEBF49046}" type="TxLink">
            <a:rPr lang="en-US" sz="3600" b="1" i="0" u="none" strike="noStrike">
              <a:solidFill>
                <a:srgbClr val="B57BC9"/>
              </a:solidFill>
              <a:effectLst/>
              <a:latin typeface="Aptos Narrow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 USD 299.652 </a:t>
          </a:fld>
          <a:endParaRPr lang="en-US" sz="3600" b="1" i="0" u="none" strike="noStrike">
            <a:solidFill>
              <a:srgbClr val="B57BC9"/>
            </a:solidFill>
            <a:effectLst/>
            <a:latin typeface="Aptos Narrow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</xdr:col>
      <xdr:colOff>363316</xdr:colOff>
      <xdr:row>5</xdr:row>
      <xdr:rowOff>343</xdr:rowOff>
    </xdr:from>
    <xdr:to>
      <xdr:col>4</xdr:col>
      <xdr:colOff>519158</xdr:colOff>
      <xdr:row>6</xdr:row>
      <xdr:rowOff>85725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E6A920A1-CFEE-44F3-AC3F-ABFC5C3587BB}"/>
            </a:ext>
          </a:extLst>
        </xdr:cNvPr>
        <xdr:cNvSpPr txBox="1"/>
      </xdr:nvSpPr>
      <xdr:spPr>
        <a:xfrm>
          <a:off x="1153891" y="905218"/>
          <a:ext cx="2527567" cy="266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AR" sz="2000" b="1">
              <a:solidFill>
                <a:srgbClr val="EAF0F7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TOTAL CARTERA</a:t>
          </a:r>
        </a:p>
      </xdr:txBody>
    </xdr:sp>
    <xdr:clientData/>
  </xdr:twoCellAnchor>
  <xdr:twoCellAnchor editAs="absolute">
    <xdr:from>
      <xdr:col>1</xdr:col>
      <xdr:colOff>419101</xdr:colOff>
      <xdr:row>38</xdr:row>
      <xdr:rowOff>123826</xdr:rowOff>
    </xdr:from>
    <xdr:to>
      <xdr:col>4</xdr:col>
      <xdr:colOff>165735</xdr:colOff>
      <xdr:row>42</xdr:row>
      <xdr:rowOff>20956</xdr:rowOff>
    </xdr:to>
    <xdr:sp macro="" textlink="CALCULOS!E4">
      <xdr:nvSpPr>
        <xdr:cNvPr id="2" name="CuadroTexto 1">
          <a:extLst>
            <a:ext uri="{FF2B5EF4-FFF2-40B4-BE49-F238E27FC236}">
              <a16:creationId xmlns:a16="http://schemas.microsoft.com/office/drawing/2014/main" id="{2163D996-F325-4974-B41E-EACCA0588612}"/>
            </a:ext>
          </a:extLst>
        </xdr:cNvPr>
        <xdr:cNvSpPr txBox="1"/>
      </xdr:nvSpPr>
      <xdr:spPr>
        <a:xfrm>
          <a:off x="1209676" y="6962776"/>
          <a:ext cx="2124074" cy="628650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00CB6B89-A35F-414E-8EBD-B91B03012D0D}" type="TxLink">
            <a:rPr lang="en-US" sz="1800" b="1" i="0" u="none" strike="noStrike">
              <a:solidFill>
                <a:schemeClr val="accent3">
                  <a:lumMod val="40000"/>
                  <a:lumOff val="60000"/>
                </a:schemeClr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229.959,4 </a:t>
          </a:fld>
          <a:endParaRPr lang="en-US" sz="1800" b="1" i="0" u="none" strike="noStrike">
            <a:solidFill>
              <a:schemeClr val="accent3">
                <a:lumMod val="40000"/>
                <a:lumOff val="60000"/>
              </a:schemeClr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665389</xdr:colOff>
      <xdr:row>38</xdr:row>
      <xdr:rowOff>161925</xdr:rowOff>
    </xdr:from>
    <xdr:to>
      <xdr:col>7</xdr:col>
      <xdr:colOff>270511</xdr:colOff>
      <xdr:row>42</xdr:row>
      <xdr:rowOff>49530</xdr:rowOff>
    </xdr:to>
    <xdr:sp macro="" textlink="CALCULOS!E8">
      <xdr:nvSpPr>
        <xdr:cNvPr id="12" name="CuadroTexto 11">
          <a:extLst>
            <a:ext uri="{FF2B5EF4-FFF2-40B4-BE49-F238E27FC236}">
              <a16:creationId xmlns:a16="http://schemas.microsoft.com/office/drawing/2014/main" id="{EEDE2E57-3022-4332-A99C-F4430FED264B}"/>
            </a:ext>
          </a:extLst>
        </xdr:cNvPr>
        <xdr:cNvSpPr txBox="1"/>
      </xdr:nvSpPr>
      <xdr:spPr>
        <a:xfrm>
          <a:off x="3827689" y="7000875"/>
          <a:ext cx="1982562" cy="619125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75CFB035-B242-4330-BAAC-3564CF9A431F}" type="TxLink">
            <a:rPr lang="en-US" sz="1800" b="1" i="0" u="none" strike="noStrike">
              <a:solidFill>
                <a:srgbClr val="EAF0F7"/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53.820,0 </a:t>
          </a:fld>
          <a:endParaRPr lang="en-US" sz="1800" b="1" i="0" u="none" strike="noStrike">
            <a:solidFill>
              <a:srgbClr val="EAF0F7"/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 editAs="absolute">
    <xdr:from>
      <xdr:col>7</xdr:col>
      <xdr:colOff>726622</xdr:colOff>
      <xdr:row>38</xdr:row>
      <xdr:rowOff>154305</xdr:rowOff>
    </xdr:from>
    <xdr:to>
      <xdr:col>10</xdr:col>
      <xdr:colOff>301807</xdr:colOff>
      <xdr:row>42</xdr:row>
      <xdr:rowOff>40005</xdr:rowOff>
    </xdr:to>
    <xdr:sp macro="" textlink="CALCULOS!E5">
      <xdr:nvSpPr>
        <xdr:cNvPr id="13" name="CuadroTexto 12">
          <a:extLst>
            <a:ext uri="{FF2B5EF4-FFF2-40B4-BE49-F238E27FC236}">
              <a16:creationId xmlns:a16="http://schemas.microsoft.com/office/drawing/2014/main" id="{92F5CAF0-8C13-4E73-8C5C-1CF4767C5F4C}"/>
            </a:ext>
          </a:extLst>
        </xdr:cNvPr>
        <xdr:cNvSpPr txBox="1"/>
      </xdr:nvSpPr>
      <xdr:spPr>
        <a:xfrm>
          <a:off x="6260647" y="6993255"/>
          <a:ext cx="1952625" cy="617220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76CCA7B2-CF44-4CFF-9118-89A7E8240AB1}" type="TxLink">
            <a:rPr lang="en-US" sz="1800" b="1" i="0" u="none" strike="noStrike">
              <a:solidFill>
                <a:srgbClr val="EAF0F7"/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11.730,0 </a:t>
          </a:fld>
          <a:endParaRPr lang="en-US" sz="1800" b="1" i="0" u="none" strike="noStrike">
            <a:solidFill>
              <a:srgbClr val="EAF0F7"/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207916</xdr:colOff>
      <xdr:row>38</xdr:row>
      <xdr:rowOff>135529</xdr:rowOff>
    </xdr:from>
    <xdr:to>
      <xdr:col>7</xdr:col>
      <xdr:colOff>114299</xdr:colOff>
      <xdr:row>40</xdr:row>
      <xdr:rowOff>38101</xdr:rowOff>
    </xdr:to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07A8FA94-A2E5-4680-93ED-1FB749B5F703}"/>
            </a:ext>
          </a:extLst>
        </xdr:cNvPr>
        <xdr:cNvSpPr txBox="1"/>
      </xdr:nvSpPr>
      <xdr:spPr>
        <a:xfrm>
          <a:off x="4160791" y="6974479"/>
          <a:ext cx="1487533" cy="2645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AR" sz="1050" b="1">
              <a:solidFill>
                <a:srgbClr val="7BBABF"/>
              </a:solidFill>
              <a:latin typeface="Arial Black" panose="020B0A04020102020204" pitchFamily="34" charset="0"/>
              <a:ea typeface="+mn-ea"/>
              <a:cs typeface="+mn-cs"/>
            </a:rPr>
            <a:t>MENOS 30 DIAS</a:t>
          </a:r>
        </a:p>
      </xdr:txBody>
    </xdr:sp>
    <xdr:clientData/>
  </xdr:twoCellAnchor>
  <xdr:twoCellAnchor editAs="absolute">
    <xdr:from>
      <xdr:col>1</xdr:col>
      <xdr:colOff>400050</xdr:colOff>
      <xdr:row>52</xdr:row>
      <xdr:rowOff>73932</xdr:rowOff>
    </xdr:from>
    <xdr:to>
      <xdr:col>4</xdr:col>
      <xdr:colOff>127635</xdr:colOff>
      <xdr:row>55</xdr:row>
      <xdr:rowOff>119652</xdr:rowOff>
    </xdr:to>
    <xdr:sp macro="" textlink="CALCULOS!E6">
      <xdr:nvSpPr>
        <xdr:cNvPr id="16" name="CuadroTexto 15">
          <a:extLst>
            <a:ext uri="{FF2B5EF4-FFF2-40B4-BE49-F238E27FC236}">
              <a16:creationId xmlns:a16="http://schemas.microsoft.com/office/drawing/2014/main" id="{BF8622C5-C545-4F5D-B5A0-0739DC5A6A2A}"/>
            </a:ext>
          </a:extLst>
        </xdr:cNvPr>
        <xdr:cNvSpPr txBox="1"/>
      </xdr:nvSpPr>
      <xdr:spPr>
        <a:xfrm>
          <a:off x="1190625" y="9405257"/>
          <a:ext cx="2105025" cy="594360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38070611-9D18-4D84-B5D8-0480092ECA10}" type="TxLink">
            <a:rPr lang="en-US" sz="1800" b="1" i="0" u="none" strike="noStrike">
              <a:solidFill>
                <a:srgbClr val="EAF0F7"/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2.415,0 </a:t>
          </a:fld>
          <a:endParaRPr lang="en-US" sz="1800" b="1" i="0" u="none" strike="noStrike">
            <a:solidFill>
              <a:srgbClr val="EAF0F7"/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 editAs="absolute">
    <xdr:from>
      <xdr:col>4</xdr:col>
      <xdr:colOff>666751</xdr:colOff>
      <xdr:row>52</xdr:row>
      <xdr:rowOff>85965</xdr:rowOff>
    </xdr:from>
    <xdr:to>
      <xdr:col>7</xdr:col>
      <xdr:colOff>260985</xdr:colOff>
      <xdr:row>55</xdr:row>
      <xdr:rowOff>145021</xdr:rowOff>
    </xdr:to>
    <xdr:sp macro="" textlink="CALCULOS!E7">
      <xdr:nvSpPr>
        <xdr:cNvPr id="17" name="CuadroTexto 16">
          <a:extLst>
            <a:ext uri="{FF2B5EF4-FFF2-40B4-BE49-F238E27FC236}">
              <a16:creationId xmlns:a16="http://schemas.microsoft.com/office/drawing/2014/main" id="{F0B32070-31D5-43E2-8C64-426E554680B6}"/>
            </a:ext>
          </a:extLst>
        </xdr:cNvPr>
        <xdr:cNvSpPr txBox="1"/>
      </xdr:nvSpPr>
      <xdr:spPr>
        <a:xfrm>
          <a:off x="3829051" y="9417290"/>
          <a:ext cx="1971674" cy="607696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057B9341-6204-4D0F-85BF-A944658DE0AD}" type="TxLink">
            <a:rPr lang="en-US" sz="1800" b="1" i="0" u="none" strike="noStrike">
              <a:solidFill>
                <a:srgbClr val="EAF0F7"/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828,0 </a:t>
          </a:fld>
          <a:endParaRPr lang="en-US" sz="1800" b="1" i="0" u="none" strike="noStrike">
            <a:solidFill>
              <a:srgbClr val="EAF0F7"/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 editAs="absolute">
    <xdr:from>
      <xdr:col>2</xdr:col>
      <xdr:colOff>79768</xdr:colOff>
      <xdr:row>52</xdr:row>
      <xdr:rowOff>45084</xdr:rowOff>
    </xdr:from>
    <xdr:to>
      <xdr:col>3</xdr:col>
      <xdr:colOff>638175</xdr:colOff>
      <xdr:row>54</xdr:row>
      <xdr:rowOff>16509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00F20EE-FBA1-4865-B496-06F5EF56A89D}"/>
            </a:ext>
          </a:extLst>
        </xdr:cNvPr>
        <xdr:cNvSpPr txBox="1"/>
      </xdr:nvSpPr>
      <xdr:spPr>
        <a:xfrm>
          <a:off x="1660918" y="9417684"/>
          <a:ext cx="1348982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  <a:ea typeface="+mn-ea"/>
              <a:cs typeface="+mn-cs"/>
            </a:rPr>
            <a:t>MAS 60 DIAS </a:t>
          </a:r>
        </a:p>
      </xdr:txBody>
    </xdr:sp>
    <xdr:clientData/>
  </xdr:twoCellAnchor>
  <xdr:twoCellAnchor editAs="absolute">
    <xdr:from>
      <xdr:col>5</xdr:col>
      <xdr:colOff>150132</xdr:colOff>
      <xdr:row>52</xdr:row>
      <xdr:rowOff>62170</xdr:rowOff>
    </xdr:from>
    <xdr:to>
      <xdr:col>7</xdr:col>
      <xdr:colOff>76200</xdr:colOff>
      <xdr:row>53</xdr:row>
      <xdr:rowOff>88900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1D783772-195A-4320-AC36-5AEF40F42434}"/>
            </a:ext>
          </a:extLst>
        </xdr:cNvPr>
        <xdr:cNvSpPr txBox="1"/>
      </xdr:nvSpPr>
      <xdr:spPr>
        <a:xfrm>
          <a:off x="4103007" y="9393495"/>
          <a:ext cx="1507218" cy="2077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  <a:ea typeface="+mn-ea"/>
              <a:cs typeface="+mn-cs"/>
            </a:rPr>
            <a:t>MAS 90 DIAS</a:t>
          </a:r>
        </a:p>
      </xdr:txBody>
    </xdr:sp>
    <xdr:clientData/>
  </xdr:twoCellAnchor>
  <xdr:twoCellAnchor editAs="absolute">
    <xdr:from>
      <xdr:col>7</xdr:col>
      <xdr:colOff>767443</xdr:colOff>
      <xdr:row>52</xdr:row>
      <xdr:rowOff>99815</xdr:rowOff>
    </xdr:from>
    <xdr:to>
      <xdr:col>10</xdr:col>
      <xdr:colOff>337185</xdr:colOff>
      <xdr:row>55</xdr:row>
      <xdr:rowOff>145535</xdr:rowOff>
    </xdr:to>
    <xdr:sp macro="" textlink="CALCULOS!E9">
      <xdr:nvSpPr>
        <xdr:cNvPr id="21" name="CuadroTexto 20">
          <a:extLst>
            <a:ext uri="{FF2B5EF4-FFF2-40B4-BE49-F238E27FC236}">
              <a16:creationId xmlns:a16="http://schemas.microsoft.com/office/drawing/2014/main" id="{1AEF61FE-3567-42F5-A55F-E7CDAB207D4F}"/>
            </a:ext>
          </a:extLst>
        </xdr:cNvPr>
        <xdr:cNvSpPr txBox="1"/>
      </xdr:nvSpPr>
      <xdr:spPr>
        <a:xfrm>
          <a:off x="6310993" y="9431140"/>
          <a:ext cx="1937657" cy="594360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4D66B87F-FFF7-4A6E-8DAE-237890953913}" type="TxLink">
            <a:rPr lang="en-US" sz="1800" b="1" i="0" u="none" strike="noStrike">
              <a:solidFill>
                <a:srgbClr val="FF0000"/>
              </a:solidFill>
              <a:effectLst>
                <a:outerShdw blurRad="88900" dist="76200" dir="5400000" algn="ctr" rotWithShape="0">
                  <a:schemeClr val="accent5">
                    <a:lumMod val="50000"/>
                  </a:schemeClr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 USD 900,0 </a:t>
          </a:fld>
          <a:endParaRPr lang="en-US" sz="1800" b="1" i="0" u="none" strike="noStrike">
            <a:solidFill>
              <a:srgbClr val="FF0000"/>
            </a:solidFill>
            <a:effectLst>
              <a:outerShdw blurRad="88900" dist="76200" dir="5400000" algn="ctr" rotWithShape="0">
                <a:schemeClr val="accent5">
                  <a:lumMod val="50000"/>
                </a:schemeClr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twoCellAnchor>
  <xdr:twoCellAnchor editAs="absolute">
    <xdr:from>
      <xdr:col>8</xdr:col>
      <xdr:colOff>331047</xdr:colOff>
      <xdr:row>52</xdr:row>
      <xdr:rowOff>81098</xdr:rowOff>
    </xdr:from>
    <xdr:to>
      <xdr:col>10</xdr:col>
      <xdr:colOff>295275</xdr:colOff>
      <xdr:row>54</xdr:row>
      <xdr:rowOff>38493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3888FF39-7DE6-4563-833C-FCC788A94C80}"/>
            </a:ext>
          </a:extLst>
        </xdr:cNvPr>
        <xdr:cNvSpPr txBox="1"/>
      </xdr:nvSpPr>
      <xdr:spPr>
        <a:xfrm>
          <a:off x="6655647" y="9453698"/>
          <a:ext cx="1545378" cy="3193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</a:rPr>
            <a:t>MAS 150 </a:t>
          </a:r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  <a:ea typeface="+mn-ea"/>
              <a:cs typeface="+mn-cs"/>
            </a:rPr>
            <a:t>DIAS</a:t>
          </a:r>
        </a:p>
      </xdr:txBody>
    </xdr:sp>
    <xdr:clientData/>
  </xdr:twoCellAnchor>
  <xdr:twoCellAnchor editAs="absolute">
    <xdr:from>
      <xdr:col>1</xdr:col>
      <xdr:colOff>314324</xdr:colOff>
      <xdr:row>40</xdr:row>
      <xdr:rowOff>28575</xdr:rowOff>
    </xdr:from>
    <xdr:to>
      <xdr:col>3</xdr:col>
      <xdr:colOff>723899</xdr:colOff>
      <xdr:row>51</xdr:row>
      <xdr:rowOff>95250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2BEAB90F-A221-4FEC-B715-8AA92B536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4</xdr:col>
      <xdr:colOff>628650</xdr:colOff>
      <xdr:row>40</xdr:row>
      <xdr:rowOff>117474</xdr:rowOff>
    </xdr:from>
    <xdr:to>
      <xdr:col>7</xdr:col>
      <xdr:colOff>238125</xdr:colOff>
      <xdr:row>51</xdr:row>
      <xdr:rowOff>174624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2CE4C35-7CC8-4714-BFB2-C8E7100D40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95250</xdr:colOff>
      <xdr:row>43</xdr:row>
      <xdr:rowOff>32385</xdr:rowOff>
    </xdr:from>
    <xdr:to>
      <xdr:col>5</xdr:col>
      <xdr:colOff>369570</xdr:colOff>
      <xdr:row>52</xdr:row>
      <xdr:rowOff>154305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38F033EE-B447-4CA3-938F-129B13778D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228600</xdr:colOff>
      <xdr:row>23</xdr:row>
      <xdr:rowOff>53340</xdr:rowOff>
    </xdr:from>
    <xdr:ext cx="1104900" cy="264560"/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1551EC13-370D-FF0E-317F-A98F0D0C71A5}"/>
            </a:ext>
          </a:extLst>
        </xdr:cNvPr>
        <xdr:cNvSpPr txBox="1"/>
      </xdr:nvSpPr>
      <xdr:spPr>
        <a:xfrm>
          <a:off x="1021080" y="4259580"/>
          <a:ext cx="11049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AR" sz="1100"/>
        </a:p>
      </xdr:txBody>
    </xdr:sp>
    <xdr:clientData/>
  </xdr:oneCellAnchor>
  <xdr:twoCellAnchor editAs="absolute">
    <xdr:from>
      <xdr:col>1</xdr:col>
      <xdr:colOff>648154</xdr:colOff>
      <xdr:row>45</xdr:row>
      <xdr:rowOff>47200</xdr:rowOff>
    </xdr:from>
    <xdr:to>
      <xdr:col>3</xdr:col>
      <xdr:colOff>723900</xdr:colOff>
      <xdr:row>47</xdr:row>
      <xdr:rowOff>157962</xdr:rowOff>
    </xdr:to>
    <xdr:sp macro="" textlink="CALCULOS!E34">
      <xdr:nvSpPr>
        <xdr:cNvPr id="44" name="CuadroTexto 43">
          <a:extLst>
            <a:ext uri="{FF2B5EF4-FFF2-40B4-BE49-F238E27FC236}">
              <a16:creationId xmlns:a16="http://schemas.microsoft.com/office/drawing/2014/main" id="{5B9EA3A9-8C9B-436A-B86E-1E0EB8B3D110}"/>
            </a:ext>
          </a:extLst>
        </xdr:cNvPr>
        <xdr:cNvSpPr txBox="1"/>
      </xdr:nvSpPr>
      <xdr:spPr>
        <a:xfrm>
          <a:off x="1438729" y="8152975"/>
          <a:ext cx="1656896" cy="472712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D67E60EF-FD80-4978-8281-019ED44290B9}" type="TxLink">
            <a:rPr lang="en-US" sz="1800" b="0" i="0" u="none" strike="noStrike">
              <a:solidFill>
                <a:schemeClr val="accent6">
                  <a:lumMod val="20000"/>
                  <a:lumOff val="80000"/>
                </a:schemeClr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76,7%</a:t>
          </a:fld>
          <a:endParaRPr lang="en-US" sz="1800" b="1" i="0" u="none" strike="noStrike">
            <a:solidFill>
              <a:schemeClr val="accent6">
                <a:lumMod val="20000"/>
                <a:lumOff val="80000"/>
              </a:schemeClr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5</xdr:col>
      <xdr:colOff>96397</xdr:colOff>
      <xdr:row>45</xdr:row>
      <xdr:rowOff>81552</xdr:rowOff>
    </xdr:from>
    <xdr:to>
      <xdr:col>6</xdr:col>
      <xdr:colOff>781050</xdr:colOff>
      <xdr:row>48</xdr:row>
      <xdr:rowOff>5352</xdr:rowOff>
    </xdr:to>
    <xdr:sp macro="" textlink="CALCULOS!E35">
      <xdr:nvSpPr>
        <xdr:cNvPr id="46" name="CuadroTexto 45">
          <a:extLst>
            <a:ext uri="{FF2B5EF4-FFF2-40B4-BE49-F238E27FC236}">
              <a16:creationId xmlns:a16="http://schemas.microsoft.com/office/drawing/2014/main" id="{F8E02773-B3D1-48C6-A2DA-E094942865AD}"/>
            </a:ext>
          </a:extLst>
        </xdr:cNvPr>
        <xdr:cNvSpPr txBox="1"/>
      </xdr:nvSpPr>
      <xdr:spPr>
        <a:xfrm>
          <a:off x="4049272" y="8187327"/>
          <a:ext cx="1475228" cy="46672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6CDCA906-9621-4F2F-8245-92035A1CF6F3}" type="TxLink">
            <a:rPr lang="en-US" sz="18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18,0%</a:t>
          </a:fld>
          <a:endParaRPr lang="en-US" sz="18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twoCellAnchor>
    <xdr:from>
      <xdr:col>2</xdr:col>
      <xdr:colOff>82459</xdr:colOff>
      <xdr:row>38</xdr:row>
      <xdr:rowOff>89807</xdr:rowOff>
    </xdr:from>
    <xdr:to>
      <xdr:col>3</xdr:col>
      <xdr:colOff>648516</xdr:colOff>
      <xdr:row>40</xdr:row>
      <xdr:rowOff>15512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E59CA3E0-7E0C-4361-A5E1-EFBCD0D8D04C}"/>
            </a:ext>
          </a:extLst>
        </xdr:cNvPr>
        <xdr:cNvSpPr txBox="1"/>
      </xdr:nvSpPr>
      <xdr:spPr>
        <a:xfrm>
          <a:off x="1663609" y="6928757"/>
          <a:ext cx="1356632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50" b="1">
              <a:solidFill>
                <a:srgbClr val="7BBABF"/>
              </a:solidFill>
              <a:latin typeface="Arial Black" panose="020B0A04020102020204" pitchFamily="34" charset="0"/>
            </a:rPr>
            <a:t>NO</a:t>
          </a:r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</a:rPr>
            <a:t> VENCIDO</a:t>
          </a:r>
          <a:endParaRPr lang="es-AR" sz="1050" b="1">
            <a:solidFill>
              <a:srgbClr val="7BBABF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8</xdr:col>
      <xdr:colOff>276769</xdr:colOff>
      <xdr:row>38</xdr:row>
      <xdr:rowOff>121920</xdr:rowOff>
    </xdr:from>
    <xdr:to>
      <xdr:col>10</xdr:col>
      <xdr:colOff>52251</xdr:colOff>
      <xdr:row>40</xdr:row>
      <xdr:rowOff>47625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CEADFBB0-5311-4178-97EB-B28E1CB78E35}"/>
            </a:ext>
          </a:extLst>
        </xdr:cNvPr>
        <xdr:cNvSpPr txBox="1"/>
      </xdr:nvSpPr>
      <xdr:spPr>
        <a:xfrm>
          <a:off x="6601369" y="6960870"/>
          <a:ext cx="1356632" cy="287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  <a:ea typeface="+mn-ea"/>
              <a:cs typeface="+mn-cs"/>
            </a:rPr>
            <a:t>MAS </a:t>
          </a:r>
          <a:r>
            <a:rPr lang="es-AR" sz="1050" b="1" baseline="0">
              <a:solidFill>
                <a:srgbClr val="7BBABF"/>
              </a:solidFill>
              <a:latin typeface="Arial Black" panose="020B0A04020102020204" pitchFamily="34" charset="0"/>
            </a:rPr>
            <a:t>30 DIAS</a:t>
          </a:r>
          <a:endParaRPr lang="es-AR" sz="1050" b="1">
            <a:solidFill>
              <a:srgbClr val="7BBABF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11</xdr:col>
      <xdr:colOff>600075</xdr:colOff>
      <xdr:row>15</xdr:row>
      <xdr:rowOff>150133</xdr:rowOff>
    </xdr:from>
    <xdr:to>
      <xdr:col>13</xdr:col>
      <xdr:colOff>1457325</xdr:colOff>
      <xdr:row>33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5" name="Gráfico 58">
              <a:extLst>
                <a:ext uri="{FF2B5EF4-FFF2-40B4-BE49-F238E27FC236}">
                  <a16:creationId xmlns:a16="http://schemas.microsoft.com/office/drawing/2014/main" id="{1098D1CB-37B5-4C17-ADE9-726006EC0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17355" y="2893333"/>
              <a:ext cx="4400550" cy="3132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771526</xdr:colOff>
      <xdr:row>14</xdr:row>
      <xdr:rowOff>95250</xdr:rowOff>
    </xdr:from>
    <xdr:to>
      <xdr:col>16384</xdr:col>
      <xdr:colOff>788670</xdr:colOff>
      <xdr:row>34</xdr:row>
      <xdr:rowOff>38100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3" name="Gráfico 63">
              <a:extLst>
                <a:ext uri="{FF2B5EF4-FFF2-40B4-BE49-F238E27FC236}">
                  <a16:creationId xmlns:a16="http://schemas.microsoft.com/office/drawing/2014/main" id="{ABFB5667-E8E5-4F44-BEE9-7E022936BC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32106" y="2655570"/>
              <a:ext cx="6616064" cy="356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8</xdr:col>
      <xdr:colOff>516799</xdr:colOff>
      <xdr:row>12</xdr:row>
      <xdr:rowOff>163286</xdr:rowOff>
    </xdr:from>
    <xdr:to>
      <xdr:col>11</xdr:col>
      <xdr:colOff>85996</xdr:colOff>
      <xdr:row>18</xdr:row>
      <xdr:rowOff>121679</xdr:rowOff>
    </xdr:to>
    <xdr:graphicFrame macro="">
      <xdr:nvGraphicFramePr>
        <xdr:cNvPr id="5" name="Gráfico 3">
          <a:extLst>
            <a:ext uri="{FF2B5EF4-FFF2-40B4-BE49-F238E27FC236}">
              <a16:creationId xmlns:a16="http://schemas.microsoft.com/office/drawing/2014/main" id="{EA52394F-CF7A-460A-8312-8DDA85AAE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1</xdr:col>
      <xdr:colOff>501651</xdr:colOff>
      <xdr:row>35</xdr:row>
      <xdr:rowOff>54429</xdr:rowOff>
    </xdr:from>
    <xdr:ext cx="4429578" cy="468086"/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608B595C-20A2-8931-877A-9F5EAC2079B8}"/>
            </a:ext>
          </a:extLst>
        </xdr:cNvPr>
        <xdr:cNvSpPr txBox="1"/>
      </xdr:nvSpPr>
      <xdr:spPr>
        <a:xfrm>
          <a:off x="1296308" y="6487886"/>
          <a:ext cx="4429578" cy="468086"/>
        </a:xfrm>
        <a:prstGeom prst="rect">
          <a:avLst/>
        </a:prstGeom>
        <a:solidFill>
          <a:srgbClr val="EAF0F7"/>
        </a:soli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AR" sz="14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        </a:t>
          </a:r>
          <a:r>
            <a:rPr lang="es-AR" sz="18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COMPOSICION DE CUENTAS A COBRAR</a:t>
          </a:r>
        </a:p>
      </xdr:txBody>
    </xdr:sp>
    <xdr:clientData/>
  </xdr:oneCellAnchor>
  <xdr:twoCellAnchor editAs="absolute">
    <xdr:from>
      <xdr:col>12</xdr:col>
      <xdr:colOff>937169</xdr:colOff>
      <xdr:row>35</xdr:row>
      <xdr:rowOff>28996</xdr:rowOff>
    </xdr:from>
    <xdr:to>
      <xdr:col>14</xdr:col>
      <xdr:colOff>972911</xdr:colOff>
      <xdr:row>37</xdr:row>
      <xdr:rowOff>121104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F6764C87-90F2-4FA8-B066-1534D7DA8E57}"/>
            </a:ext>
          </a:extLst>
        </xdr:cNvPr>
        <xdr:cNvSpPr txBox="1"/>
      </xdr:nvSpPr>
      <xdr:spPr>
        <a:xfrm>
          <a:off x="10424069" y="6325021"/>
          <a:ext cx="4293417" cy="454058"/>
        </a:xfrm>
        <a:prstGeom prst="rect">
          <a:avLst/>
        </a:prstGeom>
        <a:solidFill>
          <a:srgbClr val="EAF0F7"/>
        </a:solidFill>
        <a:ln>
          <a:noFill/>
        </a:ln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s-AR" sz="14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              </a:t>
          </a:r>
          <a:r>
            <a:rPr lang="es-AR" sz="18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RANKING DE DEUDORES  </a:t>
          </a:r>
        </a:p>
      </xdr:txBody>
    </xdr:sp>
    <xdr:clientData/>
  </xdr:twoCellAnchor>
  <xdr:twoCellAnchor editAs="absolute">
    <xdr:from>
      <xdr:col>7</xdr:col>
      <xdr:colOff>31296</xdr:colOff>
      <xdr:row>27</xdr:row>
      <xdr:rowOff>141515</xdr:rowOff>
    </xdr:from>
    <xdr:to>
      <xdr:col>12</xdr:col>
      <xdr:colOff>810986</xdr:colOff>
      <xdr:row>42</xdr:row>
      <xdr:rowOff>105835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B29BFF10-6078-4C7F-ADE0-8843730279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344262</xdr:colOff>
      <xdr:row>32</xdr:row>
      <xdr:rowOff>1</xdr:rowOff>
    </xdr:from>
    <xdr:to>
      <xdr:col>11</xdr:col>
      <xdr:colOff>281163</xdr:colOff>
      <xdr:row>38</xdr:row>
      <xdr:rowOff>108859</xdr:rowOff>
    </xdr:to>
    <xdr:graphicFrame macro="">
      <xdr:nvGraphicFramePr>
        <xdr:cNvPr id="40" name="Gráfico 39">
          <a:extLst>
            <a:ext uri="{FF2B5EF4-FFF2-40B4-BE49-F238E27FC236}">
              <a16:creationId xmlns:a16="http://schemas.microsoft.com/office/drawing/2014/main" id="{D9E6751D-FC53-4048-AEB0-5F94184114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oneCellAnchor>
    <xdr:from>
      <xdr:col>8</xdr:col>
      <xdr:colOff>767443</xdr:colOff>
      <xdr:row>32</xdr:row>
      <xdr:rowOff>87236</xdr:rowOff>
    </xdr:from>
    <xdr:ext cx="1333500" cy="326651"/>
    <xdr:sp macro="" textlink="CALCULOS!B73">
      <xdr:nvSpPr>
        <xdr:cNvPr id="51" name="CuadroTexto 50">
          <a:extLst>
            <a:ext uri="{FF2B5EF4-FFF2-40B4-BE49-F238E27FC236}">
              <a16:creationId xmlns:a16="http://schemas.microsoft.com/office/drawing/2014/main" id="{49485926-8129-4A02-8243-6E9B9EB5AC9E}"/>
            </a:ext>
          </a:extLst>
        </xdr:cNvPr>
        <xdr:cNvSpPr txBox="1"/>
      </xdr:nvSpPr>
      <xdr:spPr>
        <a:xfrm>
          <a:off x="7092043" y="5840336"/>
          <a:ext cx="1333500" cy="326651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B469AF91-0856-4FA0-9252-6BFDBAA339D3}" type="TxLink">
            <a:rPr lang="en-US" sz="14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0,30%</a:t>
          </a:fld>
          <a:endParaRPr lang="en-US" sz="14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oneCellAnchor>
  <xdr:twoCellAnchor editAs="absolute">
    <xdr:from>
      <xdr:col>10</xdr:col>
      <xdr:colOff>523420</xdr:colOff>
      <xdr:row>32</xdr:row>
      <xdr:rowOff>172964</xdr:rowOff>
    </xdr:from>
    <xdr:to>
      <xdr:col>11</xdr:col>
      <xdr:colOff>680639</xdr:colOff>
      <xdr:row>35</xdr:row>
      <xdr:rowOff>24374</xdr:rowOff>
    </xdr:to>
    <xdr:sp macro="" textlink="CALCULOS!$K$76">
      <xdr:nvSpPr>
        <xdr:cNvPr id="56" name="CuadroTexto 55">
          <a:extLst>
            <a:ext uri="{FF2B5EF4-FFF2-40B4-BE49-F238E27FC236}">
              <a16:creationId xmlns:a16="http://schemas.microsoft.com/office/drawing/2014/main" id="{9A52C52E-00FD-4E46-9957-20DB03F8C010}"/>
            </a:ext>
          </a:extLst>
        </xdr:cNvPr>
        <xdr:cNvSpPr txBox="1"/>
      </xdr:nvSpPr>
      <xdr:spPr>
        <a:xfrm>
          <a:off x="8429170" y="5926064"/>
          <a:ext cx="949699" cy="40005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lIns="324000" tIns="108000" rIns="288000" rtlCol="0" anchor="ctr">
          <a:noAutofit/>
        </a:bodyPr>
        <a:lstStyle/>
        <a:p>
          <a:pPr marL="0" indent="0" algn="ctr"/>
          <a:fld id="{063E38A4-79D4-4CB7-843B-0CBC5362D734}" type="TxLink">
            <a:rPr lang="en-US" sz="1100" b="1" i="0" u="none" strike="noStrike">
              <a:solidFill>
                <a:srgbClr val="0F1B2D"/>
              </a:solidFill>
              <a:effectLst>
                <a:glow rad="228600">
                  <a:srgbClr val="EAF0F7">
                    <a:alpha val="40000"/>
                  </a:srgbClr>
                </a:glow>
                <a:outerShdw blurRad="330200" dist="50800" dir="5400000" algn="ctr" rotWithShape="0">
                  <a:srgbClr val="FF0000"/>
                </a:outerShdw>
              </a:effectLst>
              <a:latin typeface="Aptos Narrow"/>
              <a:ea typeface="Calibri"/>
              <a:cs typeface="Aharoni" panose="020F0502020204030204" pitchFamily="2" charset="-79"/>
            </a:rPr>
            <a:pPr marL="0" indent="0" algn="ctr"/>
            <a:t>2%</a:t>
          </a:fld>
          <a:endParaRPr lang="en-US" sz="1100" b="1" i="0" u="none" strike="noStrike">
            <a:solidFill>
              <a:srgbClr val="0F1B2D"/>
            </a:solidFill>
            <a:effectLst>
              <a:glow rad="228600">
                <a:srgbClr val="EAF0F7">
                  <a:alpha val="40000"/>
                </a:srgbClr>
              </a:glow>
              <a:outerShdw blurRad="330200" dist="50800" dir="5400000" algn="ctr" rotWithShape="0">
                <a:srgbClr val="FF0000"/>
              </a:outerShdw>
            </a:effectLst>
            <a:latin typeface="Aptos Narrow"/>
            <a:ea typeface="Calibri"/>
            <a:cs typeface="Aharoni" panose="020F0502020204030204" pitchFamily="2" charset="-79"/>
          </a:endParaRPr>
        </a:p>
      </xdr:txBody>
    </xdr:sp>
    <xdr:clientData/>
  </xdr:twoCellAnchor>
  <xdr:oneCellAnchor>
    <xdr:from>
      <xdr:col>9</xdr:col>
      <xdr:colOff>132139</xdr:colOff>
      <xdr:row>27</xdr:row>
      <xdr:rowOff>18746</xdr:rowOff>
    </xdr:from>
    <xdr:ext cx="1081617" cy="400050"/>
    <xdr:sp macro="" textlink="CALCULOS!K74">
      <xdr:nvSpPr>
        <xdr:cNvPr id="58" name="CuadroTexto 57">
          <a:extLst>
            <a:ext uri="{FF2B5EF4-FFF2-40B4-BE49-F238E27FC236}">
              <a16:creationId xmlns:a16="http://schemas.microsoft.com/office/drawing/2014/main" id="{42B49DA4-F9DA-4693-A368-B8BB543631F4}"/>
            </a:ext>
          </a:extLst>
        </xdr:cNvPr>
        <xdr:cNvSpPr txBox="1"/>
      </xdr:nvSpPr>
      <xdr:spPr>
        <a:xfrm>
          <a:off x="7247314" y="4905071"/>
          <a:ext cx="1081617" cy="40005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34030521-75DB-4DDC-B329-155340C47CBB}" type="TxLink">
            <a:rPr lang="en-US" sz="1100" b="1" i="0" u="none" strike="noStrike">
              <a:solidFill>
                <a:srgbClr val="0F1B2D"/>
              </a:solidFill>
              <a:effectLst>
                <a:glow rad="228600">
                  <a:srgbClr val="EAF0F7">
                    <a:alpha val="40000"/>
                  </a:srgbClr>
                </a:glow>
                <a:outerShdw blurRad="330200" dist="50800" dir="5400000" algn="ctr" rotWithShape="0">
                  <a:srgbClr val="FFFF00"/>
                </a:outerShdw>
              </a:effectLst>
              <a:latin typeface="Aptos Narrow"/>
              <a:ea typeface="Calibri"/>
              <a:cs typeface="Aharoni" panose="020F0502020204030204" pitchFamily="2" charset="-79"/>
            </a:rPr>
            <a:pPr marL="0" indent="0" algn="ctr"/>
            <a:t>1%</a:t>
          </a:fld>
          <a:endParaRPr lang="en-US" sz="1100" b="1" i="0" u="none" strike="noStrike">
            <a:solidFill>
              <a:srgbClr val="0F1B2D"/>
            </a:solidFill>
            <a:effectLst>
              <a:glow rad="228600">
                <a:srgbClr val="EAF0F7">
                  <a:alpha val="40000"/>
                </a:srgbClr>
              </a:glow>
              <a:outerShdw blurRad="330200" dist="50800" dir="5400000" algn="ctr" rotWithShape="0">
                <a:srgbClr val="FFFF00"/>
              </a:outerShdw>
            </a:effectLst>
            <a:latin typeface="Aptos Narrow"/>
            <a:ea typeface="Calibri"/>
            <a:cs typeface="Aharoni" panose="020F0502020204030204" pitchFamily="2" charset="-79"/>
          </a:endParaRPr>
        </a:p>
      </xdr:txBody>
    </xdr:sp>
    <xdr:clientData/>
  </xdr:oneCellAnchor>
  <xdr:twoCellAnchor editAs="absolute">
    <xdr:from>
      <xdr:col>7</xdr:col>
      <xdr:colOff>643618</xdr:colOff>
      <xdr:row>32</xdr:row>
      <xdr:rowOff>168276</xdr:rowOff>
    </xdr:from>
    <xdr:to>
      <xdr:col>8</xdr:col>
      <xdr:colOff>757072</xdr:colOff>
      <xdr:row>35</xdr:row>
      <xdr:rowOff>19686</xdr:rowOff>
    </xdr:to>
    <xdr:sp macro="" textlink="CALCULOS!K73">
      <xdr:nvSpPr>
        <xdr:cNvPr id="59" name="CuadroTexto 58">
          <a:extLst>
            <a:ext uri="{FF2B5EF4-FFF2-40B4-BE49-F238E27FC236}">
              <a16:creationId xmlns:a16="http://schemas.microsoft.com/office/drawing/2014/main" id="{FF0A3B35-5C4B-4E11-8ACB-B06206BF5FDA}"/>
            </a:ext>
          </a:extLst>
        </xdr:cNvPr>
        <xdr:cNvSpPr txBox="1"/>
      </xdr:nvSpPr>
      <xdr:spPr>
        <a:xfrm>
          <a:off x="6177643" y="5921376"/>
          <a:ext cx="905934" cy="40005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CA5A5EB5-3773-41CB-B7D9-3E394197E046}" type="TxLink">
            <a:rPr lang="en-US" sz="1100" b="1" i="0" u="none" strike="noStrike">
              <a:solidFill>
                <a:srgbClr val="0F1B2D"/>
              </a:solidFill>
              <a:effectLst>
                <a:glow rad="228600">
                  <a:srgbClr val="EAF0F7">
                    <a:alpha val="40000"/>
                  </a:srgbClr>
                </a:glow>
                <a:outerShdw blurRad="330200" dist="50800" dir="5400000" algn="ctr" rotWithShape="0">
                  <a:srgbClr val="92D050"/>
                </a:outerShdw>
              </a:effectLst>
              <a:latin typeface="Aptos Narrow"/>
              <a:ea typeface="Calibri"/>
              <a:cs typeface="Aharoni" panose="020F0502020204030204" pitchFamily="2" charset="-79"/>
            </a:rPr>
            <a:pPr marL="0" indent="0" algn="ctr"/>
            <a:t>0%</a:t>
          </a:fld>
          <a:endParaRPr lang="en-US" sz="1100" b="1" i="0" u="none" strike="noStrike">
            <a:solidFill>
              <a:srgbClr val="0F1B2D"/>
            </a:solidFill>
            <a:effectLst>
              <a:glow rad="228600">
                <a:srgbClr val="EAF0F7">
                  <a:alpha val="40000"/>
                </a:srgbClr>
              </a:glow>
              <a:outerShdw blurRad="330200" dist="50800" dir="5400000" algn="ctr" rotWithShape="0">
                <a:srgbClr val="92D050"/>
              </a:outerShdw>
            </a:effectLst>
            <a:latin typeface="Aptos Narrow"/>
            <a:ea typeface="Calibri"/>
            <a:cs typeface="Aharoni" panose="020F0502020204030204" pitchFamily="2" charset="-79"/>
          </a:endParaRPr>
        </a:p>
      </xdr:txBody>
    </xdr:sp>
    <xdr:clientData/>
  </xdr:twoCellAnchor>
  <xdr:oneCellAnchor>
    <xdr:from>
      <xdr:col>8</xdr:col>
      <xdr:colOff>563336</xdr:colOff>
      <xdr:row>33</xdr:row>
      <xdr:rowOff>179614</xdr:rowOff>
    </xdr:from>
    <xdr:ext cx="1752600" cy="457200"/>
    <xdr:sp macro="" textlink="CALCULOS!B76">
      <xdr:nvSpPr>
        <xdr:cNvPr id="24" name="CuadroTexto 23">
          <a:extLst>
            <a:ext uri="{FF2B5EF4-FFF2-40B4-BE49-F238E27FC236}">
              <a16:creationId xmlns:a16="http://schemas.microsoft.com/office/drawing/2014/main" id="{4E4047B9-FA96-4D52-A45D-F9F4095A5AA9}"/>
            </a:ext>
          </a:extLst>
        </xdr:cNvPr>
        <xdr:cNvSpPr txBox="1"/>
      </xdr:nvSpPr>
      <xdr:spPr>
        <a:xfrm>
          <a:off x="6887936" y="6113689"/>
          <a:ext cx="1752600" cy="457200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13F432E9-224A-46A5-83BC-65F22488E01F}" type="TxLink">
            <a:rPr lang="en-US" sz="14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Gestion Sana</a:t>
          </a:fld>
          <a:endParaRPr lang="en-US" sz="14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oneCellAnchor>
  <xdr:twoCellAnchor>
    <xdr:from>
      <xdr:col>7</xdr:col>
      <xdr:colOff>598713</xdr:colOff>
      <xdr:row>27</xdr:row>
      <xdr:rowOff>110215</xdr:rowOff>
    </xdr:from>
    <xdr:to>
      <xdr:col>9</xdr:col>
      <xdr:colOff>603884</xdr:colOff>
      <xdr:row>29</xdr:row>
      <xdr:rowOff>174170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36309E61-71A9-44B7-855D-80DC93B49F8A}"/>
            </a:ext>
          </a:extLst>
        </xdr:cNvPr>
        <xdr:cNvSpPr txBox="1"/>
      </xdr:nvSpPr>
      <xdr:spPr>
        <a:xfrm>
          <a:off x="6161313" y="5106758"/>
          <a:ext cx="1594485" cy="434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600" b="1">
              <a:solidFill>
                <a:srgbClr val="0F1B2D"/>
              </a:solidFill>
              <a:effectLst>
                <a:glow rad="127000">
                  <a:srgbClr val="EAF0F7"/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%</a:t>
          </a:r>
          <a:r>
            <a:rPr lang="es-AR" sz="1600" b="1" baseline="0">
              <a:solidFill>
                <a:srgbClr val="0F1B2D"/>
              </a:solidFill>
              <a:effectLst>
                <a:glow rad="127000">
                  <a:srgbClr val="EAF0F7"/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Incobrables</a:t>
          </a:r>
          <a:endParaRPr lang="es-AR" sz="1600" b="1">
            <a:solidFill>
              <a:srgbClr val="0F1B2D"/>
            </a:solidFill>
            <a:effectLst>
              <a:glow rad="127000">
                <a:srgbClr val="EAF0F7"/>
              </a:glow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0</xdr:col>
      <xdr:colOff>545466</xdr:colOff>
      <xdr:row>0</xdr:row>
      <xdr:rowOff>165554</xdr:rowOff>
    </xdr:from>
    <xdr:to>
      <xdr:col>11</xdr:col>
      <xdr:colOff>457200</xdr:colOff>
      <xdr:row>3</xdr:row>
      <xdr:rowOff>114300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CE7010E8-EEE2-44A1-8E1F-0AF9BD14D37D}"/>
            </a:ext>
          </a:extLst>
        </xdr:cNvPr>
        <xdr:cNvSpPr txBox="1"/>
      </xdr:nvSpPr>
      <xdr:spPr>
        <a:xfrm>
          <a:off x="545466" y="165554"/>
          <a:ext cx="8608059" cy="491671"/>
        </a:xfrm>
        <a:prstGeom prst="rect">
          <a:avLst/>
        </a:prstGeom>
        <a:noFill/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s-AR" sz="3200" b="1">
              <a:solidFill>
                <a:srgbClr val="EAF0F7"/>
              </a:solidFill>
              <a:effectLst>
                <a:glow rad="63500">
                  <a:srgbClr val="1B2D45">
                    <a:alpha val="40000"/>
                  </a:srgb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DASHBOARD</a:t>
          </a:r>
          <a:r>
            <a:rPr lang="es-AR" sz="3200" b="1" baseline="0">
              <a:solidFill>
                <a:srgbClr val="EAF0F7"/>
              </a:solidFill>
              <a:effectLst>
                <a:glow rad="63500">
                  <a:srgbClr val="1B2D45">
                    <a:alpha val="40000"/>
                  </a:srgbClr>
                </a:glow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 DE GESTION DE COBRANZAS</a:t>
          </a:r>
        </a:p>
        <a:p>
          <a:endParaRPr lang="es-AR" sz="3200" b="1">
            <a:solidFill>
              <a:srgbClr val="EAF0F7"/>
            </a:solidFill>
            <a:effectLst>
              <a:glow rad="63500">
                <a:srgbClr val="1B2D45">
                  <a:alpha val="40000"/>
                </a:srgbClr>
              </a:glow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Aharoni" panose="02010803020104030203" pitchFamily="2" charset="-79"/>
            <a:cs typeface="Aharoni" panose="02010803020104030203" pitchFamily="2" charset="-79"/>
          </a:endParaRPr>
        </a:p>
      </xdr:txBody>
    </xdr:sp>
    <xdr:clientData/>
  </xdr:twoCellAnchor>
  <xdr:twoCellAnchor editAs="absolute">
    <xdr:from>
      <xdr:col>1</xdr:col>
      <xdr:colOff>409575</xdr:colOff>
      <xdr:row>54</xdr:row>
      <xdr:rowOff>42636</xdr:rowOff>
    </xdr:from>
    <xdr:to>
      <xdr:col>4</xdr:col>
      <xdr:colOff>142876</xdr:colOff>
      <xdr:row>64</xdr:row>
      <xdr:rowOff>128905</xdr:rowOff>
    </xdr:to>
    <xdr:graphicFrame macro="">
      <xdr:nvGraphicFramePr>
        <xdr:cNvPr id="61" name="Gráfico 60">
          <a:extLst>
            <a:ext uri="{FF2B5EF4-FFF2-40B4-BE49-F238E27FC236}">
              <a16:creationId xmlns:a16="http://schemas.microsoft.com/office/drawing/2014/main" id="{F4812A40-1C2D-4DC3-AEA2-D1440D8A16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absolute">
    <xdr:from>
      <xdr:col>7</xdr:col>
      <xdr:colOff>621845</xdr:colOff>
      <xdr:row>54</xdr:row>
      <xdr:rowOff>155575</xdr:rowOff>
    </xdr:from>
    <xdr:to>
      <xdr:col>10</xdr:col>
      <xdr:colOff>323850</xdr:colOff>
      <xdr:row>64</xdr:row>
      <xdr:rowOff>170543</xdr:rowOff>
    </xdr:to>
    <xdr:graphicFrame macro="">
      <xdr:nvGraphicFramePr>
        <xdr:cNvPr id="63" name="Gráfico 62">
          <a:extLst>
            <a:ext uri="{FF2B5EF4-FFF2-40B4-BE49-F238E27FC236}">
              <a16:creationId xmlns:a16="http://schemas.microsoft.com/office/drawing/2014/main" id="{6217E60F-DB3E-44D4-8089-9B6264DAD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absolute">
    <xdr:from>
      <xdr:col>4</xdr:col>
      <xdr:colOff>571499</xdr:colOff>
      <xdr:row>54</xdr:row>
      <xdr:rowOff>78015</xdr:rowOff>
    </xdr:from>
    <xdr:to>
      <xdr:col>7</xdr:col>
      <xdr:colOff>304800</xdr:colOff>
      <xdr:row>64</xdr:row>
      <xdr:rowOff>165645</xdr:rowOff>
    </xdr:to>
    <xdr:graphicFrame macro="">
      <xdr:nvGraphicFramePr>
        <xdr:cNvPr id="62" name="Gráfico 61">
          <a:extLst>
            <a:ext uri="{FF2B5EF4-FFF2-40B4-BE49-F238E27FC236}">
              <a16:creationId xmlns:a16="http://schemas.microsoft.com/office/drawing/2014/main" id="{310EFE3A-DC41-4E0F-96DB-FED286106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absolute">
    <xdr:from>
      <xdr:col>11</xdr:col>
      <xdr:colOff>771071</xdr:colOff>
      <xdr:row>12</xdr:row>
      <xdr:rowOff>136071</xdr:rowOff>
    </xdr:from>
    <xdr:to>
      <xdr:col>13</xdr:col>
      <xdr:colOff>1424214</xdr:colOff>
      <xdr:row>14</xdr:row>
      <xdr:rowOff>174171</xdr:rowOff>
    </xdr:to>
    <xdr:sp macro="" textlink="">
      <xdr:nvSpPr>
        <xdr:cNvPr id="33" name="Rectángulo: esquinas redondeadas 32">
          <a:extLst>
            <a:ext uri="{FF2B5EF4-FFF2-40B4-BE49-F238E27FC236}">
              <a16:creationId xmlns:a16="http://schemas.microsoft.com/office/drawing/2014/main" id="{6C7C2FB7-300C-56D5-98AA-99991EC62819}"/>
            </a:ext>
          </a:extLst>
        </xdr:cNvPr>
        <xdr:cNvSpPr/>
      </xdr:nvSpPr>
      <xdr:spPr>
        <a:xfrm>
          <a:off x="9467396" y="2307771"/>
          <a:ext cx="4196443" cy="400050"/>
        </a:xfrm>
        <a:prstGeom prst="roundRect">
          <a:avLst/>
        </a:prstGeom>
        <a:solidFill>
          <a:srgbClr val="EAF0F7"/>
        </a:soli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4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        </a:t>
          </a:r>
          <a:r>
            <a:rPr lang="es-AR" sz="18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CARTERA POR CLASIFICACION</a:t>
          </a:r>
        </a:p>
      </xdr:txBody>
    </xdr:sp>
    <xdr:clientData/>
  </xdr:twoCellAnchor>
  <xdr:twoCellAnchor editAs="absolute">
    <xdr:from>
      <xdr:col>14</xdr:col>
      <xdr:colOff>400050</xdr:colOff>
      <xdr:row>12</xdr:row>
      <xdr:rowOff>133351</xdr:rowOff>
    </xdr:from>
    <xdr:to>
      <xdr:col>17</xdr:col>
      <xdr:colOff>0</xdr:colOff>
      <xdr:row>14</xdr:row>
      <xdr:rowOff>171451</xdr:rowOff>
    </xdr:to>
    <xdr:sp macro="" textlink="">
      <xdr:nvSpPr>
        <xdr:cNvPr id="37" name="Rectángulo: esquinas redondeadas 36">
          <a:extLst>
            <a:ext uri="{FF2B5EF4-FFF2-40B4-BE49-F238E27FC236}">
              <a16:creationId xmlns:a16="http://schemas.microsoft.com/office/drawing/2014/main" id="{960F7FC5-6397-4B0B-B421-47CAAF1BFCCC}"/>
            </a:ext>
          </a:extLst>
        </xdr:cNvPr>
        <xdr:cNvSpPr/>
      </xdr:nvSpPr>
      <xdr:spPr>
        <a:xfrm>
          <a:off x="14144625" y="2305051"/>
          <a:ext cx="3686175" cy="400050"/>
        </a:xfrm>
        <a:prstGeom prst="roundRect">
          <a:avLst/>
        </a:prstGeom>
        <a:solidFill>
          <a:srgbClr val="EAF0F7"/>
        </a:soli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4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        </a:t>
          </a:r>
          <a:r>
            <a:rPr lang="es-AR" sz="18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CARTERA POR</a:t>
          </a:r>
          <a:r>
            <a:rPr lang="es-AR" sz="1800" b="1" baseline="0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ZONA</a:t>
          </a:r>
          <a:endParaRPr lang="es-AR" sz="1800" b="1">
            <a:solidFill>
              <a:schemeClr val="tx2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165554</xdr:colOff>
      <xdr:row>14</xdr:row>
      <xdr:rowOff>76201</xdr:rowOff>
    </xdr:from>
    <xdr:to>
      <xdr:col>6</xdr:col>
      <xdr:colOff>156029</xdr:colOff>
      <xdr:row>16</xdr:row>
      <xdr:rowOff>152400</xdr:rowOff>
    </xdr:to>
    <xdr:sp macro="" textlink="">
      <xdr:nvSpPr>
        <xdr:cNvPr id="76" name="Rectángulo: esquinas redondeadas 75">
          <a:extLst>
            <a:ext uri="{FF2B5EF4-FFF2-40B4-BE49-F238E27FC236}">
              <a16:creationId xmlns:a16="http://schemas.microsoft.com/office/drawing/2014/main" id="{98136232-6E61-43CA-A26B-D7FC91E6F898}"/>
            </a:ext>
          </a:extLst>
        </xdr:cNvPr>
        <xdr:cNvSpPr/>
      </xdr:nvSpPr>
      <xdr:spPr>
        <a:xfrm>
          <a:off x="952954" y="2565401"/>
          <a:ext cx="3927475" cy="431799"/>
        </a:xfrm>
        <a:prstGeom prst="roundRect">
          <a:avLst/>
        </a:prstGeom>
        <a:solidFill>
          <a:srgbClr val="EAF0F7"/>
        </a:solidFill>
        <a:effectLst>
          <a:softEdge rad="3175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4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            </a:t>
          </a:r>
          <a:r>
            <a:rPr lang="es-AR" sz="1800" b="1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%CARTERA</a:t>
          </a:r>
          <a:r>
            <a:rPr lang="es-AR" sz="1800" b="1" baseline="0">
              <a:solidFill>
                <a:schemeClr val="tx2"/>
              </a:solidFill>
              <a:effectLst>
                <a:outerShdw blurRad="50800" dist="38100" dir="10800000" algn="r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rPr>
            <a:t> VENCIDA / TOTAL</a:t>
          </a:r>
          <a:endParaRPr lang="es-AR" sz="1800" b="1">
            <a:solidFill>
              <a:schemeClr val="tx2"/>
            </a:solidFill>
            <a:effectLst>
              <a:outerShdw blurRad="50800" dist="38100" dir="10800000" algn="r" rotWithShape="0">
                <a:prstClr val="black">
                  <a:alpha val="40000"/>
                </a:prstClr>
              </a:outerShdw>
            </a:effectLst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694007</xdr:colOff>
      <xdr:row>10</xdr:row>
      <xdr:rowOff>37386</xdr:rowOff>
    </xdr:from>
    <xdr:to>
      <xdr:col>15</xdr:col>
      <xdr:colOff>39447</xdr:colOff>
      <xdr:row>15</xdr:row>
      <xdr:rowOff>134082</xdr:rowOff>
    </xdr:to>
    <xdr:grpSp>
      <xdr:nvGrpSpPr>
        <xdr:cNvPr id="91" name="Gráfico 77" descr="Earth globe: Americas con relleno sólido">
          <a:extLst>
            <a:ext uri="{FF2B5EF4-FFF2-40B4-BE49-F238E27FC236}">
              <a16:creationId xmlns:a16="http://schemas.microsoft.com/office/drawing/2014/main" id="{A2B933A5-E1AB-BBE2-CB38-6F4DCF3B2D79}"/>
            </a:ext>
          </a:extLst>
        </xdr:cNvPr>
        <xdr:cNvGrpSpPr/>
      </xdr:nvGrpSpPr>
      <xdr:grpSpPr>
        <a:xfrm rot="2150872">
          <a:off x="14438582" y="1847136"/>
          <a:ext cx="783715" cy="1001571"/>
          <a:chOff x="14747385" y="1005693"/>
          <a:chExt cx="1064264" cy="1248587"/>
        </a:xfrm>
        <a:solidFill>
          <a:schemeClr val="accent5">
            <a:lumMod val="50000"/>
          </a:schemeClr>
        </a:solidFill>
      </xdr:grpSpPr>
      <xdr:sp macro="" textlink="">
        <xdr:nvSpPr>
          <xdr:cNvPr id="92" name="Forma libre: forma 91">
            <a:extLst>
              <a:ext uri="{FF2B5EF4-FFF2-40B4-BE49-F238E27FC236}">
                <a16:creationId xmlns:a16="http://schemas.microsoft.com/office/drawing/2014/main" id="{92810C4C-5EC0-8E48-A84C-10CAC9E8B0C9}"/>
              </a:ext>
            </a:extLst>
          </xdr:cNvPr>
          <xdr:cNvSpPr/>
        </xdr:nvSpPr>
        <xdr:spPr>
          <a:xfrm>
            <a:off x="14747385" y="1969280"/>
            <a:ext cx="284999" cy="285000"/>
          </a:xfrm>
          <a:custGeom>
            <a:avLst/>
            <a:gdLst>
              <a:gd name="connsiteX0" fmla="*/ 142500 w 285000"/>
              <a:gd name="connsiteY0" fmla="*/ 0 h 285000"/>
              <a:gd name="connsiteX1" fmla="*/ 0 w 285000"/>
              <a:gd name="connsiteY1" fmla="*/ 142500 h 285000"/>
              <a:gd name="connsiteX2" fmla="*/ 142500 w 285000"/>
              <a:gd name="connsiteY2" fmla="*/ 285000 h 285000"/>
              <a:gd name="connsiteX3" fmla="*/ 285000 w 285000"/>
              <a:gd name="connsiteY3" fmla="*/ 142500 h 285000"/>
              <a:gd name="connsiteX4" fmla="*/ 142500 w 285000"/>
              <a:gd name="connsiteY4" fmla="*/ 0 h 285000"/>
              <a:gd name="connsiteX5" fmla="*/ 15000 w 285000"/>
              <a:gd name="connsiteY5" fmla="*/ 142500 h 285000"/>
              <a:gd name="connsiteX6" fmla="*/ 48750 w 285000"/>
              <a:gd name="connsiteY6" fmla="*/ 56250 h 285000"/>
              <a:gd name="connsiteX7" fmla="*/ 56250 w 285000"/>
              <a:gd name="connsiteY7" fmla="*/ 63750 h 285000"/>
              <a:gd name="connsiteX8" fmla="*/ 56250 w 285000"/>
              <a:gd name="connsiteY8" fmla="*/ 87375 h 285000"/>
              <a:gd name="connsiteX9" fmla="*/ 57750 w 285000"/>
              <a:gd name="connsiteY9" fmla="*/ 91875 h 285000"/>
              <a:gd name="connsiteX10" fmla="*/ 82500 w 285000"/>
              <a:gd name="connsiteY10" fmla="*/ 123750 h 285000"/>
              <a:gd name="connsiteX11" fmla="*/ 84375 w 285000"/>
              <a:gd name="connsiteY11" fmla="*/ 121875 h 285000"/>
              <a:gd name="connsiteX12" fmla="*/ 85125 w 285000"/>
              <a:gd name="connsiteY12" fmla="*/ 117375 h 285000"/>
              <a:gd name="connsiteX13" fmla="*/ 80625 w 285000"/>
              <a:gd name="connsiteY13" fmla="*/ 109875 h 285000"/>
              <a:gd name="connsiteX14" fmla="*/ 85125 w 285000"/>
              <a:gd name="connsiteY14" fmla="*/ 104250 h 285000"/>
              <a:gd name="connsiteX15" fmla="*/ 87375 w 285000"/>
              <a:gd name="connsiteY15" fmla="*/ 106125 h 285000"/>
              <a:gd name="connsiteX16" fmla="*/ 99750 w 285000"/>
              <a:gd name="connsiteY16" fmla="*/ 130500 h 285000"/>
              <a:gd name="connsiteX17" fmla="*/ 106125 w 285000"/>
              <a:gd name="connsiteY17" fmla="*/ 136125 h 285000"/>
              <a:gd name="connsiteX18" fmla="*/ 122625 w 285000"/>
              <a:gd name="connsiteY18" fmla="*/ 141750 h 285000"/>
              <a:gd name="connsiteX19" fmla="*/ 124875 w 285000"/>
              <a:gd name="connsiteY19" fmla="*/ 143625 h 285000"/>
              <a:gd name="connsiteX20" fmla="*/ 126000 w 285000"/>
              <a:gd name="connsiteY20" fmla="*/ 145500 h 285000"/>
              <a:gd name="connsiteX21" fmla="*/ 132750 w 285000"/>
              <a:gd name="connsiteY21" fmla="*/ 149625 h 285000"/>
              <a:gd name="connsiteX22" fmla="*/ 137250 w 285000"/>
              <a:gd name="connsiteY22" fmla="*/ 149625 h 285000"/>
              <a:gd name="connsiteX23" fmla="*/ 140250 w 285000"/>
              <a:gd name="connsiteY23" fmla="*/ 151125 h 285000"/>
              <a:gd name="connsiteX24" fmla="*/ 145125 w 285000"/>
              <a:gd name="connsiteY24" fmla="*/ 158250 h 285000"/>
              <a:gd name="connsiteX25" fmla="*/ 149625 w 285000"/>
              <a:gd name="connsiteY25" fmla="*/ 161250 h 285000"/>
              <a:gd name="connsiteX26" fmla="*/ 157500 w 285000"/>
              <a:gd name="connsiteY26" fmla="*/ 163125 h 285000"/>
              <a:gd name="connsiteX27" fmla="*/ 160125 w 285000"/>
              <a:gd name="connsiteY27" fmla="*/ 168000 h 285000"/>
              <a:gd name="connsiteX28" fmla="*/ 154125 w 285000"/>
              <a:gd name="connsiteY28" fmla="*/ 182625 h 285000"/>
              <a:gd name="connsiteX29" fmla="*/ 176625 w 285000"/>
              <a:gd name="connsiteY29" fmla="*/ 220125 h 285000"/>
              <a:gd name="connsiteX30" fmla="*/ 173250 w 285000"/>
              <a:gd name="connsiteY30" fmla="*/ 265125 h 285000"/>
              <a:gd name="connsiteX31" fmla="*/ 142875 w 285000"/>
              <a:gd name="connsiteY31" fmla="*/ 268875 h 285000"/>
              <a:gd name="connsiteX32" fmla="*/ 15000 w 285000"/>
              <a:gd name="connsiteY32" fmla="*/ 142500 h 285000"/>
              <a:gd name="connsiteX33" fmla="*/ 190500 w 285000"/>
              <a:gd name="connsiteY33" fmla="*/ 260625 h 285000"/>
              <a:gd name="connsiteX34" fmla="*/ 217500 w 285000"/>
              <a:gd name="connsiteY34" fmla="*/ 236250 h 285000"/>
              <a:gd name="connsiteX35" fmla="*/ 225000 w 285000"/>
              <a:gd name="connsiteY35" fmla="*/ 217500 h 285000"/>
              <a:gd name="connsiteX36" fmla="*/ 251250 w 285000"/>
              <a:gd name="connsiteY36" fmla="*/ 191250 h 285000"/>
              <a:gd name="connsiteX37" fmla="*/ 225000 w 285000"/>
              <a:gd name="connsiteY37" fmla="*/ 172500 h 285000"/>
              <a:gd name="connsiteX38" fmla="*/ 180000 w 285000"/>
              <a:gd name="connsiteY38" fmla="*/ 150000 h 285000"/>
              <a:gd name="connsiteX39" fmla="*/ 161250 w 285000"/>
              <a:gd name="connsiteY39" fmla="*/ 157500 h 285000"/>
              <a:gd name="connsiteX40" fmla="*/ 153750 w 285000"/>
              <a:gd name="connsiteY40" fmla="*/ 153750 h 285000"/>
              <a:gd name="connsiteX41" fmla="*/ 153750 w 285000"/>
              <a:gd name="connsiteY41" fmla="*/ 142500 h 285000"/>
              <a:gd name="connsiteX42" fmla="*/ 150000 w 285000"/>
              <a:gd name="connsiteY42" fmla="*/ 138750 h 285000"/>
              <a:gd name="connsiteX43" fmla="*/ 142500 w 285000"/>
              <a:gd name="connsiteY43" fmla="*/ 138750 h 285000"/>
              <a:gd name="connsiteX44" fmla="*/ 142500 w 285000"/>
              <a:gd name="connsiteY44" fmla="*/ 127500 h 285000"/>
              <a:gd name="connsiteX45" fmla="*/ 138750 w 285000"/>
              <a:gd name="connsiteY45" fmla="*/ 123750 h 285000"/>
              <a:gd name="connsiteX46" fmla="*/ 135000 w 285000"/>
              <a:gd name="connsiteY46" fmla="*/ 123750 h 285000"/>
              <a:gd name="connsiteX47" fmla="*/ 130875 w 285000"/>
              <a:gd name="connsiteY47" fmla="*/ 126375 h 285000"/>
              <a:gd name="connsiteX48" fmla="*/ 120000 w 285000"/>
              <a:gd name="connsiteY48" fmla="*/ 123375 h 285000"/>
              <a:gd name="connsiteX49" fmla="*/ 116250 w 285000"/>
              <a:gd name="connsiteY49" fmla="*/ 115875 h 285000"/>
              <a:gd name="connsiteX50" fmla="*/ 135000 w 285000"/>
              <a:gd name="connsiteY50" fmla="*/ 100875 h 285000"/>
              <a:gd name="connsiteX51" fmla="*/ 143250 w 285000"/>
              <a:gd name="connsiteY51" fmla="*/ 100875 h 285000"/>
              <a:gd name="connsiteX52" fmla="*/ 147000 w 285000"/>
              <a:gd name="connsiteY52" fmla="*/ 103875 h 285000"/>
              <a:gd name="connsiteX53" fmla="*/ 149250 w 285000"/>
              <a:gd name="connsiteY53" fmla="*/ 113250 h 285000"/>
              <a:gd name="connsiteX54" fmla="*/ 153000 w 285000"/>
              <a:gd name="connsiteY54" fmla="*/ 116250 h 285000"/>
              <a:gd name="connsiteX55" fmla="*/ 154500 w 285000"/>
              <a:gd name="connsiteY55" fmla="*/ 116250 h 285000"/>
              <a:gd name="connsiteX56" fmla="*/ 158250 w 285000"/>
              <a:gd name="connsiteY56" fmla="*/ 113250 h 285000"/>
              <a:gd name="connsiteX57" fmla="*/ 160875 w 285000"/>
              <a:gd name="connsiteY57" fmla="*/ 99375 h 285000"/>
              <a:gd name="connsiteX58" fmla="*/ 162375 w 285000"/>
              <a:gd name="connsiteY58" fmla="*/ 96000 h 285000"/>
              <a:gd name="connsiteX59" fmla="*/ 172875 w 285000"/>
              <a:gd name="connsiteY59" fmla="*/ 82875 h 285000"/>
              <a:gd name="connsiteX60" fmla="*/ 181500 w 285000"/>
              <a:gd name="connsiteY60" fmla="*/ 78750 h 285000"/>
              <a:gd name="connsiteX61" fmla="*/ 191250 w 285000"/>
              <a:gd name="connsiteY61" fmla="*/ 78750 h 285000"/>
              <a:gd name="connsiteX62" fmla="*/ 195000 w 285000"/>
              <a:gd name="connsiteY62" fmla="*/ 75000 h 285000"/>
              <a:gd name="connsiteX63" fmla="*/ 195000 w 285000"/>
              <a:gd name="connsiteY63" fmla="*/ 71250 h 285000"/>
              <a:gd name="connsiteX64" fmla="*/ 193875 w 285000"/>
              <a:gd name="connsiteY64" fmla="*/ 70125 h 285000"/>
              <a:gd name="connsiteX65" fmla="*/ 196500 w 285000"/>
              <a:gd name="connsiteY65" fmla="*/ 63750 h 285000"/>
              <a:gd name="connsiteX66" fmla="*/ 198750 w 285000"/>
              <a:gd name="connsiteY66" fmla="*/ 63750 h 285000"/>
              <a:gd name="connsiteX67" fmla="*/ 202500 w 285000"/>
              <a:gd name="connsiteY67" fmla="*/ 67500 h 285000"/>
              <a:gd name="connsiteX68" fmla="*/ 206250 w 285000"/>
              <a:gd name="connsiteY68" fmla="*/ 71250 h 285000"/>
              <a:gd name="connsiteX69" fmla="*/ 210000 w 285000"/>
              <a:gd name="connsiteY69" fmla="*/ 71250 h 285000"/>
              <a:gd name="connsiteX70" fmla="*/ 212250 w 285000"/>
              <a:gd name="connsiteY70" fmla="*/ 61500 h 285000"/>
              <a:gd name="connsiteX71" fmla="*/ 208875 w 285000"/>
              <a:gd name="connsiteY71" fmla="*/ 53250 h 285000"/>
              <a:gd name="connsiteX72" fmla="*/ 177000 w 285000"/>
              <a:gd name="connsiteY72" fmla="*/ 34125 h 285000"/>
              <a:gd name="connsiteX73" fmla="*/ 175125 w 285000"/>
              <a:gd name="connsiteY73" fmla="*/ 33750 h 285000"/>
              <a:gd name="connsiteX74" fmla="*/ 168750 w 285000"/>
              <a:gd name="connsiteY74" fmla="*/ 33750 h 285000"/>
              <a:gd name="connsiteX75" fmla="*/ 161250 w 285000"/>
              <a:gd name="connsiteY75" fmla="*/ 41250 h 285000"/>
              <a:gd name="connsiteX76" fmla="*/ 161250 w 285000"/>
              <a:gd name="connsiteY76" fmla="*/ 45000 h 285000"/>
              <a:gd name="connsiteX77" fmla="*/ 157500 w 285000"/>
              <a:gd name="connsiteY77" fmla="*/ 48750 h 285000"/>
              <a:gd name="connsiteX78" fmla="*/ 153750 w 285000"/>
              <a:gd name="connsiteY78" fmla="*/ 48750 h 285000"/>
              <a:gd name="connsiteX79" fmla="*/ 150000 w 285000"/>
              <a:gd name="connsiteY79" fmla="*/ 45000 h 285000"/>
              <a:gd name="connsiteX80" fmla="*/ 138750 w 285000"/>
              <a:gd name="connsiteY80" fmla="*/ 45000 h 285000"/>
              <a:gd name="connsiteX81" fmla="*/ 135000 w 285000"/>
              <a:gd name="connsiteY81" fmla="*/ 41250 h 285000"/>
              <a:gd name="connsiteX82" fmla="*/ 135000 w 285000"/>
              <a:gd name="connsiteY82" fmla="*/ 31875 h 285000"/>
              <a:gd name="connsiteX83" fmla="*/ 136500 w 285000"/>
              <a:gd name="connsiteY83" fmla="*/ 28875 h 285000"/>
              <a:gd name="connsiteX84" fmla="*/ 160500 w 285000"/>
              <a:gd name="connsiteY84" fmla="*/ 18750 h 285000"/>
              <a:gd name="connsiteX85" fmla="*/ 164250 w 285000"/>
              <a:gd name="connsiteY85" fmla="*/ 25125 h 285000"/>
              <a:gd name="connsiteX86" fmla="*/ 166875 w 285000"/>
              <a:gd name="connsiteY86" fmla="*/ 26250 h 285000"/>
              <a:gd name="connsiteX87" fmla="*/ 176250 w 285000"/>
              <a:gd name="connsiteY87" fmla="*/ 26250 h 285000"/>
              <a:gd name="connsiteX88" fmla="*/ 180000 w 285000"/>
              <a:gd name="connsiteY88" fmla="*/ 22500 h 285000"/>
              <a:gd name="connsiteX89" fmla="*/ 180000 w 285000"/>
              <a:gd name="connsiteY89" fmla="*/ 20625 h 285000"/>
              <a:gd name="connsiteX90" fmla="*/ 270000 w 285000"/>
              <a:gd name="connsiteY90" fmla="*/ 142500 h 285000"/>
              <a:gd name="connsiteX91" fmla="*/ 190500 w 285000"/>
              <a:gd name="connsiteY91" fmla="*/ 260625 h 285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  <a:cxn ang="0">
                <a:pos x="connsiteX90" y="connsiteY90"/>
              </a:cxn>
              <a:cxn ang="0">
                <a:pos x="connsiteX91" y="connsiteY91"/>
              </a:cxn>
            </a:cxnLst>
            <a:rect l="l" t="t" r="r" b="b"/>
            <a:pathLst>
              <a:path w="285000" h="285000">
                <a:moveTo>
                  <a:pt x="142500" y="0"/>
                </a:moveTo>
                <a:cubicBezTo>
                  <a:pt x="63750" y="0"/>
                  <a:pt x="0" y="63750"/>
                  <a:pt x="0" y="142500"/>
                </a:cubicBezTo>
                <a:cubicBezTo>
                  <a:pt x="0" y="221250"/>
                  <a:pt x="63750" y="285000"/>
                  <a:pt x="142500" y="285000"/>
                </a:cubicBezTo>
                <a:cubicBezTo>
                  <a:pt x="221250" y="285000"/>
                  <a:pt x="285000" y="221250"/>
                  <a:pt x="285000" y="142500"/>
                </a:cubicBezTo>
                <a:cubicBezTo>
                  <a:pt x="285000" y="63750"/>
                  <a:pt x="221250" y="0"/>
                  <a:pt x="142500" y="0"/>
                </a:cubicBezTo>
                <a:close/>
                <a:moveTo>
                  <a:pt x="15000" y="142500"/>
                </a:moveTo>
                <a:cubicBezTo>
                  <a:pt x="15000" y="109125"/>
                  <a:pt x="27750" y="79125"/>
                  <a:pt x="48750" y="56250"/>
                </a:cubicBezTo>
                <a:cubicBezTo>
                  <a:pt x="52125" y="58125"/>
                  <a:pt x="55500" y="61125"/>
                  <a:pt x="56250" y="63750"/>
                </a:cubicBezTo>
                <a:lnTo>
                  <a:pt x="56250" y="87375"/>
                </a:lnTo>
                <a:cubicBezTo>
                  <a:pt x="56250" y="88875"/>
                  <a:pt x="56625" y="90750"/>
                  <a:pt x="57750" y="91875"/>
                </a:cubicBezTo>
                <a:lnTo>
                  <a:pt x="82500" y="123750"/>
                </a:lnTo>
                <a:lnTo>
                  <a:pt x="84375" y="121875"/>
                </a:lnTo>
                <a:cubicBezTo>
                  <a:pt x="85500" y="120750"/>
                  <a:pt x="85875" y="118875"/>
                  <a:pt x="85125" y="117375"/>
                </a:cubicBezTo>
                <a:lnTo>
                  <a:pt x="80625" y="109875"/>
                </a:lnTo>
                <a:cubicBezTo>
                  <a:pt x="78750" y="106875"/>
                  <a:pt x="81750" y="103125"/>
                  <a:pt x="85125" y="104250"/>
                </a:cubicBezTo>
                <a:cubicBezTo>
                  <a:pt x="86250" y="104625"/>
                  <a:pt x="87000" y="105375"/>
                  <a:pt x="87375" y="106125"/>
                </a:cubicBezTo>
                <a:lnTo>
                  <a:pt x="99750" y="130500"/>
                </a:lnTo>
                <a:cubicBezTo>
                  <a:pt x="101250" y="133125"/>
                  <a:pt x="103500" y="135375"/>
                  <a:pt x="106125" y="136125"/>
                </a:cubicBezTo>
                <a:lnTo>
                  <a:pt x="122625" y="141750"/>
                </a:lnTo>
                <a:cubicBezTo>
                  <a:pt x="123750" y="142125"/>
                  <a:pt x="124500" y="142875"/>
                  <a:pt x="124875" y="143625"/>
                </a:cubicBezTo>
                <a:lnTo>
                  <a:pt x="126000" y="145500"/>
                </a:lnTo>
                <a:cubicBezTo>
                  <a:pt x="127125" y="148125"/>
                  <a:pt x="129750" y="149625"/>
                  <a:pt x="132750" y="149625"/>
                </a:cubicBezTo>
                <a:lnTo>
                  <a:pt x="137250" y="149625"/>
                </a:lnTo>
                <a:cubicBezTo>
                  <a:pt x="138375" y="149625"/>
                  <a:pt x="139500" y="150375"/>
                  <a:pt x="140250" y="151125"/>
                </a:cubicBezTo>
                <a:lnTo>
                  <a:pt x="145125" y="158250"/>
                </a:lnTo>
                <a:cubicBezTo>
                  <a:pt x="146250" y="159750"/>
                  <a:pt x="147750" y="160875"/>
                  <a:pt x="149625" y="161250"/>
                </a:cubicBezTo>
                <a:lnTo>
                  <a:pt x="157500" y="163125"/>
                </a:lnTo>
                <a:cubicBezTo>
                  <a:pt x="159750" y="163500"/>
                  <a:pt x="160875" y="166125"/>
                  <a:pt x="160125" y="168000"/>
                </a:cubicBezTo>
                <a:cubicBezTo>
                  <a:pt x="160125" y="168000"/>
                  <a:pt x="154125" y="174000"/>
                  <a:pt x="154125" y="182625"/>
                </a:cubicBezTo>
                <a:cubicBezTo>
                  <a:pt x="154125" y="207375"/>
                  <a:pt x="176625" y="214500"/>
                  <a:pt x="176625" y="220125"/>
                </a:cubicBezTo>
                <a:cubicBezTo>
                  <a:pt x="176625" y="235500"/>
                  <a:pt x="174375" y="256875"/>
                  <a:pt x="173250" y="265125"/>
                </a:cubicBezTo>
                <a:cubicBezTo>
                  <a:pt x="163500" y="267375"/>
                  <a:pt x="153375" y="268875"/>
                  <a:pt x="142875" y="268875"/>
                </a:cubicBezTo>
                <a:cubicBezTo>
                  <a:pt x="72375" y="270000"/>
                  <a:pt x="15000" y="212625"/>
                  <a:pt x="15000" y="142500"/>
                </a:cubicBezTo>
                <a:close/>
                <a:moveTo>
                  <a:pt x="190500" y="260625"/>
                </a:moveTo>
                <a:cubicBezTo>
                  <a:pt x="198750" y="253500"/>
                  <a:pt x="212625" y="241500"/>
                  <a:pt x="217500" y="236250"/>
                </a:cubicBezTo>
                <a:cubicBezTo>
                  <a:pt x="223875" y="229125"/>
                  <a:pt x="225000" y="217500"/>
                  <a:pt x="225000" y="217500"/>
                </a:cubicBezTo>
                <a:cubicBezTo>
                  <a:pt x="225000" y="217500"/>
                  <a:pt x="251250" y="210375"/>
                  <a:pt x="251250" y="191250"/>
                </a:cubicBezTo>
                <a:cubicBezTo>
                  <a:pt x="251250" y="178125"/>
                  <a:pt x="225000" y="172500"/>
                  <a:pt x="225000" y="172500"/>
                </a:cubicBezTo>
                <a:cubicBezTo>
                  <a:pt x="220500" y="157875"/>
                  <a:pt x="198375" y="150000"/>
                  <a:pt x="180000" y="150000"/>
                </a:cubicBezTo>
                <a:cubicBezTo>
                  <a:pt x="175875" y="150000"/>
                  <a:pt x="161250" y="157500"/>
                  <a:pt x="161250" y="157500"/>
                </a:cubicBezTo>
                <a:lnTo>
                  <a:pt x="153750" y="153750"/>
                </a:lnTo>
                <a:lnTo>
                  <a:pt x="153750" y="142500"/>
                </a:lnTo>
                <a:cubicBezTo>
                  <a:pt x="153750" y="140250"/>
                  <a:pt x="152250" y="138750"/>
                  <a:pt x="150000" y="138750"/>
                </a:cubicBezTo>
                <a:lnTo>
                  <a:pt x="142500" y="138750"/>
                </a:lnTo>
                <a:lnTo>
                  <a:pt x="142500" y="127500"/>
                </a:lnTo>
                <a:cubicBezTo>
                  <a:pt x="142500" y="125250"/>
                  <a:pt x="141000" y="123750"/>
                  <a:pt x="138750" y="123750"/>
                </a:cubicBezTo>
                <a:lnTo>
                  <a:pt x="135000" y="123750"/>
                </a:lnTo>
                <a:lnTo>
                  <a:pt x="130875" y="126375"/>
                </a:lnTo>
                <a:cubicBezTo>
                  <a:pt x="127125" y="129000"/>
                  <a:pt x="121875" y="127500"/>
                  <a:pt x="120000" y="123375"/>
                </a:cubicBezTo>
                <a:cubicBezTo>
                  <a:pt x="120000" y="123375"/>
                  <a:pt x="116250" y="118125"/>
                  <a:pt x="116250" y="115875"/>
                </a:cubicBezTo>
                <a:cubicBezTo>
                  <a:pt x="116250" y="99750"/>
                  <a:pt x="135000" y="100875"/>
                  <a:pt x="135000" y="100875"/>
                </a:cubicBezTo>
                <a:lnTo>
                  <a:pt x="143250" y="100875"/>
                </a:lnTo>
                <a:cubicBezTo>
                  <a:pt x="145125" y="100875"/>
                  <a:pt x="146625" y="102000"/>
                  <a:pt x="147000" y="103875"/>
                </a:cubicBezTo>
                <a:lnTo>
                  <a:pt x="149250" y="113250"/>
                </a:lnTo>
                <a:cubicBezTo>
                  <a:pt x="149625" y="114750"/>
                  <a:pt x="151125" y="116250"/>
                  <a:pt x="153000" y="116250"/>
                </a:cubicBezTo>
                <a:lnTo>
                  <a:pt x="154500" y="116250"/>
                </a:lnTo>
                <a:cubicBezTo>
                  <a:pt x="156375" y="116250"/>
                  <a:pt x="157875" y="115125"/>
                  <a:pt x="158250" y="113250"/>
                </a:cubicBezTo>
                <a:lnTo>
                  <a:pt x="160875" y="99375"/>
                </a:lnTo>
                <a:cubicBezTo>
                  <a:pt x="161250" y="98250"/>
                  <a:pt x="161625" y="97125"/>
                  <a:pt x="162375" y="96000"/>
                </a:cubicBezTo>
                <a:lnTo>
                  <a:pt x="172875" y="82875"/>
                </a:lnTo>
                <a:cubicBezTo>
                  <a:pt x="175125" y="80250"/>
                  <a:pt x="178125" y="78750"/>
                  <a:pt x="181500" y="78750"/>
                </a:cubicBezTo>
                <a:lnTo>
                  <a:pt x="191250" y="78750"/>
                </a:lnTo>
                <a:cubicBezTo>
                  <a:pt x="193500" y="78750"/>
                  <a:pt x="195000" y="77250"/>
                  <a:pt x="195000" y="75000"/>
                </a:cubicBezTo>
                <a:lnTo>
                  <a:pt x="195000" y="71250"/>
                </a:lnTo>
                <a:lnTo>
                  <a:pt x="193875" y="70125"/>
                </a:lnTo>
                <a:cubicBezTo>
                  <a:pt x="191625" y="67875"/>
                  <a:pt x="193125" y="63750"/>
                  <a:pt x="196500" y="63750"/>
                </a:cubicBezTo>
                <a:lnTo>
                  <a:pt x="198750" y="63750"/>
                </a:lnTo>
                <a:cubicBezTo>
                  <a:pt x="201000" y="63750"/>
                  <a:pt x="202500" y="65250"/>
                  <a:pt x="202500" y="67500"/>
                </a:cubicBezTo>
                <a:cubicBezTo>
                  <a:pt x="202500" y="69750"/>
                  <a:pt x="204000" y="71250"/>
                  <a:pt x="206250" y="71250"/>
                </a:cubicBezTo>
                <a:lnTo>
                  <a:pt x="210000" y="71250"/>
                </a:lnTo>
                <a:lnTo>
                  <a:pt x="212250" y="61500"/>
                </a:lnTo>
                <a:cubicBezTo>
                  <a:pt x="213000" y="58125"/>
                  <a:pt x="211500" y="55125"/>
                  <a:pt x="208875" y="53250"/>
                </a:cubicBezTo>
                <a:lnTo>
                  <a:pt x="177000" y="34125"/>
                </a:lnTo>
                <a:cubicBezTo>
                  <a:pt x="176625" y="33750"/>
                  <a:pt x="175875" y="33750"/>
                  <a:pt x="175125" y="33750"/>
                </a:cubicBezTo>
                <a:lnTo>
                  <a:pt x="168750" y="33750"/>
                </a:lnTo>
                <a:cubicBezTo>
                  <a:pt x="164625" y="33750"/>
                  <a:pt x="161250" y="37125"/>
                  <a:pt x="161250" y="41250"/>
                </a:cubicBezTo>
                <a:lnTo>
                  <a:pt x="161250" y="45000"/>
                </a:lnTo>
                <a:cubicBezTo>
                  <a:pt x="161250" y="47250"/>
                  <a:pt x="159750" y="48750"/>
                  <a:pt x="157500" y="48750"/>
                </a:cubicBezTo>
                <a:lnTo>
                  <a:pt x="153750" y="48750"/>
                </a:lnTo>
                <a:lnTo>
                  <a:pt x="150000" y="45000"/>
                </a:lnTo>
                <a:lnTo>
                  <a:pt x="138750" y="45000"/>
                </a:lnTo>
                <a:cubicBezTo>
                  <a:pt x="136500" y="45000"/>
                  <a:pt x="135000" y="43500"/>
                  <a:pt x="135000" y="41250"/>
                </a:cubicBezTo>
                <a:lnTo>
                  <a:pt x="135000" y="31875"/>
                </a:lnTo>
                <a:cubicBezTo>
                  <a:pt x="135000" y="30750"/>
                  <a:pt x="135375" y="29625"/>
                  <a:pt x="136500" y="28875"/>
                </a:cubicBezTo>
                <a:lnTo>
                  <a:pt x="160500" y="18750"/>
                </a:lnTo>
                <a:lnTo>
                  <a:pt x="164250" y="25125"/>
                </a:lnTo>
                <a:cubicBezTo>
                  <a:pt x="165000" y="25875"/>
                  <a:pt x="165750" y="26250"/>
                  <a:pt x="166875" y="26250"/>
                </a:cubicBezTo>
                <a:lnTo>
                  <a:pt x="176250" y="26250"/>
                </a:lnTo>
                <a:cubicBezTo>
                  <a:pt x="178500" y="26250"/>
                  <a:pt x="180000" y="24750"/>
                  <a:pt x="180000" y="22500"/>
                </a:cubicBezTo>
                <a:lnTo>
                  <a:pt x="180000" y="20625"/>
                </a:lnTo>
                <a:cubicBezTo>
                  <a:pt x="232125" y="36750"/>
                  <a:pt x="270000" y="85125"/>
                  <a:pt x="270000" y="142500"/>
                </a:cubicBezTo>
                <a:cubicBezTo>
                  <a:pt x="270000" y="195750"/>
                  <a:pt x="237000" y="241500"/>
                  <a:pt x="190500" y="260625"/>
                </a:cubicBez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  <xdr:sp macro="" textlink="">
        <xdr:nvSpPr>
          <xdr:cNvPr id="93" name="Forma libre: forma 92">
            <a:extLst>
              <a:ext uri="{FF2B5EF4-FFF2-40B4-BE49-F238E27FC236}">
                <a16:creationId xmlns:a16="http://schemas.microsoft.com/office/drawing/2014/main" id="{0F1DD1A4-D868-FE26-A5BC-C57315E15E1D}"/>
              </a:ext>
            </a:extLst>
          </xdr:cNvPr>
          <xdr:cNvSpPr/>
        </xdr:nvSpPr>
        <xdr:spPr>
          <a:xfrm>
            <a:off x="15773160" y="1005693"/>
            <a:ext cx="38489" cy="12851"/>
          </a:xfrm>
          <a:custGeom>
            <a:avLst/>
            <a:gdLst>
              <a:gd name="connsiteX0" fmla="*/ 35864 w 38489"/>
              <a:gd name="connsiteY0" fmla="*/ 6281 h 12851"/>
              <a:gd name="connsiteX1" fmla="*/ 17864 w 38489"/>
              <a:gd name="connsiteY1" fmla="*/ 281 h 12851"/>
              <a:gd name="connsiteX2" fmla="*/ 13739 w 38489"/>
              <a:gd name="connsiteY2" fmla="*/ 281 h 12851"/>
              <a:gd name="connsiteX3" fmla="*/ 989 w 38489"/>
              <a:gd name="connsiteY3" fmla="*/ 3281 h 12851"/>
              <a:gd name="connsiteX4" fmla="*/ 989 w 38489"/>
              <a:gd name="connsiteY4" fmla="*/ 7031 h 12851"/>
              <a:gd name="connsiteX5" fmla="*/ 18239 w 38489"/>
              <a:gd name="connsiteY5" fmla="*/ 7031 h 12851"/>
              <a:gd name="connsiteX6" fmla="*/ 20864 w 38489"/>
              <a:gd name="connsiteY6" fmla="*/ 7406 h 12851"/>
              <a:gd name="connsiteX7" fmla="*/ 33989 w 38489"/>
              <a:gd name="connsiteY7" fmla="*/ 12656 h 12851"/>
              <a:gd name="connsiteX8" fmla="*/ 38489 w 38489"/>
              <a:gd name="connsiteY8" fmla="*/ 9656 h 12851"/>
              <a:gd name="connsiteX9" fmla="*/ 35864 w 38489"/>
              <a:gd name="connsiteY9" fmla="*/ 6281 h 12851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</a:cxnLst>
            <a:rect l="l" t="t" r="r" b="b"/>
            <a:pathLst>
              <a:path w="38489" h="12851">
                <a:moveTo>
                  <a:pt x="35864" y="6281"/>
                </a:moveTo>
                <a:lnTo>
                  <a:pt x="17864" y="281"/>
                </a:lnTo>
                <a:cubicBezTo>
                  <a:pt x="16364" y="-94"/>
                  <a:pt x="15239" y="-94"/>
                  <a:pt x="13739" y="281"/>
                </a:cubicBezTo>
                <a:lnTo>
                  <a:pt x="989" y="3281"/>
                </a:lnTo>
                <a:cubicBezTo>
                  <a:pt x="-136" y="4031"/>
                  <a:pt x="-511" y="5531"/>
                  <a:pt x="989" y="7031"/>
                </a:cubicBezTo>
                <a:lnTo>
                  <a:pt x="18239" y="7031"/>
                </a:lnTo>
                <a:cubicBezTo>
                  <a:pt x="19364" y="7031"/>
                  <a:pt x="20114" y="7031"/>
                  <a:pt x="20864" y="7406"/>
                </a:cubicBezTo>
                <a:lnTo>
                  <a:pt x="33989" y="12656"/>
                </a:lnTo>
                <a:cubicBezTo>
                  <a:pt x="36239" y="13406"/>
                  <a:pt x="38489" y="11906"/>
                  <a:pt x="38489" y="9656"/>
                </a:cubicBezTo>
                <a:cubicBezTo>
                  <a:pt x="38489" y="8156"/>
                  <a:pt x="37364" y="6656"/>
                  <a:pt x="35864" y="6281"/>
                </a:cubicBez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</xdr:grpSp>
    <xdr:clientData/>
  </xdr:twoCellAnchor>
  <xdr:twoCellAnchor>
    <xdr:from>
      <xdr:col>1</xdr:col>
      <xdr:colOff>349251</xdr:colOff>
      <xdr:row>14</xdr:row>
      <xdr:rowOff>170749</xdr:rowOff>
    </xdr:from>
    <xdr:to>
      <xdr:col>1</xdr:col>
      <xdr:colOff>625476</xdr:colOff>
      <xdr:row>16</xdr:row>
      <xdr:rowOff>76199</xdr:rowOff>
    </xdr:to>
    <xdr:sp macro="" textlink="">
      <xdr:nvSpPr>
        <xdr:cNvPr id="95" name="Forma libre: forma 94">
          <a:extLst>
            <a:ext uri="{FF2B5EF4-FFF2-40B4-BE49-F238E27FC236}">
              <a16:creationId xmlns:a16="http://schemas.microsoft.com/office/drawing/2014/main" id="{D7D04AFE-E403-36E2-AEA9-6EB422A55E60}"/>
            </a:ext>
          </a:extLst>
        </xdr:cNvPr>
        <xdr:cNvSpPr/>
      </xdr:nvSpPr>
      <xdr:spPr>
        <a:xfrm rot="16200000">
          <a:off x="1144239" y="2652361"/>
          <a:ext cx="261050" cy="276225"/>
        </a:xfrm>
        <a:custGeom>
          <a:avLst/>
          <a:gdLst>
            <a:gd name="connsiteX0" fmla="*/ 22500 w 255000"/>
            <a:gd name="connsiteY0" fmla="*/ 0 h 255000"/>
            <a:gd name="connsiteX1" fmla="*/ 0 w 255000"/>
            <a:gd name="connsiteY1" fmla="*/ 0 h 255000"/>
            <a:gd name="connsiteX2" fmla="*/ 0 w 255000"/>
            <a:gd name="connsiteY2" fmla="*/ 255000 h 255000"/>
            <a:gd name="connsiteX3" fmla="*/ 255000 w 255000"/>
            <a:gd name="connsiteY3" fmla="*/ 255000 h 255000"/>
            <a:gd name="connsiteX4" fmla="*/ 255000 w 255000"/>
            <a:gd name="connsiteY4" fmla="*/ 232500 h 255000"/>
            <a:gd name="connsiteX5" fmla="*/ 22500 w 255000"/>
            <a:gd name="connsiteY5" fmla="*/ 232500 h 255000"/>
            <a:gd name="connsiteX6" fmla="*/ 22500 w 255000"/>
            <a:gd name="connsiteY6" fmla="*/ 0 h 255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55000" h="255000">
              <a:moveTo>
                <a:pt x="22500" y="0"/>
              </a:moveTo>
              <a:lnTo>
                <a:pt x="0" y="0"/>
              </a:lnTo>
              <a:lnTo>
                <a:pt x="0" y="255000"/>
              </a:lnTo>
              <a:lnTo>
                <a:pt x="255000" y="255000"/>
              </a:lnTo>
              <a:lnTo>
                <a:pt x="255000" y="232500"/>
              </a:lnTo>
              <a:lnTo>
                <a:pt x="22500" y="232500"/>
              </a:lnTo>
              <a:lnTo>
                <a:pt x="22500" y="0"/>
              </a:lnTo>
              <a:close/>
            </a:path>
          </a:pathLst>
        </a:custGeom>
        <a:solidFill>
          <a:schemeClr val="accent5">
            <a:lumMod val="50000"/>
          </a:schemeClr>
        </a:solidFill>
        <a:ln w="3671" cap="flat">
          <a:noFill/>
          <a:prstDash val="solid"/>
          <a:miter/>
        </a:ln>
      </xdr:spPr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1</xdr:col>
      <xdr:colOff>361948</xdr:colOff>
      <xdr:row>14</xdr:row>
      <xdr:rowOff>169760</xdr:rowOff>
    </xdr:from>
    <xdr:to>
      <xdr:col>1</xdr:col>
      <xdr:colOff>583903</xdr:colOff>
      <xdr:row>16</xdr:row>
      <xdr:rowOff>12701</xdr:rowOff>
    </xdr:to>
    <xdr:sp macro="" textlink="">
      <xdr:nvSpPr>
        <xdr:cNvPr id="96" name="Forma libre: forma 95">
          <a:extLst>
            <a:ext uri="{FF2B5EF4-FFF2-40B4-BE49-F238E27FC236}">
              <a16:creationId xmlns:a16="http://schemas.microsoft.com/office/drawing/2014/main" id="{9CCC950A-5F6F-BEA3-1F7D-18263D0CEDC3}"/>
            </a:ext>
          </a:extLst>
        </xdr:cNvPr>
        <xdr:cNvSpPr/>
      </xdr:nvSpPr>
      <xdr:spPr>
        <a:xfrm rot="16200000" flipV="1">
          <a:off x="1161055" y="2647253"/>
          <a:ext cx="198541" cy="221955"/>
        </a:xfrm>
        <a:custGeom>
          <a:avLst/>
          <a:gdLst>
            <a:gd name="connsiteX0" fmla="*/ 1639 w 210000"/>
            <a:gd name="connsiteY0" fmla="*/ 190279 h 212778"/>
            <a:gd name="connsiteX1" fmla="*/ 0 w 210000"/>
            <a:gd name="connsiteY1" fmla="*/ 190279 h 212778"/>
            <a:gd name="connsiteX2" fmla="*/ 0 w 210000"/>
            <a:gd name="connsiteY2" fmla="*/ 212779 h 212778"/>
            <a:gd name="connsiteX3" fmla="*/ 1639 w 210000"/>
            <a:gd name="connsiteY3" fmla="*/ 212779 h 212778"/>
            <a:gd name="connsiteX4" fmla="*/ 185036 w 210000"/>
            <a:gd name="connsiteY4" fmla="*/ 38528 h 212778"/>
            <a:gd name="connsiteX5" fmla="*/ 210000 w 210000"/>
            <a:gd name="connsiteY5" fmla="*/ 45124 h 212778"/>
            <a:gd name="connsiteX6" fmla="*/ 183750 w 210000"/>
            <a:gd name="connsiteY6" fmla="*/ 0 h 212778"/>
            <a:gd name="connsiteX7" fmla="*/ 138615 w 210000"/>
            <a:gd name="connsiteY7" fmla="*/ 26250 h 212778"/>
            <a:gd name="connsiteX8" fmla="*/ 163283 w 210000"/>
            <a:gd name="connsiteY8" fmla="*/ 32768 h 212778"/>
            <a:gd name="connsiteX9" fmla="*/ 1639 w 210000"/>
            <a:gd name="connsiteY9" fmla="*/ 190279 h 2127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</a:cxnLst>
          <a:rect l="l" t="t" r="r" b="b"/>
          <a:pathLst>
            <a:path w="210000" h="212778">
              <a:moveTo>
                <a:pt x="1639" y="190279"/>
              </a:moveTo>
              <a:lnTo>
                <a:pt x="0" y="190279"/>
              </a:lnTo>
              <a:lnTo>
                <a:pt x="0" y="212779"/>
              </a:lnTo>
              <a:lnTo>
                <a:pt x="1639" y="212779"/>
              </a:lnTo>
              <a:cubicBezTo>
                <a:pt x="72514" y="212779"/>
                <a:pt x="144990" y="199204"/>
                <a:pt x="185036" y="38528"/>
              </a:cubicBezTo>
              <a:lnTo>
                <a:pt x="210000" y="45124"/>
              </a:lnTo>
              <a:lnTo>
                <a:pt x="183750" y="0"/>
              </a:lnTo>
              <a:lnTo>
                <a:pt x="138615" y="26250"/>
              </a:lnTo>
              <a:lnTo>
                <a:pt x="163283" y="32768"/>
              </a:lnTo>
              <a:cubicBezTo>
                <a:pt x="124088" y="190249"/>
                <a:pt x="53385" y="190279"/>
                <a:pt x="1639" y="190279"/>
              </a:cubicBezTo>
              <a:close/>
            </a:path>
          </a:pathLst>
        </a:custGeom>
        <a:solidFill>
          <a:schemeClr val="accent5">
            <a:lumMod val="50000"/>
          </a:schemeClr>
        </a:solidFill>
        <a:ln w="3671" cap="flat">
          <a:noFill/>
          <a:prstDash val="solid"/>
          <a:miter/>
        </a:ln>
      </xdr:spPr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12</xdr:col>
      <xdr:colOff>1013747</xdr:colOff>
      <xdr:row>35</xdr:row>
      <xdr:rowOff>76487</xdr:rowOff>
    </xdr:from>
    <xdr:to>
      <xdr:col>12</xdr:col>
      <xdr:colOff>1309763</xdr:colOff>
      <xdr:row>37</xdr:row>
      <xdr:rowOff>10786</xdr:rowOff>
    </xdr:to>
    <xdr:sp macro="" textlink="">
      <xdr:nvSpPr>
        <xdr:cNvPr id="98" name="Gráfico 83" descr="Magnifying glass con relleno sólido">
          <a:extLst>
            <a:ext uri="{FF2B5EF4-FFF2-40B4-BE49-F238E27FC236}">
              <a16:creationId xmlns:a16="http://schemas.microsoft.com/office/drawing/2014/main" id="{918E5F53-D351-4EBE-5821-D00E2ED942B4}"/>
            </a:ext>
          </a:extLst>
        </xdr:cNvPr>
        <xdr:cNvSpPr/>
      </xdr:nvSpPr>
      <xdr:spPr>
        <a:xfrm rot="4937258">
          <a:off x="10521485" y="6438669"/>
          <a:ext cx="300059" cy="296016"/>
        </a:xfrm>
        <a:custGeom>
          <a:avLst/>
          <a:gdLst>
            <a:gd name="connsiteX0" fmla="*/ 288375 w 296016"/>
            <a:gd name="connsiteY0" fmla="*/ 251250 h 296249"/>
            <a:gd name="connsiteX1" fmla="*/ 241500 w 296016"/>
            <a:gd name="connsiteY1" fmla="*/ 204375 h 296249"/>
            <a:gd name="connsiteX2" fmla="*/ 218250 w 296016"/>
            <a:gd name="connsiteY2" fmla="*/ 197250 h 296249"/>
            <a:gd name="connsiteX3" fmla="*/ 201750 w 296016"/>
            <a:gd name="connsiteY3" fmla="*/ 180750 h 296249"/>
            <a:gd name="connsiteX4" fmla="*/ 225000 w 296016"/>
            <a:gd name="connsiteY4" fmla="*/ 112500 h 296249"/>
            <a:gd name="connsiteX5" fmla="*/ 112500 w 296016"/>
            <a:gd name="connsiteY5" fmla="*/ 0 h 296249"/>
            <a:gd name="connsiteX6" fmla="*/ 0 w 296016"/>
            <a:gd name="connsiteY6" fmla="*/ 112500 h 296249"/>
            <a:gd name="connsiteX7" fmla="*/ 112500 w 296016"/>
            <a:gd name="connsiteY7" fmla="*/ 225000 h 296249"/>
            <a:gd name="connsiteX8" fmla="*/ 180750 w 296016"/>
            <a:gd name="connsiteY8" fmla="*/ 201750 h 296249"/>
            <a:gd name="connsiteX9" fmla="*/ 197250 w 296016"/>
            <a:gd name="connsiteY9" fmla="*/ 218250 h 296249"/>
            <a:gd name="connsiteX10" fmla="*/ 204375 w 296016"/>
            <a:gd name="connsiteY10" fmla="*/ 241500 h 296249"/>
            <a:gd name="connsiteX11" fmla="*/ 251250 w 296016"/>
            <a:gd name="connsiteY11" fmla="*/ 288375 h 296249"/>
            <a:gd name="connsiteX12" fmla="*/ 270000 w 296016"/>
            <a:gd name="connsiteY12" fmla="*/ 296250 h 296249"/>
            <a:gd name="connsiteX13" fmla="*/ 288750 w 296016"/>
            <a:gd name="connsiteY13" fmla="*/ 288375 h 296249"/>
            <a:gd name="connsiteX14" fmla="*/ 288375 w 296016"/>
            <a:gd name="connsiteY14" fmla="*/ 251250 h 296249"/>
            <a:gd name="connsiteX15" fmla="*/ 112125 w 296016"/>
            <a:gd name="connsiteY15" fmla="*/ 202125 h 296249"/>
            <a:gd name="connsiteX16" fmla="*/ 22125 w 296016"/>
            <a:gd name="connsiteY16" fmla="*/ 112125 h 296249"/>
            <a:gd name="connsiteX17" fmla="*/ 112125 w 296016"/>
            <a:gd name="connsiteY17" fmla="*/ 22125 h 296249"/>
            <a:gd name="connsiteX18" fmla="*/ 202125 w 296016"/>
            <a:gd name="connsiteY18" fmla="*/ 112125 h 296249"/>
            <a:gd name="connsiteX19" fmla="*/ 112125 w 296016"/>
            <a:gd name="connsiteY19" fmla="*/ 202125 h 29624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</a:cxnLst>
          <a:rect l="l" t="t" r="r" b="b"/>
          <a:pathLst>
            <a:path w="296016" h="296249">
              <a:moveTo>
                <a:pt x="288375" y="251250"/>
              </a:moveTo>
              <a:lnTo>
                <a:pt x="241500" y="204375"/>
              </a:lnTo>
              <a:cubicBezTo>
                <a:pt x="235125" y="198000"/>
                <a:pt x="226500" y="195750"/>
                <a:pt x="218250" y="197250"/>
              </a:cubicBezTo>
              <a:lnTo>
                <a:pt x="201750" y="180750"/>
              </a:lnTo>
              <a:cubicBezTo>
                <a:pt x="216375" y="162000"/>
                <a:pt x="225000" y="138000"/>
                <a:pt x="225000" y="112500"/>
              </a:cubicBezTo>
              <a:cubicBezTo>
                <a:pt x="225000" y="50625"/>
                <a:pt x="174375" y="0"/>
                <a:pt x="112500" y="0"/>
              </a:cubicBezTo>
              <a:cubicBezTo>
                <a:pt x="50625" y="0"/>
                <a:pt x="0" y="50625"/>
                <a:pt x="0" y="112500"/>
              </a:cubicBezTo>
              <a:cubicBezTo>
                <a:pt x="0" y="174375"/>
                <a:pt x="50625" y="225000"/>
                <a:pt x="112500" y="225000"/>
              </a:cubicBezTo>
              <a:cubicBezTo>
                <a:pt x="138000" y="225000"/>
                <a:pt x="161625" y="216375"/>
                <a:pt x="180750" y="201750"/>
              </a:cubicBezTo>
              <a:lnTo>
                <a:pt x="197250" y="218250"/>
              </a:lnTo>
              <a:cubicBezTo>
                <a:pt x="195750" y="226500"/>
                <a:pt x="198000" y="235125"/>
                <a:pt x="204375" y="241500"/>
              </a:cubicBezTo>
              <a:lnTo>
                <a:pt x="251250" y="288375"/>
              </a:lnTo>
              <a:cubicBezTo>
                <a:pt x="256500" y="293625"/>
                <a:pt x="263250" y="296250"/>
                <a:pt x="270000" y="296250"/>
              </a:cubicBezTo>
              <a:cubicBezTo>
                <a:pt x="276750" y="296250"/>
                <a:pt x="283500" y="293625"/>
                <a:pt x="288750" y="288375"/>
              </a:cubicBezTo>
              <a:cubicBezTo>
                <a:pt x="298500" y="277875"/>
                <a:pt x="298500" y="261375"/>
                <a:pt x="288375" y="251250"/>
              </a:cubicBezTo>
              <a:close/>
              <a:moveTo>
                <a:pt x="112125" y="202125"/>
              </a:moveTo>
              <a:cubicBezTo>
                <a:pt x="62625" y="202125"/>
                <a:pt x="22125" y="161625"/>
                <a:pt x="22125" y="112125"/>
              </a:cubicBezTo>
              <a:cubicBezTo>
                <a:pt x="22125" y="62625"/>
                <a:pt x="62625" y="22125"/>
                <a:pt x="112125" y="22125"/>
              </a:cubicBezTo>
              <a:cubicBezTo>
                <a:pt x="161625" y="22125"/>
                <a:pt x="202125" y="62625"/>
                <a:pt x="202125" y="112125"/>
              </a:cubicBezTo>
              <a:cubicBezTo>
                <a:pt x="202125" y="161625"/>
                <a:pt x="161625" y="202125"/>
                <a:pt x="112125" y="202125"/>
              </a:cubicBezTo>
              <a:close/>
            </a:path>
          </a:pathLst>
        </a:custGeom>
        <a:solidFill>
          <a:schemeClr val="accent5">
            <a:lumMod val="50000"/>
          </a:schemeClr>
        </a:solidFill>
        <a:ln w="3671" cap="flat">
          <a:noFill/>
          <a:prstDash val="solid"/>
          <a:miter/>
        </a:ln>
      </xdr:spPr>
      <xdr:txBody>
        <a:bodyPr rtlCol="0" anchor="ctr"/>
        <a:lstStyle/>
        <a:p>
          <a:endParaRPr lang="es-AR"/>
        </a:p>
      </xdr:txBody>
    </xdr:sp>
    <xdr:clientData/>
  </xdr:twoCellAnchor>
  <xdr:twoCellAnchor>
    <xdr:from>
      <xdr:col>12</xdr:col>
      <xdr:colOff>114299</xdr:colOff>
      <xdr:row>13</xdr:row>
      <xdr:rowOff>104771</xdr:rowOff>
    </xdr:from>
    <xdr:to>
      <xdr:col>12</xdr:col>
      <xdr:colOff>323846</xdr:colOff>
      <xdr:row>14</xdr:row>
      <xdr:rowOff>133349</xdr:rowOff>
    </xdr:to>
    <xdr:grpSp>
      <xdr:nvGrpSpPr>
        <xdr:cNvPr id="99" name="Gráfico 85" descr="Monthly calendar con relleno sólido">
          <a:extLst>
            <a:ext uri="{FF2B5EF4-FFF2-40B4-BE49-F238E27FC236}">
              <a16:creationId xmlns:a16="http://schemas.microsoft.com/office/drawing/2014/main" id="{2895A205-2D7B-83DB-19A5-96A6C73B3BBE}"/>
            </a:ext>
          </a:extLst>
        </xdr:cNvPr>
        <xdr:cNvGrpSpPr/>
      </xdr:nvGrpSpPr>
      <xdr:grpSpPr>
        <a:xfrm rot="10800000">
          <a:off x="9601199" y="2457446"/>
          <a:ext cx="209547" cy="209553"/>
          <a:chOff x="16235400" y="1500225"/>
          <a:chExt cx="255000" cy="255000"/>
        </a:xfrm>
        <a:solidFill>
          <a:schemeClr val="accent5">
            <a:lumMod val="50000"/>
          </a:schemeClr>
        </a:solidFill>
      </xdr:grpSpPr>
      <xdr:sp macro="" textlink="">
        <xdr:nvSpPr>
          <xdr:cNvPr id="100" name="Forma libre: forma 99">
            <a:extLst>
              <a:ext uri="{FF2B5EF4-FFF2-40B4-BE49-F238E27FC236}">
                <a16:creationId xmlns:a16="http://schemas.microsoft.com/office/drawing/2014/main" id="{8AE563AE-DFDC-397D-EFC3-FB5331FE326A}"/>
              </a:ext>
            </a:extLst>
          </xdr:cNvPr>
          <xdr:cNvSpPr/>
        </xdr:nvSpPr>
        <xdr:spPr>
          <a:xfrm>
            <a:off x="16235400" y="1545225"/>
            <a:ext cx="255000" cy="210000"/>
          </a:xfrm>
          <a:custGeom>
            <a:avLst/>
            <a:gdLst>
              <a:gd name="connsiteX0" fmla="*/ 232500 w 255000"/>
              <a:gd name="connsiteY0" fmla="*/ 22500 h 210000"/>
              <a:gd name="connsiteX1" fmla="*/ 232500 w 255000"/>
              <a:gd name="connsiteY1" fmla="*/ 52500 h 210000"/>
              <a:gd name="connsiteX2" fmla="*/ 202500 w 255000"/>
              <a:gd name="connsiteY2" fmla="*/ 52500 h 210000"/>
              <a:gd name="connsiteX3" fmla="*/ 202500 w 255000"/>
              <a:gd name="connsiteY3" fmla="*/ 22500 h 210000"/>
              <a:gd name="connsiteX4" fmla="*/ 232500 w 255000"/>
              <a:gd name="connsiteY4" fmla="*/ 22500 h 210000"/>
              <a:gd name="connsiteX5" fmla="*/ 22500 w 255000"/>
              <a:gd name="connsiteY5" fmla="*/ 157500 h 210000"/>
              <a:gd name="connsiteX6" fmla="*/ 52500 w 255000"/>
              <a:gd name="connsiteY6" fmla="*/ 157500 h 210000"/>
              <a:gd name="connsiteX7" fmla="*/ 52500 w 255000"/>
              <a:gd name="connsiteY7" fmla="*/ 187500 h 210000"/>
              <a:gd name="connsiteX8" fmla="*/ 22500 w 255000"/>
              <a:gd name="connsiteY8" fmla="*/ 187500 h 210000"/>
              <a:gd name="connsiteX9" fmla="*/ 22500 w 255000"/>
              <a:gd name="connsiteY9" fmla="*/ 157500 h 210000"/>
              <a:gd name="connsiteX10" fmla="*/ 97500 w 255000"/>
              <a:gd name="connsiteY10" fmla="*/ 22500 h 210000"/>
              <a:gd name="connsiteX11" fmla="*/ 97500 w 255000"/>
              <a:gd name="connsiteY11" fmla="*/ 52500 h 210000"/>
              <a:gd name="connsiteX12" fmla="*/ 67500 w 255000"/>
              <a:gd name="connsiteY12" fmla="*/ 52500 h 210000"/>
              <a:gd name="connsiteX13" fmla="*/ 67500 w 255000"/>
              <a:gd name="connsiteY13" fmla="*/ 22500 h 210000"/>
              <a:gd name="connsiteX14" fmla="*/ 97500 w 255000"/>
              <a:gd name="connsiteY14" fmla="*/ 22500 h 210000"/>
              <a:gd name="connsiteX15" fmla="*/ 142500 w 255000"/>
              <a:gd name="connsiteY15" fmla="*/ 22500 h 210000"/>
              <a:gd name="connsiteX16" fmla="*/ 142500 w 255000"/>
              <a:gd name="connsiteY16" fmla="*/ 52500 h 210000"/>
              <a:gd name="connsiteX17" fmla="*/ 112500 w 255000"/>
              <a:gd name="connsiteY17" fmla="*/ 52500 h 210000"/>
              <a:gd name="connsiteX18" fmla="*/ 112500 w 255000"/>
              <a:gd name="connsiteY18" fmla="*/ 22500 h 210000"/>
              <a:gd name="connsiteX19" fmla="*/ 142500 w 255000"/>
              <a:gd name="connsiteY19" fmla="*/ 22500 h 210000"/>
              <a:gd name="connsiteX20" fmla="*/ 187500 w 255000"/>
              <a:gd name="connsiteY20" fmla="*/ 97500 h 210000"/>
              <a:gd name="connsiteX21" fmla="*/ 157500 w 255000"/>
              <a:gd name="connsiteY21" fmla="*/ 97500 h 210000"/>
              <a:gd name="connsiteX22" fmla="*/ 157500 w 255000"/>
              <a:gd name="connsiteY22" fmla="*/ 67500 h 210000"/>
              <a:gd name="connsiteX23" fmla="*/ 187500 w 255000"/>
              <a:gd name="connsiteY23" fmla="*/ 67500 h 210000"/>
              <a:gd name="connsiteX24" fmla="*/ 187500 w 255000"/>
              <a:gd name="connsiteY24" fmla="*/ 97500 h 210000"/>
              <a:gd name="connsiteX25" fmla="*/ 202500 w 255000"/>
              <a:gd name="connsiteY25" fmla="*/ 97500 h 210000"/>
              <a:gd name="connsiteX26" fmla="*/ 202500 w 255000"/>
              <a:gd name="connsiteY26" fmla="*/ 67500 h 210000"/>
              <a:gd name="connsiteX27" fmla="*/ 232500 w 255000"/>
              <a:gd name="connsiteY27" fmla="*/ 67500 h 210000"/>
              <a:gd name="connsiteX28" fmla="*/ 232500 w 255000"/>
              <a:gd name="connsiteY28" fmla="*/ 97500 h 210000"/>
              <a:gd name="connsiteX29" fmla="*/ 202500 w 255000"/>
              <a:gd name="connsiteY29" fmla="*/ 97500 h 210000"/>
              <a:gd name="connsiteX30" fmla="*/ 202500 w 255000"/>
              <a:gd name="connsiteY30" fmla="*/ 142500 h 210000"/>
              <a:gd name="connsiteX31" fmla="*/ 202500 w 255000"/>
              <a:gd name="connsiteY31" fmla="*/ 112500 h 210000"/>
              <a:gd name="connsiteX32" fmla="*/ 232500 w 255000"/>
              <a:gd name="connsiteY32" fmla="*/ 112500 h 210000"/>
              <a:gd name="connsiteX33" fmla="*/ 232500 w 255000"/>
              <a:gd name="connsiteY33" fmla="*/ 142500 h 210000"/>
              <a:gd name="connsiteX34" fmla="*/ 202500 w 255000"/>
              <a:gd name="connsiteY34" fmla="*/ 142500 h 210000"/>
              <a:gd name="connsiteX35" fmla="*/ 112500 w 255000"/>
              <a:gd name="connsiteY35" fmla="*/ 157500 h 210000"/>
              <a:gd name="connsiteX36" fmla="*/ 142500 w 255000"/>
              <a:gd name="connsiteY36" fmla="*/ 157500 h 210000"/>
              <a:gd name="connsiteX37" fmla="*/ 142500 w 255000"/>
              <a:gd name="connsiteY37" fmla="*/ 187500 h 210000"/>
              <a:gd name="connsiteX38" fmla="*/ 112500 w 255000"/>
              <a:gd name="connsiteY38" fmla="*/ 187500 h 210000"/>
              <a:gd name="connsiteX39" fmla="*/ 112500 w 255000"/>
              <a:gd name="connsiteY39" fmla="*/ 157500 h 210000"/>
              <a:gd name="connsiteX40" fmla="*/ 97500 w 255000"/>
              <a:gd name="connsiteY40" fmla="*/ 157500 h 210000"/>
              <a:gd name="connsiteX41" fmla="*/ 97500 w 255000"/>
              <a:gd name="connsiteY41" fmla="*/ 187500 h 210000"/>
              <a:gd name="connsiteX42" fmla="*/ 67500 w 255000"/>
              <a:gd name="connsiteY42" fmla="*/ 187500 h 210000"/>
              <a:gd name="connsiteX43" fmla="*/ 67500 w 255000"/>
              <a:gd name="connsiteY43" fmla="*/ 157500 h 210000"/>
              <a:gd name="connsiteX44" fmla="*/ 97500 w 255000"/>
              <a:gd name="connsiteY44" fmla="*/ 157500 h 210000"/>
              <a:gd name="connsiteX45" fmla="*/ 67500 w 255000"/>
              <a:gd name="connsiteY45" fmla="*/ 112500 h 210000"/>
              <a:gd name="connsiteX46" fmla="*/ 97500 w 255000"/>
              <a:gd name="connsiteY46" fmla="*/ 112500 h 210000"/>
              <a:gd name="connsiteX47" fmla="*/ 97500 w 255000"/>
              <a:gd name="connsiteY47" fmla="*/ 142500 h 210000"/>
              <a:gd name="connsiteX48" fmla="*/ 67500 w 255000"/>
              <a:gd name="connsiteY48" fmla="*/ 142500 h 210000"/>
              <a:gd name="connsiteX49" fmla="*/ 67500 w 255000"/>
              <a:gd name="connsiteY49" fmla="*/ 112500 h 210000"/>
              <a:gd name="connsiteX50" fmla="*/ 52500 w 255000"/>
              <a:gd name="connsiteY50" fmla="*/ 112500 h 210000"/>
              <a:gd name="connsiteX51" fmla="*/ 52500 w 255000"/>
              <a:gd name="connsiteY51" fmla="*/ 142500 h 210000"/>
              <a:gd name="connsiteX52" fmla="*/ 22500 w 255000"/>
              <a:gd name="connsiteY52" fmla="*/ 142500 h 210000"/>
              <a:gd name="connsiteX53" fmla="*/ 22500 w 255000"/>
              <a:gd name="connsiteY53" fmla="*/ 112500 h 210000"/>
              <a:gd name="connsiteX54" fmla="*/ 52500 w 255000"/>
              <a:gd name="connsiteY54" fmla="*/ 112500 h 210000"/>
              <a:gd name="connsiteX55" fmla="*/ 52500 w 255000"/>
              <a:gd name="connsiteY55" fmla="*/ 67500 h 210000"/>
              <a:gd name="connsiteX56" fmla="*/ 52500 w 255000"/>
              <a:gd name="connsiteY56" fmla="*/ 97500 h 210000"/>
              <a:gd name="connsiteX57" fmla="*/ 22500 w 255000"/>
              <a:gd name="connsiteY57" fmla="*/ 97500 h 210000"/>
              <a:gd name="connsiteX58" fmla="*/ 22500 w 255000"/>
              <a:gd name="connsiteY58" fmla="*/ 67500 h 210000"/>
              <a:gd name="connsiteX59" fmla="*/ 52500 w 255000"/>
              <a:gd name="connsiteY59" fmla="*/ 67500 h 210000"/>
              <a:gd name="connsiteX60" fmla="*/ 97500 w 255000"/>
              <a:gd name="connsiteY60" fmla="*/ 97500 h 210000"/>
              <a:gd name="connsiteX61" fmla="*/ 67500 w 255000"/>
              <a:gd name="connsiteY61" fmla="*/ 97500 h 210000"/>
              <a:gd name="connsiteX62" fmla="*/ 67500 w 255000"/>
              <a:gd name="connsiteY62" fmla="*/ 67500 h 210000"/>
              <a:gd name="connsiteX63" fmla="*/ 97500 w 255000"/>
              <a:gd name="connsiteY63" fmla="*/ 67500 h 210000"/>
              <a:gd name="connsiteX64" fmla="*/ 97500 w 255000"/>
              <a:gd name="connsiteY64" fmla="*/ 97500 h 210000"/>
              <a:gd name="connsiteX65" fmla="*/ 112500 w 255000"/>
              <a:gd name="connsiteY65" fmla="*/ 97500 h 210000"/>
              <a:gd name="connsiteX66" fmla="*/ 112500 w 255000"/>
              <a:gd name="connsiteY66" fmla="*/ 67500 h 210000"/>
              <a:gd name="connsiteX67" fmla="*/ 142500 w 255000"/>
              <a:gd name="connsiteY67" fmla="*/ 67500 h 210000"/>
              <a:gd name="connsiteX68" fmla="*/ 142500 w 255000"/>
              <a:gd name="connsiteY68" fmla="*/ 97500 h 210000"/>
              <a:gd name="connsiteX69" fmla="*/ 112500 w 255000"/>
              <a:gd name="connsiteY69" fmla="*/ 97500 h 210000"/>
              <a:gd name="connsiteX70" fmla="*/ 142500 w 255000"/>
              <a:gd name="connsiteY70" fmla="*/ 142500 h 210000"/>
              <a:gd name="connsiteX71" fmla="*/ 112500 w 255000"/>
              <a:gd name="connsiteY71" fmla="*/ 142500 h 210000"/>
              <a:gd name="connsiteX72" fmla="*/ 112500 w 255000"/>
              <a:gd name="connsiteY72" fmla="*/ 112500 h 210000"/>
              <a:gd name="connsiteX73" fmla="*/ 142500 w 255000"/>
              <a:gd name="connsiteY73" fmla="*/ 112500 h 210000"/>
              <a:gd name="connsiteX74" fmla="*/ 142500 w 255000"/>
              <a:gd name="connsiteY74" fmla="*/ 142500 h 210000"/>
              <a:gd name="connsiteX75" fmla="*/ 157500 w 255000"/>
              <a:gd name="connsiteY75" fmla="*/ 142500 h 210000"/>
              <a:gd name="connsiteX76" fmla="*/ 157500 w 255000"/>
              <a:gd name="connsiteY76" fmla="*/ 112500 h 210000"/>
              <a:gd name="connsiteX77" fmla="*/ 187500 w 255000"/>
              <a:gd name="connsiteY77" fmla="*/ 112500 h 210000"/>
              <a:gd name="connsiteX78" fmla="*/ 187500 w 255000"/>
              <a:gd name="connsiteY78" fmla="*/ 142500 h 210000"/>
              <a:gd name="connsiteX79" fmla="*/ 157500 w 255000"/>
              <a:gd name="connsiteY79" fmla="*/ 142500 h 210000"/>
              <a:gd name="connsiteX80" fmla="*/ 187500 w 255000"/>
              <a:gd name="connsiteY80" fmla="*/ 22500 h 210000"/>
              <a:gd name="connsiteX81" fmla="*/ 187500 w 255000"/>
              <a:gd name="connsiteY81" fmla="*/ 52500 h 210000"/>
              <a:gd name="connsiteX82" fmla="*/ 157500 w 255000"/>
              <a:gd name="connsiteY82" fmla="*/ 52500 h 210000"/>
              <a:gd name="connsiteX83" fmla="*/ 157500 w 255000"/>
              <a:gd name="connsiteY83" fmla="*/ 22500 h 210000"/>
              <a:gd name="connsiteX84" fmla="*/ 187500 w 255000"/>
              <a:gd name="connsiteY84" fmla="*/ 22500 h 210000"/>
              <a:gd name="connsiteX85" fmla="*/ 0 w 255000"/>
              <a:gd name="connsiteY85" fmla="*/ 0 h 210000"/>
              <a:gd name="connsiteX86" fmla="*/ 0 w 255000"/>
              <a:gd name="connsiteY86" fmla="*/ 210000 h 210000"/>
              <a:gd name="connsiteX87" fmla="*/ 255000 w 255000"/>
              <a:gd name="connsiteY87" fmla="*/ 210000 h 210000"/>
              <a:gd name="connsiteX88" fmla="*/ 255000 w 255000"/>
              <a:gd name="connsiteY88" fmla="*/ 0 h 210000"/>
              <a:gd name="connsiteX89" fmla="*/ 0 w 255000"/>
              <a:gd name="connsiteY89" fmla="*/ 0 h 21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  <a:cxn ang="0">
                <a:pos x="connsiteX66" y="connsiteY66"/>
              </a:cxn>
              <a:cxn ang="0">
                <a:pos x="connsiteX67" y="connsiteY67"/>
              </a:cxn>
              <a:cxn ang="0">
                <a:pos x="connsiteX68" y="connsiteY68"/>
              </a:cxn>
              <a:cxn ang="0">
                <a:pos x="connsiteX69" y="connsiteY69"/>
              </a:cxn>
              <a:cxn ang="0">
                <a:pos x="connsiteX70" y="connsiteY70"/>
              </a:cxn>
              <a:cxn ang="0">
                <a:pos x="connsiteX71" y="connsiteY71"/>
              </a:cxn>
              <a:cxn ang="0">
                <a:pos x="connsiteX72" y="connsiteY72"/>
              </a:cxn>
              <a:cxn ang="0">
                <a:pos x="connsiteX73" y="connsiteY73"/>
              </a:cxn>
              <a:cxn ang="0">
                <a:pos x="connsiteX74" y="connsiteY74"/>
              </a:cxn>
              <a:cxn ang="0">
                <a:pos x="connsiteX75" y="connsiteY75"/>
              </a:cxn>
              <a:cxn ang="0">
                <a:pos x="connsiteX76" y="connsiteY76"/>
              </a:cxn>
              <a:cxn ang="0">
                <a:pos x="connsiteX77" y="connsiteY77"/>
              </a:cxn>
              <a:cxn ang="0">
                <a:pos x="connsiteX78" y="connsiteY78"/>
              </a:cxn>
              <a:cxn ang="0">
                <a:pos x="connsiteX79" y="connsiteY79"/>
              </a:cxn>
              <a:cxn ang="0">
                <a:pos x="connsiteX80" y="connsiteY80"/>
              </a:cxn>
              <a:cxn ang="0">
                <a:pos x="connsiteX81" y="connsiteY81"/>
              </a:cxn>
              <a:cxn ang="0">
                <a:pos x="connsiteX82" y="connsiteY82"/>
              </a:cxn>
              <a:cxn ang="0">
                <a:pos x="connsiteX83" y="connsiteY83"/>
              </a:cxn>
              <a:cxn ang="0">
                <a:pos x="connsiteX84" y="connsiteY84"/>
              </a:cxn>
              <a:cxn ang="0">
                <a:pos x="connsiteX85" y="connsiteY85"/>
              </a:cxn>
              <a:cxn ang="0">
                <a:pos x="connsiteX86" y="connsiteY86"/>
              </a:cxn>
              <a:cxn ang="0">
                <a:pos x="connsiteX87" y="connsiteY87"/>
              </a:cxn>
              <a:cxn ang="0">
                <a:pos x="connsiteX88" y="connsiteY88"/>
              </a:cxn>
              <a:cxn ang="0">
                <a:pos x="connsiteX89" y="connsiteY89"/>
              </a:cxn>
            </a:cxnLst>
            <a:rect l="l" t="t" r="r" b="b"/>
            <a:pathLst>
              <a:path w="255000" h="210000">
                <a:moveTo>
                  <a:pt x="232500" y="22500"/>
                </a:moveTo>
                <a:lnTo>
                  <a:pt x="232500" y="52500"/>
                </a:lnTo>
                <a:lnTo>
                  <a:pt x="202500" y="52500"/>
                </a:lnTo>
                <a:lnTo>
                  <a:pt x="202500" y="22500"/>
                </a:lnTo>
                <a:lnTo>
                  <a:pt x="232500" y="22500"/>
                </a:lnTo>
                <a:close/>
                <a:moveTo>
                  <a:pt x="22500" y="157500"/>
                </a:moveTo>
                <a:lnTo>
                  <a:pt x="52500" y="157500"/>
                </a:lnTo>
                <a:lnTo>
                  <a:pt x="52500" y="187500"/>
                </a:lnTo>
                <a:lnTo>
                  <a:pt x="22500" y="187500"/>
                </a:lnTo>
                <a:lnTo>
                  <a:pt x="22500" y="157500"/>
                </a:lnTo>
                <a:close/>
                <a:moveTo>
                  <a:pt x="97500" y="22500"/>
                </a:moveTo>
                <a:lnTo>
                  <a:pt x="97500" y="52500"/>
                </a:lnTo>
                <a:lnTo>
                  <a:pt x="67500" y="52500"/>
                </a:lnTo>
                <a:lnTo>
                  <a:pt x="67500" y="22500"/>
                </a:lnTo>
                <a:lnTo>
                  <a:pt x="97500" y="22500"/>
                </a:lnTo>
                <a:close/>
                <a:moveTo>
                  <a:pt x="142500" y="22500"/>
                </a:moveTo>
                <a:lnTo>
                  <a:pt x="142500" y="52500"/>
                </a:lnTo>
                <a:lnTo>
                  <a:pt x="112500" y="52500"/>
                </a:lnTo>
                <a:lnTo>
                  <a:pt x="112500" y="22500"/>
                </a:lnTo>
                <a:lnTo>
                  <a:pt x="142500" y="22500"/>
                </a:lnTo>
                <a:close/>
                <a:moveTo>
                  <a:pt x="187500" y="97500"/>
                </a:moveTo>
                <a:lnTo>
                  <a:pt x="157500" y="97500"/>
                </a:lnTo>
                <a:lnTo>
                  <a:pt x="157500" y="67500"/>
                </a:lnTo>
                <a:lnTo>
                  <a:pt x="187500" y="67500"/>
                </a:lnTo>
                <a:lnTo>
                  <a:pt x="187500" y="97500"/>
                </a:lnTo>
                <a:close/>
                <a:moveTo>
                  <a:pt x="202500" y="97500"/>
                </a:moveTo>
                <a:lnTo>
                  <a:pt x="202500" y="67500"/>
                </a:lnTo>
                <a:lnTo>
                  <a:pt x="232500" y="67500"/>
                </a:lnTo>
                <a:lnTo>
                  <a:pt x="232500" y="97500"/>
                </a:lnTo>
                <a:lnTo>
                  <a:pt x="202500" y="97500"/>
                </a:lnTo>
                <a:close/>
                <a:moveTo>
                  <a:pt x="202500" y="142500"/>
                </a:moveTo>
                <a:lnTo>
                  <a:pt x="202500" y="112500"/>
                </a:lnTo>
                <a:lnTo>
                  <a:pt x="232500" y="112500"/>
                </a:lnTo>
                <a:lnTo>
                  <a:pt x="232500" y="142500"/>
                </a:lnTo>
                <a:lnTo>
                  <a:pt x="202500" y="142500"/>
                </a:lnTo>
                <a:close/>
                <a:moveTo>
                  <a:pt x="112500" y="157500"/>
                </a:moveTo>
                <a:lnTo>
                  <a:pt x="142500" y="157500"/>
                </a:lnTo>
                <a:lnTo>
                  <a:pt x="142500" y="187500"/>
                </a:lnTo>
                <a:lnTo>
                  <a:pt x="112500" y="187500"/>
                </a:lnTo>
                <a:lnTo>
                  <a:pt x="112500" y="157500"/>
                </a:lnTo>
                <a:close/>
                <a:moveTo>
                  <a:pt x="97500" y="157500"/>
                </a:moveTo>
                <a:lnTo>
                  <a:pt x="97500" y="187500"/>
                </a:lnTo>
                <a:lnTo>
                  <a:pt x="67500" y="187500"/>
                </a:lnTo>
                <a:lnTo>
                  <a:pt x="67500" y="157500"/>
                </a:lnTo>
                <a:lnTo>
                  <a:pt x="97500" y="157500"/>
                </a:lnTo>
                <a:close/>
                <a:moveTo>
                  <a:pt x="67500" y="112500"/>
                </a:moveTo>
                <a:lnTo>
                  <a:pt x="97500" y="112500"/>
                </a:lnTo>
                <a:lnTo>
                  <a:pt x="97500" y="142500"/>
                </a:lnTo>
                <a:lnTo>
                  <a:pt x="67500" y="142500"/>
                </a:lnTo>
                <a:lnTo>
                  <a:pt x="67500" y="112500"/>
                </a:lnTo>
                <a:close/>
                <a:moveTo>
                  <a:pt x="52500" y="112500"/>
                </a:moveTo>
                <a:lnTo>
                  <a:pt x="52500" y="142500"/>
                </a:lnTo>
                <a:lnTo>
                  <a:pt x="22500" y="142500"/>
                </a:lnTo>
                <a:lnTo>
                  <a:pt x="22500" y="112500"/>
                </a:lnTo>
                <a:lnTo>
                  <a:pt x="52500" y="112500"/>
                </a:lnTo>
                <a:close/>
                <a:moveTo>
                  <a:pt x="52500" y="67500"/>
                </a:moveTo>
                <a:lnTo>
                  <a:pt x="52500" y="97500"/>
                </a:lnTo>
                <a:lnTo>
                  <a:pt x="22500" y="97500"/>
                </a:lnTo>
                <a:lnTo>
                  <a:pt x="22500" y="67500"/>
                </a:lnTo>
                <a:lnTo>
                  <a:pt x="52500" y="67500"/>
                </a:lnTo>
                <a:close/>
                <a:moveTo>
                  <a:pt x="97500" y="97500"/>
                </a:moveTo>
                <a:lnTo>
                  <a:pt x="67500" y="97500"/>
                </a:lnTo>
                <a:lnTo>
                  <a:pt x="67500" y="67500"/>
                </a:lnTo>
                <a:lnTo>
                  <a:pt x="97500" y="67500"/>
                </a:lnTo>
                <a:lnTo>
                  <a:pt x="97500" y="97500"/>
                </a:lnTo>
                <a:close/>
                <a:moveTo>
                  <a:pt x="112500" y="97500"/>
                </a:moveTo>
                <a:lnTo>
                  <a:pt x="112500" y="67500"/>
                </a:lnTo>
                <a:lnTo>
                  <a:pt x="142500" y="67500"/>
                </a:lnTo>
                <a:lnTo>
                  <a:pt x="142500" y="97500"/>
                </a:lnTo>
                <a:lnTo>
                  <a:pt x="112500" y="97500"/>
                </a:lnTo>
                <a:close/>
                <a:moveTo>
                  <a:pt x="142500" y="142500"/>
                </a:moveTo>
                <a:lnTo>
                  <a:pt x="112500" y="142500"/>
                </a:lnTo>
                <a:lnTo>
                  <a:pt x="112500" y="112500"/>
                </a:lnTo>
                <a:lnTo>
                  <a:pt x="142500" y="112500"/>
                </a:lnTo>
                <a:lnTo>
                  <a:pt x="142500" y="142500"/>
                </a:lnTo>
                <a:close/>
                <a:moveTo>
                  <a:pt x="157500" y="142500"/>
                </a:moveTo>
                <a:lnTo>
                  <a:pt x="157500" y="112500"/>
                </a:lnTo>
                <a:lnTo>
                  <a:pt x="187500" y="112500"/>
                </a:lnTo>
                <a:lnTo>
                  <a:pt x="187500" y="142500"/>
                </a:lnTo>
                <a:lnTo>
                  <a:pt x="157500" y="142500"/>
                </a:lnTo>
                <a:close/>
                <a:moveTo>
                  <a:pt x="187500" y="22500"/>
                </a:moveTo>
                <a:lnTo>
                  <a:pt x="187500" y="52500"/>
                </a:lnTo>
                <a:lnTo>
                  <a:pt x="157500" y="52500"/>
                </a:lnTo>
                <a:lnTo>
                  <a:pt x="157500" y="22500"/>
                </a:lnTo>
                <a:lnTo>
                  <a:pt x="187500" y="22500"/>
                </a:lnTo>
                <a:close/>
                <a:moveTo>
                  <a:pt x="0" y="0"/>
                </a:moveTo>
                <a:lnTo>
                  <a:pt x="0" y="210000"/>
                </a:lnTo>
                <a:lnTo>
                  <a:pt x="255000" y="210000"/>
                </a:lnTo>
                <a:lnTo>
                  <a:pt x="255000" y="0"/>
                </a:lnTo>
                <a:lnTo>
                  <a:pt x="0" y="0"/>
                </a:ln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  <xdr:sp macro="" textlink="">
        <xdr:nvSpPr>
          <xdr:cNvPr id="101" name="Forma libre: forma 100">
            <a:extLst>
              <a:ext uri="{FF2B5EF4-FFF2-40B4-BE49-F238E27FC236}">
                <a16:creationId xmlns:a16="http://schemas.microsoft.com/office/drawing/2014/main" id="{41256CF1-9C44-64BC-93B8-7D4E4193A9AD}"/>
              </a:ext>
            </a:extLst>
          </xdr:cNvPr>
          <xdr:cNvSpPr/>
        </xdr:nvSpPr>
        <xdr:spPr>
          <a:xfrm>
            <a:off x="16235400" y="1500225"/>
            <a:ext cx="255000" cy="30000"/>
          </a:xfrm>
          <a:custGeom>
            <a:avLst/>
            <a:gdLst>
              <a:gd name="connsiteX0" fmla="*/ 0 w 255000"/>
              <a:gd name="connsiteY0" fmla="*/ 0 h 30000"/>
              <a:gd name="connsiteX1" fmla="*/ 255000 w 255000"/>
              <a:gd name="connsiteY1" fmla="*/ 0 h 30000"/>
              <a:gd name="connsiteX2" fmla="*/ 255000 w 255000"/>
              <a:gd name="connsiteY2" fmla="*/ 30000 h 30000"/>
              <a:gd name="connsiteX3" fmla="*/ 0 w 255000"/>
              <a:gd name="connsiteY3" fmla="*/ 30000 h 30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255000" h="30000">
                <a:moveTo>
                  <a:pt x="0" y="0"/>
                </a:moveTo>
                <a:lnTo>
                  <a:pt x="255000" y="0"/>
                </a:lnTo>
                <a:lnTo>
                  <a:pt x="255000" y="30000"/>
                </a:lnTo>
                <a:lnTo>
                  <a:pt x="0" y="30000"/>
                </a:ln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</xdr:grpSp>
    <xdr:clientData/>
  </xdr:twoCellAnchor>
  <xdr:twoCellAnchor>
    <xdr:from>
      <xdr:col>1</xdr:col>
      <xdr:colOff>546654</xdr:colOff>
      <xdr:row>35</xdr:row>
      <xdr:rowOff>115308</xdr:rowOff>
    </xdr:from>
    <xdr:to>
      <xdr:col>2</xdr:col>
      <xdr:colOff>40704</xdr:colOff>
      <xdr:row>37</xdr:row>
      <xdr:rowOff>34276</xdr:rowOff>
    </xdr:to>
    <xdr:grpSp>
      <xdr:nvGrpSpPr>
        <xdr:cNvPr id="102" name="Gráfico 87" descr="Pie chart con relleno sólido">
          <a:extLst>
            <a:ext uri="{FF2B5EF4-FFF2-40B4-BE49-F238E27FC236}">
              <a16:creationId xmlns:a16="http://schemas.microsoft.com/office/drawing/2014/main" id="{CFF138A4-B454-04F3-791D-43D4ECA2BBC6}"/>
            </a:ext>
          </a:extLst>
        </xdr:cNvPr>
        <xdr:cNvGrpSpPr/>
      </xdr:nvGrpSpPr>
      <xdr:grpSpPr>
        <a:xfrm rot="14890429">
          <a:off x="1339083" y="6409479"/>
          <a:ext cx="280918" cy="284625"/>
          <a:chOff x="16370400" y="1635225"/>
          <a:chExt cx="284625" cy="285000"/>
        </a:xfrm>
        <a:solidFill>
          <a:schemeClr val="accent5">
            <a:lumMod val="50000"/>
          </a:schemeClr>
        </a:solidFill>
      </xdr:grpSpPr>
      <xdr:sp macro="" textlink="">
        <xdr:nvSpPr>
          <xdr:cNvPr id="103" name="Forma libre: forma 102">
            <a:extLst>
              <a:ext uri="{FF2B5EF4-FFF2-40B4-BE49-F238E27FC236}">
                <a16:creationId xmlns:a16="http://schemas.microsoft.com/office/drawing/2014/main" id="{D71D6D49-955E-D04C-AE63-14073DD47A01}"/>
              </a:ext>
            </a:extLst>
          </xdr:cNvPr>
          <xdr:cNvSpPr/>
        </xdr:nvSpPr>
        <xdr:spPr>
          <a:xfrm>
            <a:off x="16370400" y="1635225"/>
            <a:ext cx="237750" cy="285000"/>
          </a:xfrm>
          <a:custGeom>
            <a:avLst/>
            <a:gdLst>
              <a:gd name="connsiteX0" fmla="*/ 135000 w 237750"/>
              <a:gd name="connsiteY0" fmla="*/ 0 h 285000"/>
              <a:gd name="connsiteX1" fmla="*/ 0 w 237750"/>
              <a:gd name="connsiteY1" fmla="*/ 142500 h 285000"/>
              <a:gd name="connsiteX2" fmla="*/ 142500 w 237750"/>
              <a:gd name="connsiteY2" fmla="*/ 285000 h 285000"/>
              <a:gd name="connsiteX3" fmla="*/ 237750 w 237750"/>
              <a:gd name="connsiteY3" fmla="*/ 248250 h 285000"/>
              <a:gd name="connsiteX4" fmla="*/ 135000 w 237750"/>
              <a:gd name="connsiteY4" fmla="*/ 145500 h 285000"/>
              <a:gd name="connsiteX5" fmla="*/ 135000 w 237750"/>
              <a:gd name="connsiteY5" fmla="*/ 0 h 285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</a:cxnLst>
            <a:rect l="l" t="t" r="r" b="b"/>
            <a:pathLst>
              <a:path w="237750" h="285000">
                <a:moveTo>
                  <a:pt x="135000" y="0"/>
                </a:moveTo>
                <a:cubicBezTo>
                  <a:pt x="60000" y="3750"/>
                  <a:pt x="0" y="66750"/>
                  <a:pt x="0" y="142500"/>
                </a:cubicBezTo>
                <a:cubicBezTo>
                  <a:pt x="0" y="221250"/>
                  <a:pt x="63750" y="285000"/>
                  <a:pt x="142500" y="285000"/>
                </a:cubicBezTo>
                <a:cubicBezTo>
                  <a:pt x="178125" y="285000"/>
                  <a:pt x="211500" y="272250"/>
                  <a:pt x="237750" y="248250"/>
                </a:cubicBezTo>
                <a:lnTo>
                  <a:pt x="135000" y="145500"/>
                </a:lnTo>
                <a:lnTo>
                  <a:pt x="135000" y="0"/>
                </a:ln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  <xdr:sp macro="" textlink="">
        <xdr:nvSpPr>
          <xdr:cNvPr id="104" name="Forma libre: forma 103">
            <a:extLst>
              <a:ext uri="{FF2B5EF4-FFF2-40B4-BE49-F238E27FC236}">
                <a16:creationId xmlns:a16="http://schemas.microsoft.com/office/drawing/2014/main" id="{53785DC8-A32D-2FB3-E3F2-6EF29C919669}"/>
              </a:ext>
            </a:extLst>
          </xdr:cNvPr>
          <xdr:cNvSpPr/>
        </xdr:nvSpPr>
        <xdr:spPr>
          <a:xfrm>
            <a:off x="16520400" y="1635225"/>
            <a:ext cx="134625" cy="135000"/>
          </a:xfrm>
          <a:custGeom>
            <a:avLst/>
            <a:gdLst>
              <a:gd name="connsiteX0" fmla="*/ 0 w 134625"/>
              <a:gd name="connsiteY0" fmla="*/ 0 h 135000"/>
              <a:gd name="connsiteX1" fmla="*/ 0 w 134625"/>
              <a:gd name="connsiteY1" fmla="*/ 135000 h 135000"/>
              <a:gd name="connsiteX2" fmla="*/ 134625 w 134625"/>
              <a:gd name="connsiteY2" fmla="*/ 135000 h 135000"/>
              <a:gd name="connsiteX3" fmla="*/ 0 w 134625"/>
              <a:gd name="connsiteY3" fmla="*/ 0 h 13500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34625" h="135000">
                <a:moveTo>
                  <a:pt x="0" y="0"/>
                </a:moveTo>
                <a:lnTo>
                  <a:pt x="0" y="135000"/>
                </a:lnTo>
                <a:lnTo>
                  <a:pt x="134625" y="135000"/>
                </a:lnTo>
                <a:cubicBezTo>
                  <a:pt x="130875" y="61875"/>
                  <a:pt x="72750" y="3750"/>
                  <a:pt x="0" y="0"/>
                </a:cubicBez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  <xdr:sp macro="" textlink="">
        <xdr:nvSpPr>
          <xdr:cNvPr id="105" name="Forma libre: forma 104">
            <a:extLst>
              <a:ext uri="{FF2B5EF4-FFF2-40B4-BE49-F238E27FC236}">
                <a16:creationId xmlns:a16="http://schemas.microsoft.com/office/drawing/2014/main" id="{07A041BB-AB98-0D56-C242-AFD3FD9273F8}"/>
              </a:ext>
            </a:extLst>
          </xdr:cNvPr>
          <xdr:cNvSpPr/>
        </xdr:nvSpPr>
        <xdr:spPr>
          <a:xfrm>
            <a:off x="16530899" y="1785225"/>
            <a:ext cx="124125" cy="87750"/>
          </a:xfrm>
          <a:custGeom>
            <a:avLst/>
            <a:gdLst>
              <a:gd name="connsiteX0" fmla="*/ 0 w 124125"/>
              <a:gd name="connsiteY0" fmla="*/ 0 h 87750"/>
              <a:gd name="connsiteX1" fmla="*/ 87750 w 124125"/>
              <a:gd name="connsiteY1" fmla="*/ 87750 h 87750"/>
              <a:gd name="connsiteX2" fmla="*/ 124125 w 124125"/>
              <a:gd name="connsiteY2" fmla="*/ 0 h 87750"/>
              <a:gd name="connsiteX3" fmla="*/ 0 w 124125"/>
              <a:gd name="connsiteY3" fmla="*/ 0 h 87750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</a:cxnLst>
            <a:rect l="l" t="t" r="r" b="b"/>
            <a:pathLst>
              <a:path w="124125" h="87750">
                <a:moveTo>
                  <a:pt x="0" y="0"/>
                </a:moveTo>
                <a:lnTo>
                  <a:pt x="87750" y="87750"/>
                </a:lnTo>
                <a:cubicBezTo>
                  <a:pt x="109875" y="63375"/>
                  <a:pt x="122625" y="32625"/>
                  <a:pt x="124125" y="0"/>
                </a:cubicBezTo>
                <a:lnTo>
                  <a:pt x="0" y="0"/>
                </a:lnTo>
                <a:close/>
              </a:path>
            </a:pathLst>
          </a:custGeom>
          <a:solidFill>
            <a:schemeClr val="accent5">
              <a:lumMod val="50000"/>
            </a:schemeClr>
          </a:solidFill>
          <a:ln w="3671" cap="flat">
            <a:noFill/>
            <a:prstDash val="solid"/>
            <a:miter/>
          </a:ln>
        </xdr:spPr>
        <xdr:txBody>
          <a:bodyPr rtlCol="0" anchor="ctr"/>
          <a:lstStyle/>
          <a:p>
            <a:endParaRPr lang="es-AR"/>
          </a:p>
        </xdr:txBody>
      </xdr:sp>
    </xdr:grpSp>
    <xdr:clientData/>
  </xdr:twoCellAnchor>
  <xdr:twoCellAnchor>
    <xdr:from>
      <xdr:col>12</xdr:col>
      <xdr:colOff>1135235</xdr:colOff>
      <xdr:row>35</xdr:row>
      <xdr:rowOff>98984</xdr:rowOff>
    </xdr:from>
    <xdr:to>
      <xdr:col>12</xdr:col>
      <xdr:colOff>1253878</xdr:colOff>
      <xdr:row>36</xdr:row>
      <xdr:rowOff>77728</xdr:rowOff>
    </xdr:to>
    <xdr:sp macro="" textlink="">
      <xdr:nvSpPr>
        <xdr:cNvPr id="108" name="Forma libre: forma 107">
          <a:extLst>
            <a:ext uri="{FF2B5EF4-FFF2-40B4-BE49-F238E27FC236}">
              <a16:creationId xmlns:a16="http://schemas.microsoft.com/office/drawing/2014/main" id="{AF3CC1BE-2372-6D87-6A39-4AA465B53B86}"/>
            </a:ext>
          </a:extLst>
        </xdr:cNvPr>
        <xdr:cNvSpPr/>
      </xdr:nvSpPr>
      <xdr:spPr>
        <a:xfrm rot="14890429">
          <a:off x="10623505" y="6480634"/>
          <a:ext cx="161624" cy="118643"/>
        </a:xfrm>
        <a:custGeom>
          <a:avLst/>
          <a:gdLst>
            <a:gd name="connsiteX0" fmla="*/ 161250 w 161624"/>
            <a:gd name="connsiteY0" fmla="*/ 51894 h 118643"/>
            <a:gd name="connsiteX1" fmla="*/ 139875 w 161624"/>
            <a:gd name="connsiteY1" fmla="*/ 51894 h 118643"/>
            <a:gd name="connsiteX2" fmla="*/ 135000 w 161624"/>
            <a:gd name="connsiteY2" fmla="*/ 54894 h 118643"/>
            <a:gd name="connsiteX3" fmla="*/ 120750 w 161624"/>
            <a:gd name="connsiteY3" fmla="*/ 70269 h 118643"/>
            <a:gd name="connsiteX4" fmla="*/ 108750 w 161624"/>
            <a:gd name="connsiteY4" fmla="*/ 28644 h 118643"/>
            <a:gd name="connsiteX5" fmla="*/ 100500 w 161624"/>
            <a:gd name="connsiteY5" fmla="*/ 24144 h 118643"/>
            <a:gd name="connsiteX6" fmla="*/ 96000 w 161624"/>
            <a:gd name="connsiteY6" fmla="*/ 28269 h 118643"/>
            <a:gd name="connsiteX7" fmla="*/ 73500 w 161624"/>
            <a:gd name="connsiteY7" fmla="*/ 87894 h 118643"/>
            <a:gd name="connsiteX8" fmla="*/ 58125 w 161624"/>
            <a:gd name="connsiteY8" fmla="*/ 5394 h 118643"/>
            <a:gd name="connsiteX9" fmla="*/ 50625 w 161624"/>
            <a:gd name="connsiteY9" fmla="*/ 144 h 118643"/>
            <a:gd name="connsiteX10" fmla="*/ 45375 w 161624"/>
            <a:gd name="connsiteY10" fmla="*/ 4644 h 118643"/>
            <a:gd name="connsiteX11" fmla="*/ 29250 w 161624"/>
            <a:gd name="connsiteY11" fmla="*/ 51894 h 118643"/>
            <a:gd name="connsiteX12" fmla="*/ 0 w 161624"/>
            <a:gd name="connsiteY12" fmla="*/ 51894 h 118643"/>
            <a:gd name="connsiteX13" fmla="*/ 0 w 161624"/>
            <a:gd name="connsiteY13" fmla="*/ 66894 h 118643"/>
            <a:gd name="connsiteX14" fmla="*/ 34125 w 161624"/>
            <a:gd name="connsiteY14" fmla="*/ 66894 h 118643"/>
            <a:gd name="connsiteX15" fmla="*/ 40500 w 161624"/>
            <a:gd name="connsiteY15" fmla="*/ 61269 h 118643"/>
            <a:gd name="connsiteX16" fmla="*/ 49875 w 161624"/>
            <a:gd name="connsiteY16" fmla="*/ 32769 h 118643"/>
            <a:gd name="connsiteX17" fmla="*/ 64875 w 161624"/>
            <a:gd name="connsiteY17" fmla="*/ 113394 h 118643"/>
            <a:gd name="connsiteX18" fmla="*/ 70875 w 161624"/>
            <a:gd name="connsiteY18" fmla="*/ 118644 h 118643"/>
            <a:gd name="connsiteX19" fmla="*/ 71625 w 161624"/>
            <a:gd name="connsiteY19" fmla="*/ 118644 h 118643"/>
            <a:gd name="connsiteX20" fmla="*/ 78000 w 161624"/>
            <a:gd name="connsiteY20" fmla="*/ 114519 h 118643"/>
            <a:gd name="connsiteX21" fmla="*/ 102000 w 161624"/>
            <a:gd name="connsiteY21" fmla="*/ 51519 h 118643"/>
            <a:gd name="connsiteX22" fmla="*/ 111750 w 161624"/>
            <a:gd name="connsiteY22" fmla="*/ 85269 h 118643"/>
            <a:gd name="connsiteX23" fmla="*/ 120000 w 161624"/>
            <a:gd name="connsiteY23" fmla="*/ 89769 h 118643"/>
            <a:gd name="connsiteX24" fmla="*/ 123000 w 161624"/>
            <a:gd name="connsiteY24" fmla="*/ 87894 h 118643"/>
            <a:gd name="connsiteX25" fmla="*/ 143250 w 161624"/>
            <a:gd name="connsiteY25" fmla="*/ 66894 h 118643"/>
            <a:gd name="connsiteX26" fmla="*/ 161625 w 161624"/>
            <a:gd name="connsiteY26" fmla="*/ 66894 h 118643"/>
            <a:gd name="connsiteX27" fmla="*/ 161625 w 161624"/>
            <a:gd name="connsiteY27" fmla="*/ 51894 h 11864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161624" h="118643">
              <a:moveTo>
                <a:pt x="161250" y="51894"/>
              </a:moveTo>
              <a:lnTo>
                <a:pt x="139875" y="51894"/>
              </a:lnTo>
              <a:cubicBezTo>
                <a:pt x="138000" y="52269"/>
                <a:pt x="136125" y="53394"/>
                <a:pt x="135000" y="54894"/>
              </a:cubicBezTo>
              <a:lnTo>
                <a:pt x="120750" y="70269"/>
              </a:lnTo>
              <a:lnTo>
                <a:pt x="108750" y="28644"/>
              </a:lnTo>
              <a:cubicBezTo>
                <a:pt x="107625" y="25269"/>
                <a:pt x="103875" y="23019"/>
                <a:pt x="100500" y="24144"/>
              </a:cubicBezTo>
              <a:cubicBezTo>
                <a:pt x="98625" y="24894"/>
                <a:pt x="96750" y="26019"/>
                <a:pt x="96000" y="28269"/>
              </a:cubicBezTo>
              <a:lnTo>
                <a:pt x="73500" y="87894"/>
              </a:lnTo>
              <a:lnTo>
                <a:pt x="58125" y="5394"/>
              </a:lnTo>
              <a:cubicBezTo>
                <a:pt x="57375" y="1644"/>
                <a:pt x="54000" y="-606"/>
                <a:pt x="50625" y="144"/>
              </a:cubicBezTo>
              <a:cubicBezTo>
                <a:pt x="48375" y="519"/>
                <a:pt x="46500" y="2394"/>
                <a:pt x="45375" y="4644"/>
              </a:cubicBezTo>
              <a:lnTo>
                <a:pt x="29250" y="51894"/>
              </a:lnTo>
              <a:lnTo>
                <a:pt x="0" y="51894"/>
              </a:lnTo>
              <a:lnTo>
                <a:pt x="0" y="66894"/>
              </a:lnTo>
              <a:lnTo>
                <a:pt x="34125" y="66894"/>
              </a:lnTo>
              <a:cubicBezTo>
                <a:pt x="37125" y="66519"/>
                <a:pt x="39750" y="64269"/>
                <a:pt x="40500" y="61269"/>
              </a:cubicBezTo>
              <a:lnTo>
                <a:pt x="49875" y="32769"/>
              </a:lnTo>
              <a:lnTo>
                <a:pt x="64875" y="113394"/>
              </a:lnTo>
              <a:cubicBezTo>
                <a:pt x="65250" y="116394"/>
                <a:pt x="67875" y="118644"/>
                <a:pt x="70875" y="118644"/>
              </a:cubicBezTo>
              <a:lnTo>
                <a:pt x="71625" y="118644"/>
              </a:lnTo>
              <a:cubicBezTo>
                <a:pt x="74250" y="118644"/>
                <a:pt x="76875" y="117144"/>
                <a:pt x="78000" y="114519"/>
              </a:cubicBezTo>
              <a:lnTo>
                <a:pt x="102000" y="51519"/>
              </a:lnTo>
              <a:lnTo>
                <a:pt x="111750" y="85269"/>
              </a:lnTo>
              <a:cubicBezTo>
                <a:pt x="112875" y="88644"/>
                <a:pt x="116250" y="90894"/>
                <a:pt x="120000" y="89769"/>
              </a:cubicBezTo>
              <a:cubicBezTo>
                <a:pt x="121125" y="89394"/>
                <a:pt x="122250" y="88644"/>
                <a:pt x="123000" y="87894"/>
              </a:cubicBezTo>
              <a:lnTo>
                <a:pt x="143250" y="66894"/>
              </a:lnTo>
              <a:lnTo>
                <a:pt x="161625" y="66894"/>
              </a:lnTo>
              <a:lnTo>
                <a:pt x="161625" y="51894"/>
              </a:lnTo>
              <a:close/>
            </a:path>
          </a:pathLst>
        </a:custGeom>
        <a:solidFill>
          <a:schemeClr val="accent5">
            <a:lumMod val="50000"/>
          </a:schemeClr>
        </a:solidFill>
        <a:ln w="3671" cap="flat">
          <a:noFill/>
          <a:prstDash val="solid"/>
          <a:miter/>
        </a:ln>
      </xdr:spPr>
      <xdr:txBody>
        <a:bodyPr rtlCol="0" anchor="ctr"/>
        <a:lstStyle/>
        <a:p>
          <a:endParaRPr lang="es-AR"/>
        </a:p>
      </xdr:txBody>
    </xdr:sp>
    <xdr:clientData/>
  </xdr:twoCellAnchor>
  <xdr:twoCellAnchor editAs="absolute">
    <xdr:from>
      <xdr:col>7</xdr:col>
      <xdr:colOff>676274</xdr:colOff>
      <xdr:row>41</xdr:row>
      <xdr:rowOff>57149</xdr:rowOff>
    </xdr:from>
    <xdr:to>
      <xdr:col>10</xdr:col>
      <xdr:colOff>390524</xdr:colOff>
      <xdr:row>52</xdr:row>
      <xdr:rowOff>69850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59CDE9D1-9B62-4E3E-BC3E-2A380E0CB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absolute">
    <xdr:from>
      <xdr:col>1</xdr:col>
      <xdr:colOff>714012</xdr:colOff>
      <xdr:row>58</xdr:row>
      <xdr:rowOff>137099</xdr:rowOff>
    </xdr:from>
    <xdr:to>
      <xdr:col>3</xdr:col>
      <xdr:colOff>438150</xdr:colOff>
      <xdr:row>61</xdr:row>
      <xdr:rowOff>60899</xdr:rowOff>
    </xdr:to>
    <xdr:sp macro="" textlink="CALCULOS!E37">
      <xdr:nvSpPr>
        <xdr:cNvPr id="49" name="CuadroTexto 48">
          <a:extLst>
            <a:ext uri="{FF2B5EF4-FFF2-40B4-BE49-F238E27FC236}">
              <a16:creationId xmlns:a16="http://schemas.microsoft.com/office/drawing/2014/main" id="{361BAFF0-A832-49DA-B8BB-E05C5E1D3669}"/>
            </a:ext>
          </a:extLst>
        </xdr:cNvPr>
        <xdr:cNvSpPr txBox="1"/>
      </xdr:nvSpPr>
      <xdr:spPr>
        <a:xfrm>
          <a:off x="1504587" y="10595549"/>
          <a:ext cx="1305288" cy="46672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4135577B-F712-442B-91B1-C85BD414C834}" type="TxLink">
            <a:rPr lang="en-US" sz="18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0,81%</a:t>
          </a:fld>
          <a:endParaRPr lang="en-US" sz="18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5</xdr:col>
      <xdr:colOff>70031</xdr:colOff>
      <xdr:row>58</xdr:row>
      <xdr:rowOff>107950</xdr:rowOff>
    </xdr:from>
    <xdr:to>
      <xdr:col>6</xdr:col>
      <xdr:colOff>742950</xdr:colOff>
      <xdr:row>61</xdr:row>
      <xdr:rowOff>36860</xdr:rowOff>
    </xdr:to>
    <xdr:sp macro="" textlink="CALCULOS!E38">
      <xdr:nvSpPr>
        <xdr:cNvPr id="50" name="CuadroTexto 49">
          <a:extLst>
            <a:ext uri="{FF2B5EF4-FFF2-40B4-BE49-F238E27FC236}">
              <a16:creationId xmlns:a16="http://schemas.microsoft.com/office/drawing/2014/main" id="{93B3A91B-24B8-4763-899C-05A99AD33EE0}"/>
            </a:ext>
          </a:extLst>
        </xdr:cNvPr>
        <xdr:cNvSpPr txBox="1"/>
      </xdr:nvSpPr>
      <xdr:spPr>
        <a:xfrm>
          <a:off x="4022906" y="10566400"/>
          <a:ext cx="1463494" cy="47183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2AC6FC4C-1FFD-4FAC-B001-7622ABA6EB74}" type="TxLink">
            <a:rPr lang="en-US" sz="18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0,28%</a:t>
          </a:fld>
          <a:endParaRPr lang="en-US" sz="18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8</xdr:col>
      <xdr:colOff>142875</xdr:colOff>
      <xdr:row>58</xdr:row>
      <xdr:rowOff>102747</xdr:rowOff>
    </xdr:from>
    <xdr:to>
      <xdr:col>10</xdr:col>
      <xdr:colOff>133350</xdr:colOff>
      <xdr:row>61</xdr:row>
      <xdr:rowOff>26547</xdr:rowOff>
    </xdr:to>
    <xdr:sp macro="" textlink="CALCULOS!E39">
      <xdr:nvSpPr>
        <xdr:cNvPr id="52" name="CuadroTexto 51">
          <a:extLst>
            <a:ext uri="{FF2B5EF4-FFF2-40B4-BE49-F238E27FC236}">
              <a16:creationId xmlns:a16="http://schemas.microsoft.com/office/drawing/2014/main" id="{F7159ABE-40C9-49E2-8F6A-3EDFBA791425}"/>
            </a:ext>
          </a:extLst>
        </xdr:cNvPr>
        <xdr:cNvSpPr txBox="1"/>
      </xdr:nvSpPr>
      <xdr:spPr>
        <a:xfrm>
          <a:off x="6467475" y="10561197"/>
          <a:ext cx="1571625" cy="46672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77A4A1BE-C9B4-4AF6-8C20-5679557CFE0A}" type="TxLink">
            <a:rPr lang="en-US" sz="1800" b="0" i="0" u="none" strike="noStrike">
              <a:solidFill>
                <a:srgbClr val="FF0000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0,30%</a:t>
          </a:fld>
          <a:endParaRPr lang="en-US" sz="1800" b="0" i="0" u="none" strike="noStrike">
            <a:solidFill>
              <a:srgbClr val="FF0000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twoCellAnchor editAs="absolute">
    <xdr:from>
      <xdr:col>14</xdr:col>
      <xdr:colOff>666749</xdr:colOff>
      <xdr:row>3</xdr:row>
      <xdr:rowOff>84454</xdr:rowOff>
    </xdr:from>
    <xdr:to>
      <xdr:col>15</xdr:col>
      <xdr:colOff>1219199</xdr:colOff>
      <xdr:row>11</xdr:row>
      <xdr:rowOff>174625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0" name="AREA">
              <a:extLst>
                <a:ext uri="{FF2B5EF4-FFF2-40B4-BE49-F238E27FC236}">
                  <a16:creationId xmlns:a16="http://schemas.microsoft.com/office/drawing/2014/main" id="{5844C77A-F46E-4A0C-8592-ACA7E50507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R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11324" y="627379"/>
              <a:ext cx="1990725" cy="1537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1217930</xdr:colOff>
      <xdr:row>3</xdr:row>
      <xdr:rowOff>66674</xdr:rowOff>
    </xdr:from>
    <xdr:to>
      <xdr:col>17</xdr:col>
      <xdr:colOff>590550</xdr:colOff>
      <xdr:row>11</xdr:row>
      <xdr:rowOff>133349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PROVINCIA">
              <a:extLst>
                <a:ext uri="{FF2B5EF4-FFF2-40B4-BE49-F238E27FC236}">
                  <a16:creationId xmlns:a16="http://schemas.microsoft.com/office/drawing/2014/main" id="{B01A1323-62BD-4988-9909-1452613CFA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VI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400780" y="609599"/>
              <a:ext cx="2020570" cy="1514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12</xdr:col>
      <xdr:colOff>2496184</xdr:colOff>
      <xdr:row>3</xdr:row>
      <xdr:rowOff>66675</xdr:rowOff>
    </xdr:from>
    <xdr:to>
      <xdr:col>14</xdr:col>
      <xdr:colOff>673100</xdr:colOff>
      <xdr:row>12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1" name="MES">
              <a:extLst>
                <a:ext uri="{FF2B5EF4-FFF2-40B4-BE49-F238E27FC236}">
                  <a16:creationId xmlns:a16="http://schemas.microsoft.com/office/drawing/2014/main" id="{AFF040FE-2861-48F2-B756-62B8D6D6AF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83084" y="609600"/>
              <a:ext cx="2434591" cy="1571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139094</xdr:colOff>
      <xdr:row>45</xdr:row>
      <xdr:rowOff>128359</xdr:rowOff>
    </xdr:from>
    <xdr:to>
      <xdr:col>10</xdr:col>
      <xdr:colOff>133350</xdr:colOff>
      <xdr:row>48</xdr:row>
      <xdr:rowOff>52159</xdr:rowOff>
    </xdr:to>
    <xdr:sp macro="" textlink="CALCULOS!E36">
      <xdr:nvSpPr>
        <xdr:cNvPr id="48" name="CuadroTexto 47">
          <a:extLst>
            <a:ext uri="{FF2B5EF4-FFF2-40B4-BE49-F238E27FC236}">
              <a16:creationId xmlns:a16="http://schemas.microsoft.com/office/drawing/2014/main" id="{302CD61C-447A-4389-AFBF-D32433D8BAA0}"/>
            </a:ext>
          </a:extLst>
        </xdr:cNvPr>
        <xdr:cNvSpPr txBox="1"/>
      </xdr:nvSpPr>
      <xdr:spPr>
        <a:xfrm>
          <a:off x="6463694" y="8234134"/>
          <a:ext cx="1575406" cy="466725"/>
        </a:xfrm>
        <a:prstGeom prst="rect">
          <a:avLst/>
        </a:prstGeom>
        <a:noFill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843B51F2-DF24-4B80-BA0B-26FBB1B41A86}" type="TxLink">
            <a:rPr lang="en-US" sz="1800" b="0" i="0" u="none" strike="noStrike">
              <a:solidFill>
                <a:schemeClr val="bg1"/>
              </a:solidFill>
              <a:effectLst>
                <a:glow rad="228600">
                  <a:srgbClr val="7BBABF">
                    <a:alpha val="40000"/>
                  </a:srgbClr>
                </a:glow>
                <a:outerShdw blurRad="330200" dist="50800" dir="5400000" algn="ctr" rotWithShape="0">
                  <a:srgbClr val="002060"/>
                </a:outerShdw>
              </a:effectLst>
              <a:latin typeface="Aptos Black" panose="020B0004020202020204" pitchFamily="34" charset="0"/>
              <a:ea typeface="Calibri"/>
              <a:cs typeface="Aharoni" panose="020F0502020204030204" pitchFamily="2" charset="-79"/>
            </a:rPr>
            <a:pPr marL="0" indent="0" algn="ctr"/>
            <a:t>3,91%</a:t>
          </a:fld>
          <a:endParaRPr lang="en-US" sz="1800" b="0" i="0" u="none" strike="noStrike">
            <a:solidFill>
              <a:schemeClr val="bg1"/>
            </a:solidFill>
            <a:effectLst>
              <a:glow rad="228600">
                <a:srgbClr val="7BBABF">
                  <a:alpha val="40000"/>
                </a:srgbClr>
              </a:glow>
              <a:outerShdw blurRad="330200" dist="50800" dir="5400000" algn="ctr" rotWithShape="0">
                <a:srgbClr val="002060"/>
              </a:outerShdw>
            </a:effectLst>
            <a:latin typeface="Aptos Black" panose="020B0004020202020204" pitchFamily="34" charset="0"/>
            <a:ea typeface="Calibri"/>
            <a:cs typeface="Aharoni" panose="020F0502020204030204" pitchFamily="2" charset="-79"/>
          </a:endParaRPr>
        </a:p>
      </xdr:txBody>
    </xdr:sp>
    <xdr:clientData/>
  </xdr:twoCellAnchor>
  <xdr:oneCellAnchor>
    <xdr:from>
      <xdr:col>15</xdr:col>
      <xdr:colOff>660401</xdr:colOff>
      <xdr:row>0</xdr:row>
      <xdr:rowOff>132080</xdr:rowOff>
    </xdr:from>
    <xdr:ext cx="2397760" cy="416560"/>
    <xdr:sp macro="" textlink="CALCULOS!A84">
      <xdr:nvSpPr>
        <xdr:cNvPr id="64" name="CuadroTexto 63">
          <a:extLst>
            <a:ext uri="{FF2B5EF4-FFF2-40B4-BE49-F238E27FC236}">
              <a16:creationId xmlns:a16="http://schemas.microsoft.com/office/drawing/2014/main" id="{0714ED1E-E79A-4D23-9721-CBE5BF978F1B}"/>
            </a:ext>
          </a:extLst>
        </xdr:cNvPr>
        <xdr:cNvSpPr txBox="1"/>
      </xdr:nvSpPr>
      <xdr:spPr>
        <a:xfrm>
          <a:off x="15869921" y="132080"/>
          <a:ext cx="2397760" cy="416560"/>
        </a:xfrm>
        <a:prstGeom prst="rect">
          <a:avLst/>
        </a:prstGeom>
        <a:solidFill>
          <a:srgbClr val="0F1B2D"/>
        </a:solidFill>
        <a:effectLst/>
        <a:scene3d>
          <a:camera prst="orthographicFront"/>
          <a:lightRig rig="threePt" dir="t"/>
        </a:scene3d>
        <a:sp3d extrusionH="19050" contourW="19050"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65BDDA15-00BF-442E-B2C2-D46D704E31D2}" type="TxLink">
            <a:rPr lang="en-US" sz="1600" b="1" i="0" u="none" strike="noStrike">
              <a:solidFill>
                <a:srgbClr val="EAF0F7"/>
              </a:solidFill>
              <a:effectLst>
                <a:outerShdw blurRad="88900" dist="76200" dir="5400000" algn="ctr" rotWithShape="0">
                  <a:srgbClr val="B57BC9"/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Calibri"/>
            </a:rPr>
            <a:pPr marL="0" indent="0" algn="ctr"/>
            <a:t>CORTE: 30/06/2026</a:t>
          </a:fld>
          <a:endParaRPr lang="en-US" sz="1600" b="1" i="0" u="none" strike="noStrike">
            <a:solidFill>
              <a:srgbClr val="EAF0F7"/>
            </a:solidFill>
            <a:effectLst>
              <a:outerShdw blurRad="88900" dist="76200" dir="5400000" algn="ctr" rotWithShape="0">
                <a:srgbClr val="B57BC9"/>
              </a:outerShdw>
              <a:reflection stA="45000" endPos="7000" dist="50800" dir="5400000" sy="-100000" algn="bl" rotWithShape="0"/>
            </a:effectLst>
            <a:latin typeface="Aptos Narrow"/>
            <a:ea typeface="Calibri"/>
            <a:cs typeface="Calibri"/>
          </a:endParaRPr>
        </a:p>
      </xdr:txBody>
    </xdr:sp>
    <xdr:clientData/>
  </xdr:oneCellAnchor>
  <xdr:twoCellAnchor editAs="absolute">
    <xdr:from>
      <xdr:col>1</xdr:col>
      <xdr:colOff>222250</xdr:colOff>
      <xdr:row>28</xdr:row>
      <xdr:rowOff>112394</xdr:rowOff>
    </xdr:from>
    <xdr:to>
      <xdr:col>7</xdr:col>
      <xdr:colOff>356507</xdr:colOff>
      <xdr:row>34</xdr:row>
      <xdr:rowOff>76199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5" name="ESTADO SEGÚN MORA">
              <a:extLst>
                <a:ext uri="{FF2B5EF4-FFF2-40B4-BE49-F238E27FC236}">
                  <a16:creationId xmlns:a16="http://schemas.microsoft.com/office/drawing/2014/main" id="{D4D50F43-A5A9-4B86-90F3-EA482BAA37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TADO SEGÚN MO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6907" y="5293994"/>
              <a:ext cx="4902200" cy="10306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640897</xdr:colOff>
      <xdr:row>33</xdr:row>
      <xdr:rowOff>93261</xdr:rowOff>
    </xdr:from>
    <xdr:to>
      <xdr:col>17</xdr:col>
      <xdr:colOff>314325</xdr:colOff>
      <xdr:row>38</xdr:row>
      <xdr:rowOff>155121</xdr:rowOff>
    </xdr:to>
    <xdr:sp macro="" textlink="CALCULOS!B87">
      <xdr:nvSpPr>
        <xdr:cNvPr id="73" name="CuadroTexto 72">
          <a:extLst>
            <a:ext uri="{FF2B5EF4-FFF2-40B4-BE49-F238E27FC236}">
              <a16:creationId xmlns:a16="http://schemas.microsoft.com/office/drawing/2014/main" id="{235C7D45-18F9-4163-B3B3-00D310A45A72}"/>
            </a:ext>
          </a:extLst>
        </xdr:cNvPr>
        <xdr:cNvSpPr txBox="1"/>
      </xdr:nvSpPr>
      <xdr:spPr>
        <a:xfrm>
          <a:off x="15823747" y="6027336"/>
          <a:ext cx="2321378" cy="966735"/>
        </a:xfrm>
        <a:prstGeom prst="rect">
          <a:avLst/>
        </a:prstGeom>
        <a:solidFill>
          <a:srgbClr val="1B2D45"/>
        </a:solidFill>
        <a:effectLst>
          <a:glow rad="25400">
            <a:schemeClr val="accent1">
              <a:alpha val="40000"/>
            </a:schemeClr>
          </a:glow>
        </a:effectLst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EA28F30D-5EB8-42D3-9F74-CC989D2BF4D8}" type="TxLink">
            <a:rPr lang="en-US" sz="4000" b="1" i="0" u="none" strike="noStrike">
              <a:solidFill>
                <a:srgbClr val="B57BC9"/>
              </a:solidFill>
              <a:effectLst/>
              <a:latin typeface="Aptos Narrow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21,6</a:t>
          </a:fld>
          <a:endParaRPr lang="en-US" sz="4000" b="1" i="0" u="none" strike="noStrike">
            <a:solidFill>
              <a:srgbClr val="B57BC9"/>
            </a:solidFill>
            <a:effectLst/>
            <a:latin typeface="Aptos" panose="020B0004020202020204" pitchFamily="34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15</xdr:col>
      <xdr:colOff>663504</xdr:colOff>
      <xdr:row>33</xdr:row>
      <xdr:rowOff>104323</xdr:rowOff>
    </xdr:from>
    <xdr:to>
      <xdr:col>17</xdr:col>
      <xdr:colOff>204216</xdr:colOff>
      <xdr:row>35</xdr:row>
      <xdr:rowOff>66221</xdr:rowOff>
    </xdr:to>
    <xdr:sp macro="" textlink="">
      <xdr:nvSpPr>
        <xdr:cNvPr id="25" name="CuadroTexto 5">
          <a:extLst>
            <a:ext uri="{FF2B5EF4-FFF2-40B4-BE49-F238E27FC236}">
              <a16:creationId xmlns:a16="http://schemas.microsoft.com/office/drawing/2014/main" id="{CD7470FA-F090-4802-A4C2-41D468B2809A}"/>
            </a:ext>
          </a:extLst>
        </xdr:cNvPr>
        <xdr:cNvSpPr txBox="1"/>
      </xdr:nvSpPr>
      <xdr:spPr>
        <a:xfrm>
          <a:off x="15892618" y="6167666"/>
          <a:ext cx="2196827" cy="332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AR" sz="1600" b="1">
              <a:solidFill>
                <a:srgbClr val="B57BC9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PROM.</a:t>
          </a:r>
          <a:r>
            <a:rPr lang="es-AR" sz="1600" b="1" baseline="0">
              <a:solidFill>
                <a:srgbClr val="B57BC9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 VENCIDO</a:t>
          </a:r>
          <a:endParaRPr lang="es-AR" sz="1600" b="1">
            <a:solidFill>
              <a:srgbClr val="B57BC9"/>
            </a:solidFill>
            <a:effectLst/>
            <a:latin typeface="Aharoni" panose="02010803020104030203" pitchFamily="2" charset="-79"/>
            <a:ea typeface="+mn-ea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12</xdr:col>
      <xdr:colOff>9525</xdr:colOff>
      <xdr:row>3</xdr:row>
      <xdr:rowOff>68944</xdr:rowOff>
    </xdr:from>
    <xdr:to>
      <xdr:col>12</xdr:col>
      <xdr:colOff>2495549</xdr:colOff>
      <xdr:row>12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0" name="ALERTA VENC.">
              <a:extLst>
                <a:ext uri="{FF2B5EF4-FFF2-40B4-BE49-F238E27FC236}">
                  <a16:creationId xmlns:a16="http://schemas.microsoft.com/office/drawing/2014/main" id="{A0A3F824-B689-4B7A-A4B2-A2D5FEFD9F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LERTA VENC.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96425" y="611869"/>
              <a:ext cx="2486024" cy="15884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123825</xdr:colOff>
      <xdr:row>67</xdr:row>
      <xdr:rowOff>0</xdr:rowOff>
    </xdr:to>
    <xdr:pic>
      <xdr:nvPicPr>
        <xdr:cNvPr id="70" name="Gráfico 69" descr="Expressionless face with solid fill con relleno sólido">
          <a:extLst>
            <a:ext uri="{FF2B5EF4-FFF2-40B4-BE49-F238E27FC236}">
              <a16:creationId xmlns:a16="http://schemas.microsoft.com/office/drawing/2014/main" id="{EFDDFB03-B206-A022-C57A-0C0C980A2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0" y="12087225"/>
          <a:ext cx="91440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150000</xdr:colOff>
      <xdr:row>67</xdr:row>
      <xdr:rowOff>0</xdr:rowOff>
    </xdr:from>
    <xdr:to>
      <xdr:col>1</xdr:col>
      <xdr:colOff>273825</xdr:colOff>
      <xdr:row>67</xdr:row>
      <xdr:rowOff>0</xdr:rowOff>
    </xdr:to>
    <xdr:pic>
      <xdr:nvPicPr>
        <xdr:cNvPr id="74" name="Gráfico 73" descr="Angry face with solid fill con relleno sólido">
          <a:extLst>
            <a:ext uri="{FF2B5EF4-FFF2-40B4-BE49-F238E27FC236}">
              <a16:creationId xmlns:a16="http://schemas.microsoft.com/office/drawing/2014/main" id="{F39DBEBB-6896-315C-181D-F56E38E5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150000" y="12087225"/>
          <a:ext cx="91440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123825</xdr:colOff>
      <xdr:row>67</xdr:row>
      <xdr:rowOff>0</xdr:rowOff>
    </xdr:to>
    <xdr:pic>
      <xdr:nvPicPr>
        <xdr:cNvPr id="77" name="Gráfico 76" descr="Angry face with solid fill con relleno sólido">
          <a:extLst>
            <a:ext uri="{FF2B5EF4-FFF2-40B4-BE49-F238E27FC236}">
              <a16:creationId xmlns:a16="http://schemas.microsoft.com/office/drawing/2014/main" id="{79EEDA88-176F-7794-D67E-BC6FD63A0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0" y="12087225"/>
          <a:ext cx="914400" cy="0"/>
        </a:xfrm>
        <a:prstGeom prst="rect">
          <a:avLst/>
        </a:prstGeom>
      </xdr:spPr>
    </xdr:pic>
    <xdr:clientData/>
  </xdr:twoCellAnchor>
  <xdr:twoCellAnchor>
    <xdr:from>
      <xdr:col>12</xdr:col>
      <xdr:colOff>1925411</xdr:colOff>
      <xdr:row>5</xdr:row>
      <xdr:rowOff>87086</xdr:rowOff>
    </xdr:from>
    <xdr:to>
      <xdr:col>12</xdr:col>
      <xdr:colOff>2167618</xdr:colOff>
      <xdr:row>6</xdr:row>
      <xdr:rowOff>125187</xdr:rowOff>
    </xdr:to>
    <xdr:sp macro="" textlink="">
      <xdr:nvSpPr>
        <xdr:cNvPr id="4" name="Diagrama de flujo: conector 77">
          <a:extLst>
            <a:ext uri="{FF2B5EF4-FFF2-40B4-BE49-F238E27FC236}">
              <a16:creationId xmlns:a16="http://schemas.microsoft.com/office/drawing/2014/main" id="{CA066330-78C2-6309-8A77-09628088A4DE}"/>
            </a:ext>
          </a:extLst>
        </xdr:cNvPr>
        <xdr:cNvSpPr/>
      </xdr:nvSpPr>
      <xdr:spPr>
        <a:xfrm>
          <a:off x="11412311" y="991961"/>
          <a:ext cx="242207" cy="219076"/>
        </a:xfrm>
        <a:prstGeom prst="flowChartConnector">
          <a:avLst/>
        </a:prstGeom>
        <a:solidFill>
          <a:srgbClr val="FF0000">
            <a:alpha val="9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3200" tIns="216000" rIns="43200" bIns="216000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1937659</xdr:colOff>
      <xdr:row>9</xdr:row>
      <xdr:rowOff>176893</xdr:rowOff>
    </xdr:from>
    <xdr:to>
      <xdr:col>12</xdr:col>
      <xdr:colOff>2179866</xdr:colOff>
      <xdr:row>11</xdr:row>
      <xdr:rowOff>5443</xdr:rowOff>
    </xdr:to>
    <xdr:sp macro="" textlink="">
      <xdr:nvSpPr>
        <xdr:cNvPr id="54" name="Diagrama de flujo: conector 78">
          <a:extLst>
            <a:ext uri="{FF2B5EF4-FFF2-40B4-BE49-F238E27FC236}">
              <a16:creationId xmlns:a16="http://schemas.microsoft.com/office/drawing/2014/main" id="{890A3803-AEF5-466E-91AA-17138058ED25}"/>
            </a:ext>
          </a:extLst>
        </xdr:cNvPr>
        <xdr:cNvSpPr/>
      </xdr:nvSpPr>
      <xdr:spPr>
        <a:xfrm>
          <a:off x="11424559" y="1805668"/>
          <a:ext cx="242207" cy="190500"/>
        </a:xfrm>
        <a:prstGeom prst="flowChartConnector">
          <a:avLst/>
        </a:prstGeom>
        <a:solidFill>
          <a:srgbClr val="00B050">
            <a:alpha val="9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3200" tIns="216000" rIns="43200" bIns="216000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12</xdr:col>
      <xdr:colOff>1926771</xdr:colOff>
      <xdr:row>7</xdr:row>
      <xdr:rowOff>115661</xdr:rowOff>
    </xdr:from>
    <xdr:to>
      <xdr:col>12</xdr:col>
      <xdr:colOff>2168978</xdr:colOff>
      <xdr:row>8</xdr:row>
      <xdr:rowOff>153762</xdr:rowOff>
    </xdr:to>
    <xdr:sp macro="" textlink="">
      <xdr:nvSpPr>
        <xdr:cNvPr id="66" name="Diagrama de flujo: conector 77">
          <a:extLst>
            <a:ext uri="{FF2B5EF4-FFF2-40B4-BE49-F238E27FC236}">
              <a16:creationId xmlns:a16="http://schemas.microsoft.com/office/drawing/2014/main" id="{B885F5CA-3176-4B67-B11E-74AE25A306CD}"/>
            </a:ext>
          </a:extLst>
        </xdr:cNvPr>
        <xdr:cNvSpPr/>
      </xdr:nvSpPr>
      <xdr:spPr>
        <a:xfrm>
          <a:off x="11413671" y="1382486"/>
          <a:ext cx="242207" cy="219076"/>
        </a:xfrm>
        <a:prstGeom prst="flowChartConnector">
          <a:avLst/>
        </a:prstGeom>
        <a:solidFill>
          <a:srgbClr val="FFFF00">
            <a:alpha val="96000"/>
          </a:srgb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43200" tIns="216000" rIns="43200" bIns="216000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67</xdr:row>
      <xdr:rowOff>0</xdr:rowOff>
    </xdr:from>
    <xdr:to>
      <xdr:col>9</xdr:col>
      <xdr:colOff>428625</xdr:colOff>
      <xdr:row>67</xdr:row>
      <xdr:rowOff>0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0807E334-2D7C-85D4-0FA7-6CC6FD23E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12087225"/>
          <a:ext cx="7543800" cy="0"/>
        </a:xfrm>
        <a:prstGeom prst="rect">
          <a:avLst/>
        </a:prstGeom>
      </xdr:spPr>
    </xdr:pic>
    <xdr:clientData/>
  </xdr:twoCellAnchor>
  <xdr:twoCellAnchor editAs="absolute">
    <xdr:from>
      <xdr:col>5</xdr:col>
      <xdr:colOff>761999</xdr:colOff>
      <xdr:row>4</xdr:row>
      <xdr:rowOff>140608</xdr:rowOff>
    </xdr:from>
    <xdr:to>
      <xdr:col>10</xdr:col>
      <xdr:colOff>133349</xdr:colOff>
      <xdr:row>10</xdr:row>
      <xdr:rowOff>152400</xdr:rowOff>
    </xdr:to>
    <xdr:sp macro="" textlink="CALCULOS!H9">
      <xdr:nvSpPr>
        <xdr:cNvPr id="6" name="CuadroTexto 5">
          <a:extLst>
            <a:ext uri="{FF2B5EF4-FFF2-40B4-BE49-F238E27FC236}">
              <a16:creationId xmlns:a16="http://schemas.microsoft.com/office/drawing/2014/main" id="{43B7647B-68CC-49C6-9661-DA76993E637C}"/>
            </a:ext>
          </a:extLst>
        </xdr:cNvPr>
        <xdr:cNvSpPr txBox="1"/>
      </xdr:nvSpPr>
      <xdr:spPr>
        <a:xfrm>
          <a:off x="4714874" y="864508"/>
          <a:ext cx="3324225" cy="1097642"/>
        </a:xfrm>
        <a:prstGeom prst="rect">
          <a:avLst/>
        </a:prstGeom>
        <a:solidFill>
          <a:srgbClr val="1B2D45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722E195F-3D02-4840-AA7D-F445F0EB1C1C}" type="TxLink">
            <a:rPr lang="en-US" sz="3600" b="1" i="0" u="none" strike="noStrike">
              <a:solidFill>
                <a:srgbClr val="F0A500"/>
              </a:solidFill>
              <a:effectLst/>
              <a:latin typeface="Aptos Narrow"/>
              <a:ea typeface="ADLaM Display" panose="02010000000000000000" pitchFamily="2" charset="0"/>
              <a:cs typeface="ADLaM Display" panose="02010000000000000000" pitchFamily="2" charset="0"/>
            </a:rPr>
            <a:pPr marL="0" indent="0" algn="ctr"/>
            <a:t> USD 69.693 </a:t>
          </a:fld>
          <a:endParaRPr lang="en-US" sz="3600" b="1" i="0" u="none" strike="noStrike">
            <a:solidFill>
              <a:srgbClr val="F0A500"/>
            </a:solidFill>
            <a:effectLst/>
            <a:latin typeface="Aptos Narrow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5</xdr:col>
      <xdr:colOff>713195</xdr:colOff>
      <xdr:row>5</xdr:row>
      <xdr:rowOff>31296</xdr:rowOff>
    </xdr:from>
    <xdr:to>
      <xdr:col>10</xdr:col>
      <xdr:colOff>193675</xdr:colOff>
      <xdr:row>6</xdr:row>
      <xdr:rowOff>104321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7AB2AC97-1741-4FE6-AFD4-1E25FD9F8A8C}"/>
            </a:ext>
          </a:extLst>
        </xdr:cNvPr>
        <xdr:cNvSpPr txBox="1"/>
      </xdr:nvSpPr>
      <xdr:spPr>
        <a:xfrm>
          <a:off x="4650195" y="920296"/>
          <a:ext cx="341748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s-AR" sz="2000" b="1">
              <a:solidFill>
                <a:srgbClr val="EAF0F7"/>
              </a:solidFill>
              <a:effectLst/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TOTAL CARTERA VENCIDA</a:t>
          </a:r>
        </a:p>
      </xdr:txBody>
    </xdr:sp>
    <xdr:clientData/>
  </xdr:twoCellAnchor>
  <xdr:oneCellAnchor>
    <xdr:from>
      <xdr:col>1</xdr:col>
      <xdr:colOff>19050</xdr:colOff>
      <xdr:row>17</xdr:row>
      <xdr:rowOff>66675</xdr:rowOff>
    </xdr:from>
    <xdr:ext cx="7991476" cy="1847850"/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73C8C5E9-F190-4B54-A69C-3489ABE2F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oneCellAnchor>
  <xdr:twoCellAnchor>
    <xdr:from>
      <xdr:col>12</xdr:col>
      <xdr:colOff>342900</xdr:colOff>
      <xdr:row>38</xdr:row>
      <xdr:rowOff>115659</xdr:rowOff>
    </xdr:from>
    <xdr:to>
      <xdr:col>16</xdr:col>
      <xdr:colOff>800099</xdr:colOff>
      <xdr:row>56</xdr:row>
      <xdr:rowOff>38100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7D01AD2D-098A-4967-A323-494C22296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76200</xdr:colOff>
          <xdr:row>38</xdr:row>
          <xdr:rowOff>175260</xdr:rowOff>
        </xdr:from>
        <xdr:to>
          <xdr:col>17</xdr:col>
          <xdr:colOff>297180</xdr:colOff>
          <xdr:row>55</xdr:row>
          <xdr:rowOff>99060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12</xdr:col>
      <xdr:colOff>47625</xdr:colOff>
      <xdr:row>56</xdr:row>
      <xdr:rowOff>76201</xdr:rowOff>
    </xdr:from>
    <xdr:ext cx="8667750" cy="1485900"/>
    <xdr:graphicFrame macro="">
      <xdr:nvGraphicFramePr>
        <xdr:cNvPr id="15" name="Chart 2">
          <a:extLst>
            <a:ext uri="{FF2B5EF4-FFF2-40B4-BE49-F238E27FC236}">
              <a16:creationId xmlns:a16="http://schemas.microsoft.com/office/drawing/2014/main" id="{BD76F6F4-37E8-4965-8373-97E291B6C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oneCellAnchor>
  <xdr:oneCellAnchor>
    <xdr:from>
      <xdr:col>7</xdr:col>
      <xdr:colOff>144418</xdr:colOff>
      <xdr:row>8</xdr:row>
      <xdr:rowOff>111579</xdr:rowOff>
    </xdr:from>
    <xdr:ext cx="1808208" cy="318588"/>
    <xdr:sp macro="" textlink="CALCULOS!H11">
      <xdr:nvSpPr>
        <xdr:cNvPr id="39" name="CuadroTexto 38">
          <a:extLst>
            <a:ext uri="{FF2B5EF4-FFF2-40B4-BE49-F238E27FC236}">
              <a16:creationId xmlns:a16="http://schemas.microsoft.com/office/drawing/2014/main" id="{14B00095-B438-4006-9422-F5DFC9BFB4F1}"/>
            </a:ext>
          </a:extLst>
        </xdr:cNvPr>
        <xdr:cNvSpPr txBox="1"/>
      </xdr:nvSpPr>
      <xdr:spPr>
        <a:xfrm>
          <a:off x="5678443" y="1559379"/>
          <a:ext cx="1808208" cy="318588"/>
        </a:xfrm>
        <a:prstGeom prst="rect">
          <a:avLst/>
        </a:prstGeom>
        <a:noFill/>
        <a:ln>
          <a:noFill/>
        </a:ln>
        <a:effectLst/>
        <a:scene3d>
          <a:camera prst="orthographicFront"/>
          <a:lightRig rig="threePt" dir="t"/>
        </a:scene3d>
        <a:sp3d>
          <a:bevelT w="0" h="6350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324000" tIns="108000" rIns="288000" rtlCol="0" anchor="ctr">
          <a:noAutofit/>
        </a:bodyPr>
        <a:lstStyle/>
        <a:p>
          <a:pPr marL="0" indent="0" algn="ctr"/>
          <a:fld id="{14E54244-06CB-431D-8A3B-5AC4732758BF}" type="TxLink">
            <a:rPr lang="en-US" sz="1600" b="1" i="0" u="none" strike="noStrike">
              <a:solidFill>
                <a:srgbClr val="EBC279"/>
              </a:solidFill>
              <a:effectLst>
                <a:outerShdw blurRad="88900" dist="76200" dir="5400000" algn="ctr" rotWithShape="0">
                  <a:srgbClr val="B57BC9"/>
                </a:outerShdw>
                <a:reflection stA="45000" endPos="7000" dist="50800" dir="5400000" sy="-100000" algn="bl" rotWithShape="0"/>
              </a:effectLst>
              <a:latin typeface="Aptos Narrow"/>
              <a:ea typeface="Calibri"/>
              <a:cs typeface="Arial"/>
            </a:rPr>
            <a:pPr marL="0" indent="0" algn="ctr"/>
            <a:t>23,3%</a:t>
          </a:fld>
          <a:endParaRPr lang="en-US" sz="1600" b="1" u="none" strike="noStrike">
            <a:solidFill>
              <a:srgbClr val="EBC279"/>
            </a:solidFill>
            <a:effectLst>
              <a:outerShdw blurRad="88900" dist="76200" dir="5400000" algn="ctr" rotWithShape="0">
                <a:srgbClr val="B57BC9"/>
              </a:outerShdw>
              <a:reflection stA="45000" endPos="7000" dist="50800" dir="5400000" sy="-100000" algn="bl" rotWithShape="0"/>
            </a:effectLst>
            <a:ea typeface="Calibri"/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0.17352</cdr:x>
      <cdr:y>0.34574</cdr:y>
    </cdr:from>
    <cdr:to>
      <cdr:x>0.72146</cdr:x>
      <cdr:y>0.98404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F5F0C1B6-4C60-4CA9-B233-2B673D940847}"/>
            </a:ext>
          </a:extLst>
        </cdr:cNvPr>
        <cdr:cNvSpPr txBox="1"/>
      </cdr:nvSpPr>
      <cdr:spPr>
        <a:xfrm xmlns:a="http://schemas.openxmlformats.org/drawingml/2006/main">
          <a:off x="289560" y="4953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AR" sz="1100" kern="1200"/>
        </a:p>
      </cdr:txBody>
    </cdr:sp>
  </cdr:relSizeAnchor>
  <cdr:relSizeAnchor xmlns:cdr="http://schemas.openxmlformats.org/drawingml/2006/chartDrawing">
    <cdr:from>
      <cdr:x>0.21918</cdr:x>
      <cdr:y>0.3617</cdr:y>
    </cdr:from>
    <cdr:to>
      <cdr:x>0.76712</cdr:x>
      <cdr:y>1</cdr:y>
    </cdr:to>
    <cdr:sp macro="" textlink="">
      <cdr:nvSpPr>
        <cdr:cNvPr id="3" name="CuadroTexto 2">
          <a:extLst xmlns:a="http://schemas.openxmlformats.org/drawingml/2006/main">
            <a:ext uri="{FF2B5EF4-FFF2-40B4-BE49-F238E27FC236}">
              <a16:creationId xmlns:a16="http://schemas.microsoft.com/office/drawing/2014/main" id="{B5AC4D9F-69AB-B21C-187C-474C78AC815A}"/>
            </a:ext>
          </a:extLst>
        </cdr:cNvPr>
        <cdr:cNvSpPr txBox="1"/>
      </cdr:nvSpPr>
      <cdr:spPr>
        <a:xfrm xmlns:a="http://schemas.openxmlformats.org/drawingml/2006/main">
          <a:off x="365760" y="60960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AR" sz="1100" kern="12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0.54628</cdr:x>
      <cdr:y>0.05579</cdr:y>
    </cdr:from>
    <cdr:to>
      <cdr:x>0.75692</cdr:x>
      <cdr:y>0.21719</cdr:y>
    </cdr:to>
    <cdr:sp macro="" textlink="">
      <cdr:nvSpPr>
        <cdr:cNvPr id="2" name="CuadroTexto 55">
          <a:extLst xmlns:a="http://schemas.openxmlformats.org/drawingml/2006/main">
            <a:ext uri="{FF2B5EF4-FFF2-40B4-BE49-F238E27FC236}">
              <a16:creationId xmlns:a16="http://schemas.microsoft.com/office/drawing/2014/main" id="{9A52C52E-00FD-4E46-9957-20DB03F8C010}"/>
            </a:ext>
          </a:extLst>
        </cdr:cNvPr>
        <cdr:cNvSpPr txBox="1"/>
      </cdr:nvSpPr>
      <cdr:spPr>
        <a:xfrm xmlns:a="http://schemas.openxmlformats.org/drawingml/2006/main">
          <a:off x="2585290" y="147332"/>
          <a:ext cx="996868" cy="426232"/>
        </a:xfrm>
        <a:prstGeom xmlns:a="http://schemas.openxmlformats.org/drawingml/2006/main" prst="rect">
          <a:avLst/>
        </a:prstGeom>
        <a:noFill xmlns:a="http://schemas.openxmlformats.org/drawingml/2006/main"/>
        <a:scene3d xmlns:a="http://schemas.openxmlformats.org/drawingml/2006/main">
          <a:camera prst="orthographicFront"/>
          <a:lightRig rig="threePt" dir="t"/>
        </a:scene3d>
        <a:sp3d xmlns:a="http://schemas.openxmlformats.org/drawingml/2006/main">
          <a:bevelT/>
        </a:sp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324000" tIns="108000" rIns="28800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9E67EB5F-069C-4282-BA72-B5F322C21CD1}" type="TxLink">
            <a:rPr lang="en-US" sz="1100" b="1" i="0" u="none" strike="noStrike">
              <a:solidFill>
                <a:srgbClr val="0F1B2D"/>
              </a:solidFill>
              <a:effectLst>
                <a:glow rad="228600">
                  <a:srgbClr val="EAF0F7">
                    <a:alpha val="40000"/>
                  </a:srgbClr>
                </a:glow>
                <a:outerShdw blurRad="330200" dist="50800" dir="5400000" algn="ctr" rotWithShape="0">
                  <a:srgbClr val="FFC000"/>
                </a:outerShdw>
              </a:effectLst>
              <a:latin typeface="Aptos Narrow"/>
              <a:ea typeface="Calibri"/>
              <a:cs typeface="Aharoni" panose="020F0502020204030204" pitchFamily="2" charset="-79"/>
            </a:rPr>
            <a:pPr marL="0" indent="0" algn="ctr"/>
            <a:t>1,5%</a:t>
          </a:fld>
          <a:endParaRPr lang="en-US" sz="1100" b="1" i="0" u="none" strike="noStrike">
            <a:solidFill>
              <a:srgbClr val="0F1B2D"/>
            </a:solidFill>
            <a:effectLst>
              <a:glow rad="228600">
                <a:srgbClr val="EAF0F7">
                  <a:alpha val="40000"/>
                </a:srgbClr>
              </a:glow>
              <a:outerShdw blurRad="330200" dist="50800" dir="5400000" algn="ctr" rotWithShape="0">
                <a:srgbClr val="FFC000"/>
              </a:outerShdw>
            </a:effectLst>
            <a:latin typeface="Aptos Narrow"/>
            <a:ea typeface="Calibri"/>
            <a:cs typeface="Aharoni" panose="020F0502020204030204" pitchFamily="2" charset="-79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138060</xdr:rowOff>
    </xdr:from>
    <xdr:ext cx="4671060" cy="2704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D3ADFD-0CAA-4556-9416-74BCCBA612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7620</xdr:colOff>
      <xdr:row>15</xdr:row>
      <xdr:rowOff>152400</xdr:rowOff>
    </xdr:from>
    <xdr:ext cx="4556760" cy="269748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914081-AA09-43FC-B505-F37657B9F9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350520</xdr:colOff>
      <xdr:row>15</xdr:row>
      <xdr:rowOff>138060</xdr:rowOff>
    </xdr:from>
    <xdr:ext cx="4564380" cy="272706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AFF5EE-94AA-4B1C-95FA-A54D1CFAC4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086.593413541668" backgroundQuery="1" createdVersion="8" refreshedVersion="8" minRefreshableVersion="3" recordCount="0" supportSubquery="1" supportAdvancedDrill="1" xr:uid="{CA5AF253-CF85-4622-AA2C-A3CF212755D3}">
  <cacheSource type="external" connectionId="1"/>
  <cacheFields count="2">
    <cacheField name="[FACTURADO].[MES2].[MES2]" caption="MES2" numFmtId="0" hierarchy="71" level="1">
      <sharedItems count="5">
        <s v="DIC-12"/>
        <s v="ENE-01"/>
        <s v="FEB-02"/>
        <s v="NOV-11"/>
        <s v="OCT-10"/>
      </sharedItems>
    </cacheField>
    <cacheField name="[Measures].[Suma de IMPORTE EN DÓLAR OFICIAL]" caption="Suma de IMPORTE EN DÓLAR OFICIAL" numFmtId="0" hierarchy="107" level="32767"/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0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0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0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0" memberValueDatatype="130" unbalanced="0"/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0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2" memberValueDatatype="130" unbalanced="0">
      <fieldsUsage count="2">
        <fieldUsage x="-1"/>
        <fieldUsage x="0"/>
      </fieldsUsage>
    </cacheHierarchy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5.821720717591" backgroundQuery="1" createdVersion="8" refreshedVersion="8" minRefreshableVersion="3" recordCount="0" supportSubquery="1" supportAdvancedDrill="1" xr:uid="{D0EAFDE4-A056-410A-8429-3231B8F2A2D8}">
  <cacheSource type="external" connectionId="1"/>
  <cacheFields count="2">
    <cacheField name="[COMPOSICIONSALDOneo].[MES].[MES]" caption="MES" numFmtId="0" hierarchy="49" level="1">
      <sharedItems count="8">
        <s v="ABR-04"/>
        <s v="AGO-08"/>
        <s v="ENE-01"/>
        <s v="JUL-07"/>
        <s v="JUN-06"/>
        <s v="MAR-03"/>
        <s v="MAY-05"/>
        <s v="SEPT-09"/>
      </sharedItems>
    </cacheField>
    <cacheField name="[Measures].[Suma de IMP. SECUNDARIO 2]" caption="Suma de IMP. SECUNDARIO 2" numFmtId="0" hierarchy="109" level="32767"/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0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0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0" memberValueDatatype="130" unbalanced="0"/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0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5601853" backgroundQuery="1" createdVersion="8" refreshedVersion="8" minRefreshableVersion="3" recordCount="0" supportSubquery="1" supportAdvancedDrill="1" xr:uid="{9F54BA3A-B3C3-42C8-8CA9-266116F3E3B5}">
  <cacheSource type="external" connectionId="1"/>
  <cacheFields count="3">
    <cacheField name="[COMPOSICIONSALDOneo].[ESTADO SEGÚN MORA].[ESTADO SEGÚN MORA]" caption="ESTADO SEGÚN MORA" numFmtId="0" hierarchy="50" level="1">
      <sharedItems count="6">
        <s v="NO VENCIDO"/>
        <s v="VENCIDO 30"/>
        <s v="VENCIDO 60"/>
        <s v="VENCIDO 90"/>
        <s v="VENCIDO&lt;30"/>
        <s v="VENCIDO&gt;150"/>
      </sharedItems>
    </cacheField>
    <cacheField name="[Measures].[Suma de IMP. SECUNDARIO 2]" caption="Suma de IMP. SECUNDARIO 2" numFmtId="0" hierarchy="109" level="32767"/>
    <cacheField name="[COMPOSICIONSALDOneo].[PROVINCIA].[PROVINCIA]" caption="PROVINCIA" numFmtId="0" hierarchy="53" level="1">
      <sharedItems containsSemiMixedTypes="0" containsNonDate="0" containsString="0"/>
    </cacheField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2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5949076" backgroundQuery="1" createdVersion="8" refreshedVersion="8" minRefreshableVersion="3" recordCount="0" supportSubquery="1" supportAdvancedDrill="1" xr:uid="{B1A308A1-5623-4C81-B1B6-A000FA8A3661}">
  <cacheSource type="external" connectionId="1"/>
  <cacheFields count="3">
    <cacheField name="[COMPOSICIONSALDOneo].[AREA].[AREA]" caption="AREA" numFmtId="0" hierarchy="52" level="1">
      <sharedItems count="4">
        <s v="COBRANZAS"/>
        <s v="MAQUINAS"/>
        <s v="REPUESTOS"/>
        <s v="SERVICIOS"/>
      </sharedItems>
    </cacheField>
    <cacheField name="[Measures].[Suma de IMP. SECUNDARIO 2]" caption="Suma de IMP. SECUNDARIO 2" numFmtId="0" hierarchy="109" level="32767"/>
    <cacheField name="[COMPOSICIONSALDOneo].[PROVINCIA].[PROVINCIA]" caption="PROVINCIA" numFmtId="0" hierarchy="53" level="1">
      <sharedItems containsSemiMixedTypes="0" containsNonDate="0" containsString="0"/>
    </cacheField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2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6296299" backgroundQuery="1" createdVersion="8" refreshedVersion="8" minRefreshableVersion="3" recordCount="0" supportSubquery="1" supportAdvancedDrill="1" xr:uid="{67C8DE53-ABB6-435D-8C5B-16A4077B81AD}">
  <cacheSource type="external" connectionId="1"/>
  <cacheFields count="2">
    <cacheField name="[COMPOSICIONSALDOneo].[PROVINCIA].[PROVINCIA]" caption="PROVINCIA" numFmtId="0" hierarchy="53" level="1">
      <sharedItems count="5">
        <s v="Catamarca"/>
        <s v="Jujuy"/>
        <s v="Salta"/>
        <s v="Santiago del Estero"/>
        <s v="Tucuman"/>
      </sharedItems>
    </cacheField>
    <cacheField name="[Measures].[Suma de IMP. SECUNDARIO 2]" caption="Suma de IMP. SECUNDARIO 2" numFmtId="0" hierarchy="109" level="32767"/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6643515" backgroundQuery="1" createdVersion="8" refreshedVersion="8" minRefreshableVersion="3" recordCount="0" supportSubquery="1" supportAdvancedDrill="1" xr:uid="{9526FF54-7EDE-40DF-BF31-AB8CA80D3DA4}">
  <cacheSource type="external" connectionId="1"/>
  <cacheFields count="3">
    <cacheField name="[COMPOSICIONSALDOneo].[ESTADO SEGÚN MORA].[ESTADO SEGÚN MORA]" caption="ESTADO SEGÚN MORA" numFmtId="0" hierarchy="50" level="1">
      <sharedItems count="6">
        <s v="NO VENCIDO"/>
        <s v="VENCIDO 30"/>
        <s v="VENCIDO 60"/>
        <s v="VENCIDO 90"/>
        <s v="VENCIDO&lt;30"/>
        <s v="VENCIDO&gt;150"/>
      </sharedItems>
    </cacheField>
    <cacheField name="[Measures].[Suma de IMP. SECUNDARIO 2]" caption="Suma de IMP. SECUNDARIO 2" numFmtId="0" hierarchy="109" level="32767"/>
    <cacheField name="[COMPOSICIONSALDOneo].[PROVINCIA].[PROVINCIA]" caption="PROVINCIA" numFmtId="0" hierarchy="53" level="1">
      <sharedItems containsSemiMixedTypes="0" containsNonDate="0" containsString="0"/>
    </cacheField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2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6990739" backgroundQuery="1" createdVersion="8" refreshedVersion="8" minRefreshableVersion="3" recordCount="0" supportSubquery="1" supportAdvancedDrill="1" xr:uid="{4483DF1A-9358-44E8-B2F9-81439FC4E7ED}">
  <cacheSource type="external" connectionId="1"/>
  <cacheFields count="3">
    <cacheField name="[COMPOSICIONSALDOneo].[CLIENTE].[CLIENTE]" caption="CLIENTE" numFmtId="0" hierarchy="37" level="1">
      <sharedItems count="36">
        <s v="Cliente 11"/>
        <s v="Cliente 13"/>
        <s v="Cliente 15"/>
        <s v="Cliente 17"/>
        <s v="Cliente 18"/>
        <s v="Cliente 19"/>
        <s v="Cliente 2"/>
        <s v="Cliente 20"/>
        <s v="Cliente 22"/>
        <s v="Cliente 23"/>
        <s v="Cliente 25"/>
        <s v="Cliente 27"/>
        <s v="Cliente 30"/>
        <s v="Cliente 31"/>
        <s v="Cliente 32"/>
        <s v="Cliente 34"/>
        <s v="Cliente 35"/>
        <s v="Cliente 36"/>
        <s v="Cliente 38"/>
        <s v="Cliente 4"/>
        <s v="Cliente 41"/>
        <s v="Cliente 42"/>
        <s v="Cliente 44"/>
        <s v="Cliente 46"/>
        <s v="Cliente 47"/>
        <s v="Cliente 5"/>
        <s v="Cliente 51"/>
        <s v="Cliente 52"/>
        <s v="Cliente 53"/>
        <s v="Cliente 54"/>
        <s v="Cliente 55"/>
        <s v="Cliente 57"/>
        <s v="Cliente 58"/>
        <s v="Cliente 59"/>
        <s v="Cliente 60"/>
        <s v="Cliente 7"/>
      </sharedItems>
    </cacheField>
    <cacheField name="[Measures].[Suma de IMP. SECUNDARIO 2]" caption="Suma de IMP. SECUNDARIO 2" numFmtId="0" hierarchy="109" level="32767"/>
    <cacheField name="[COMPOSICIONSALDOneo].[PROVINCIA].[PROVINCIA]" caption="PROVINCIA" numFmtId="0" hierarchy="53" level="1">
      <sharedItems containsSemiMixedTypes="0" containsNonDate="0" containsString="0"/>
    </cacheField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2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6.553347569446" backgroundQuery="1" createdVersion="8" refreshedVersion="8" minRefreshableVersion="3" recordCount="0" supportSubquery="1" supportAdvancedDrill="1" xr:uid="{6FCEF532-5E6A-425B-B500-80664AFF537F}">
  <cacheSource type="external" connectionId="1"/>
  <cacheFields count="5">
    <cacheField name="[COMPOSICIONSALDOneo].[CLIENTE].[CLIENTE]" caption="CLIENTE" numFmtId="0" hierarchy="37" level="1">
      <sharedItems count="36">
        <s v="Cliente 11"/>
        <s v="Cliente 13"/>
        <s v="Cliente 15"/>
        <s v="Cliente 17"/>
        <s v="Cliente 18"/>
        <s v="Cliente 19"/>
        <s v="Cliente 2"/>
        <s v="Cliente 20"/>
        <s v="Cliente 22"/>
        <s v="Cliente 23"/>
        <s v="Cliente 25"/>
        <s v="Cliente 27"/>
        <s v="Cliente 30"/>
        <s v="Cliente 31"/>
        <s v="Cliente 32"/>
        <s v="Cliente 34"/>
        <s v="Cliente 35"/>
        <s v="Cliente 36"/>
        <s v="Cliente 38"/>
        <s v="Cliente 4"/>
        <s v="Cliente 41"/>
        <s v="Cliente 42"/>
        <s v="Cliente 44"/>
        <s v="Cliente 46"/>
        <s v="Cliente 47"/>
        <s v="Cliente 5"/>
        <s v="Cliente 51"/>
        <s v="Cliente 52"/>
        <s v="Cliente 53"/>
        <s v="Cliente 54"/>
        <s v="Cliente 55"/>
        <s v="Cliente 57"/>
        <s v="Cliente 58"/>
        <s v="Cliente 59"/>
        <s v="Cliente 60"/>
        <s v="Cliente 7"/>
      </sharedItems>
    </cacheField>
    <cacheField name="[COMPOSICIONSALDOneo].[ESTADO SEGÚN MORA].[ESTADO SEGÚN MORA]" caption="ESTADO SEGÚN MORA" numFmtId="0" hierarchy="50" level="1">
      <sharedItems count="6">
        <s v="NO VENCIDO"/>
        <s v="VENCIDO 30"/>
        <s v="VENCIDO 60"/>
        <s v="VENCIDO 90"/>
        <s v="VENCIDO&lt;30"/>
        <s v="VENCIDO&gt;150"/>
      </sharedItems>
    </cacheField>
    <cacheField name="[Measures].[Suma de IMP. SECUNDARIO 2]" caption="Suma de IMP. SECUNDARIO 2" numFmtId="0" hierarchy="109" level="32767"/>
    <cacheField name="[COMPOSICIONSALDOneo].[COMPROBANTE].[COMPROBANTE]" caption="COMPROBANTE" numFmtId="0" hierarchy="38" level="1">
      <sharedItems count="16">
        <s v="A-0025-00000067"/>
        <s v="A-0025-00000049" u="1"/>
        <s v="A-0025-00000001" u="1"/>
        <s v="A-0025-00000022" u="1"/>
        <s v="A-0025-00000026" u="1"/>
        <s v="A-0025-00000040" u="1"/>
        <s v="A-0025-00000054" u="1"/>
        <s v="A-0025-00000042" u="1"/>
        <s v="A-0025-00000052" u="1"/>
        <s v="A-0025-00000045" u="1"/>
        <s v="A-0025-00000056" u="1"/>
        <s v="A-0025-00000050" u="1"/>
        <s v="A-0025-00000053" u="1"/>
        <s v="A-0025-00000055" u="1"/>
        <s v="A-0025-00000057" u="1"/>
        <s v="A-0025-00000051" u="1"/>
      </sharedItems>
    </cacheField>
    <cacheField name="[COMPOSICIONSALDOneo].[PROVINCIA].[PROVINCIA]" caption="PROVINCIA" numFmtId="0" hierarchy="53" level="1">
      <sharedItems containsSemiMixedTypes="0" containsNonDate="0" containsString="0"/>
    </cacheField>
  </cacheFields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2" memberValueDatatype="130" unbalanced="0">
      <fieldsUsage count="2">
        <fieldUsage x="-1"/>
        <fieldUsage x="0"/>
      </fieldsUsage>
    </cacheHierarchy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2" memberValueDatatype="130" unbalanced="0">
      <fieldsUsage count="2">
        <fieldUsage x="-1"/>
        <fieldUsage x="3"/>
      </fieldsUsage>
    </cacheHierarchy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>
      <fieldsUsage count="2">
        <fieldUsage x="-1"/>
        <fieldUsage x="1"/>
      </fieldsUsage>
    </cacheHierarchy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>
      <fieldsUsage count="2">
        <fieldUsage x="-1"/>
        <fieldUsage x="4"/>
      </fieldsUsage>
    </cacheHierarchy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dimensions count="8">
    <dimension name="calendario" uniqueName="[calendario]" caption="calendario"/>
    <dimension name="COBRADO" uniqueName="[COBRADO]" caption="COBRADO"/>
    <dimension name="COMPOSICIONSALDO" uniqueName="[COMPOSICIONSALDO]" caption="COMPOSICIONSALDO"/>
    <dimension name="COMPOSICIONSALDOneo" uniqueName="[COMPOSICIONSALDOneo]" caption="COMPOSICIONSALDOneo"/>
    <dimension name="FACTURADO" uniqueName="[FACTURADO]" caption="FACTURADO"/>
    <dimension measure="1" name="Measures" uniqueName="[Measures]" caption="Measures"/>
    <dimension name="Tabla10" uniqueName="[Tabla10]" caption="Tabla10"/>
    <dimension name="Tabla4" uniqueName="[Tabla4]" caption="Tabla4"/>
  </dimensions>
  <measureGroups count="7">
    <measureGroup name="calendario" caption="calendario"/>
    <measureGroup name="COBRADO" caption="COBRADO"/>
    <measureGroup name="COMPOSICIONSALDO" caption="COMPOSICIONSALDO"/>
    <measureGroup name="COMPOSICIONSALDOneo" caption="COMPOSICIONSALDOneo"/>
    <measureGroup name="FACTURADO" caption="FACTURADO"/>
    <measureGroup name="Tabla10" caption="Tabla10"/>
    <measureGroup name="Tabla4" caption="Tabla4"/>
  </measureGroups>
  <maps count="10">
    <map measureGroup="0" dimension="0"/>
    <map measureGroup="1" dimension="0"/>
    <map measureGroup="1" dimension="1"/>
    <map measureGroup="2" dimension="0"/>
    <map measureGroup="2" dimension="2"/>
    <map measureGroup="3" dimension="3"/>
    <map measureGroup="4" dimension="0"/>
    <map measureGroup="4" dimension="4"/>
    <map measureGroup="5" dimension="6"/>
    <map measureGroup="6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b-lervolino1" refreshedDate="46205.821722222223" backgroundQuery="1" createdVersion="3" refreshedVersion="8" minRefreshableVersion="3" recordCount="0" supportSubquery="1" supportAdvancedDrill="1" xr:uid="{F357F63F-35F6-4826-AD3C-D8851446DA66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12">
    <cacheHierarchy uniqueName="[calendario].[Mes]" caption="Mes" attribute="1" defaultMemberUniqueName="[calendario].[Mes].[All]" allUniqueName="[calendario].[Mes].[All]" dimensionUniqueName="[calendario]" displayFolder="" count="0" memberValueDatatype="130" unbalanced="0"/>
    <cacheHierarchy uniqueName="[COBRADO].[Comprobante]" caption="Comprobante" attribute="1" defaultMemberUniqueName="[COBRADO].[Comprobante].[All]" allUniqueName="[COBRADO].[Comprobante].[All]" dimensionUniqueName="[COBRADO]" displayFolder="" count="0" memberValueDatatype="130" unbalanced="0"/>
    <cacheHierarchy uniqueName="[COBRADO].[Cliente]" caption="Cliente" attribute="1" defaultMemberUniqueName="[COBRADO].[Cliente].[All]" allUniqueName="[COBRADO].[Cliente].[All]" dimensionUniqueName="[COBRADO]" displayFolder="" count="0" memberValueDatatype="130" unbalanced="0"/>
    <cacheHierarchy uniqueName="[COBRADO].[Cuenta]" caption="Cuenta" attribute="1" defaultMemberUniqueName="[COBRADO].[Cuenta].[All]" allUniqueName="[COBRADO].[Cuenta].[All]" dimensionUniqueName="[COBRADO]" displayFolder="" count="0" memberValueDatatype="130" unbalanced="0"/>
    <cacheHierarchy uniqueName="[COBRADO].[Operacionbancaria]" caption="Operacionbancaria" attribute="1" defaultMemberUniqueName="[COBRADO].[Operacionbancaria].[All]" allUniqueName="[COBRADO].[Operacionbancaria].[All]" dimensionUniqueName="[COBRADO]" displayFolder="" count="0" memberValueDatatype="130" unbalanced="0"/>
    <cacheHierarchy uniqueName="[COBRADO].[Número]" caption="Número" attribute="1" defaultMemberUniqueName="[COBRADO].[Número].[All]" allUniqueName="[COBRADO].[Número].[All]" dimensionUniqueName="[COBRADO]" displayFolder="" count="0" memberValueDatatype="130" unbalanced="0"/>
    <cacheHierarchy uniqueName="[COBRADO].[Fechaemisioncheque]" caption="Fechaemisioncheque" attribute="1" time="1" defaultMemberUniqueName="[COBRADO].[Fechaemisioncheque].[All]" allUniqueName="[COBRADO].[Fechaemisioncheque].[All]" dimensionUniqueName="[COBRADO]" displayFolder="" count="0" memberValueDatatype="7" unbalanced="0"/>
    <cacheHierarchy uniqueName="[COBRADO].[Fecha vto]" caption="Fecha vto" attribute="1" defaultMemberUniqueName="[COBRADO].[Fecha vto].[All]" allUniqueName="[COBRADO].[Fecha vto].[All]" dimensionUniqueName="[COBRADO]" displayFolder="" count="0" memberValueDatatype="130" unbalanced="0"/>
    <cacheHierarchy uniqueName="[COBRADO].[Cuitlibrador]" caption="Cuitlibrador" attribute="1" defaultMemberUniqueName="[COBRADO].[Cuitlibrador].[All]" allUniqueName="[COBRADO].[Cuitlibrador].[All]" dimensionUniqueName="[COBRADO]" displayFolder="" count="0" memberValueDatatype="130" unbalanced="0"/>
    <cacheHierarchy uniqueName="[COBRADO].[Banco]" caption="Banco" attribute="1" defaultMemberUniqueName="[COBRADO].[Banco].[All]" allUniqueName="[COBRADO].[Banco].[All]" dimensionUniqueName="[COBRADO]" displayFolder="" count="0" memberValueDatatype="130" unbalanced="0"/>
    <cacheHierarchy uniqueName="[COBRADO].[Importe1]" caption="Importe1" attribute="1" defaultMemberUniqueName="[COBRADO].[Importe1].[All]" allUniqueName="[COBRADO].[Importe1].[All]" dimensionUniqueName="[COBRADO]" displayFolder="" count="0" memberValueDatatype="5" unbalanced="0"/>
    <cacheHierarchy uniqueName="[COBRADO].[Fechacobranza]" caption="Fechacobranza" attribute="1" time="1" defaultMemberUniqueName="[COBRADO].[Fechacobranza].[All]" allUniqueName="[COBRADO].[Fechacobranza].[All]" dimensionUniqueName="[COBRADO]" displayFolder="" count="0" memberValueDatatype="7" unbalanced="0"/>
    <cacheHierarchy uniqueName="[COBRADO].[MES]" caption="MES" attribute="1" defaultMemberUniqueName="[COBRADO].[MES].[All]" allUniqueName="[COBRADO].[MES].[All]" dimensionUniqueName="[COBRADO]" displayFolder="" count="0" memberValueDatatype="130" unbalanced="0"/>
    <cacheHierarchy uniqueName="[COBRADO].[Importe]" caption="Importe" attribute="1" defaultMemberUniqueName="[COBRADO].[Importe].[All]" allUniqueName="[COBRADO].[Importe].[All]" dimensionUniqueName="[COBRADO]" displayFolder="" count="0" memberValueDatatype="5" unbalanced="0"/>
    <cacheHierarchy uniqueName="[COMPOSICIONSALDO].[FECHA COMPROBANTE]" caption="FECHA COMPROBANTE" attribute="1" time="1" defaultMemberUniqueName="[COMPOSICIONSALDO].[FECHA COMPROBANTE].[All]" allUniqueName="[COMPOSICIONSALDO].[FECHA COMPROBANTE].[All]" dimensionUniqueName="[COMPOSICIONSALDO]" displayFolder="" count="0" memberValueDatatype="7" unbalanced="0"/>
    <cacheHierarchy uniqueName="[COMPOSICIONSALDO].[CLIENTE]" caption="CLIENTE" attribute="1" defaultMemberUniqueName="[COMPOSICIONSALDO].[CLIENTE].[All]" allUniqueName="[COMPOSICIONSALDO].[CLIENTE].[All]" dimensionUniqueName="[COMPOSICIONSALDO]" displayFolder="" count="0" memberValueDatatype="130" unbalanced="0"/>
    <cacheHierarchy uniqueName="[COMPOSICIONSALDO].[COMPROBANTE]" caption="COMPROBANTE" attribute="1" defaultMemberUniqueName="[COMPOSICIONSALDO].[COMPROBANTE].[All]" allUniqueName="[COMPOSICIONSALDO].[COMPROBANTE].[All]" dimensionUniqueName="[COMPOSICIONSALDO]" displayFolder="" count="0" memberValueDatatype="130" unbalanced="0"/>
    <cacheHierarchy uniqueName="[COMPOSICIONSALDO].[DESCRIPCION]" caption="DESCRIPCION" attribute="1" defaultMemberUniqueName="[COMPOSICIONSALDO].[DESCRIPCION].[All]" allUniqueName="[COMPOSICIONSALDO].[DESCRIPCION].[All]" dimensionUniqueName="[COMPOSICIONSALDO]" displayFolder="" count="0" memberValueDatatype="130" unbalanced="0"/>
    <cacheHierarchy uniqueName="[COMPOSICIONSALDO].[MONERDA]" caption="MONERDA" attribute="1" defaultMemberUniqueName="[COMPOSICIONSALDO].[MONERDA].[All]" allUniqueName="[COMPOSICIONSALDO].[MONERDA].[All]" dimensionUniqueName="[COMPOSICIONSALDO]" displayFolder="" count="0" memberValueDatatype="130" unbalanced="0"/>
    <cacheHierarchy uniqueName="[COMPOSICIONSALDO].[IMP. TRANSACCION]" caption="IMP. TRANSACCION" attribute="1" defaultMemberUniqueName="[COMPOSICIONSALDO].[IMP. TRANSACCION].[All]" allUniqueName="[COMPOSICIONSALDO].[IMP. TRANSACCION].[All]" dimensionUniqueName="[COMPOSICIONSALDO]" displayFolder="" count="0" memberValueDatatype="5" unbalanced="0"/>
    <cacheHierarchy uniqueName="[COMPOSICIONSALDO].[COTIZACION]" caption="COTIZACION" attribute="1" defaultMemberUniqueName="[COMPOSICIONSALDO].[COTIZACION].[All]" allUniqueName="[COMPOSICIONSALDO].[COTIZACION].[All]" dimensionUniqueName="[COMPOSICIONSALDO]" displayFolder="" count="0" memberValueDatatype="5" unbalanced="0"/>
    <cacheHierarchy uniqueName="[COMPOSICIONSALDO].[IMP. PRINCIPAL]" caption="IMP. PRINCIPAL" attribute="1" defaultMemberUniqueName="[COMPOSICIONSALDO].[IMP. PRINCIPAL].[All]" allUniqueName="[COMPOSICIONSALDO].[IMP. PRINCIPAL].[All]" dimensionUniqueName="[COMPOSICIONSALDO]" displayFolder="" count="0" memberValueDatatype="5" unbalanced="0"/>
    <cacheHierarchy uniqueName="[COMPOSICIONSALDO].[IMP. SECUNDARIO]" caption="IMP. SECUNDARIO" attribute="1" defaultMemberUniqueName="[COMPOSICIONSALDO].[IMP. SECUNDARIO].[All]" allUniqueName="[COMPOSICIONSALDO].[IMP. SECUNDARIO].[All]" dimensionUniqueName="[COMPOSICIONSALDO]" displayFolder="" count="0" memberValueDatatype="5" unbalanced="0"/>
    <cacheHierarchy uniqueName="[COMPOSICIONSALDO].[FECHA VTO.]" caption="FECHA VTO." attribute="1" time="1" defaultMemberUniqueName="[COMPOSICIONSALDO].[FECHA VTO.].[All]" allUniqueName="[COMPOSICIONSALDO].[FECHA VTO.].[All]" dimensionUniqueName="[COMPOSICIONSALDO]" displayFolder="" count="0" memberValueDatatype="7" unbalanced="0"/>
    <cacheHierarchy uniqueName="[COMPOSICIONSALDO].[DIAS DE MORA]" caption="DIAS DE MORA" attribute="1" defaultMemberUniqueName="[COMPOSICIONSALDO].[DIAS DE MORA].[All]" allUniqueName="[COMPOSICIONSALDO].[DIAS DE MORA].[All]" dimensionUniqueName="[COMPOSICIONSALDO]" displayFolder="" count="0" memberValueDatatype="20" unbalanced="0"/>
    <cacheHierarchy uniqueName="[COMPOSICIONSALDO].[FECH]" caption="FECH" attribute="1" defaultMemberUniqueName="[COMPOSICIONSALDO].[FECH].[All]" allUniqueName="[COMPOSICIONSALDO].[FECH].[All]" dimensionUniqueName="[COMPOSICIONSALDO]" displayFolder="" count="0" memberValueDatatype="130" unbalanced="0"/>
    <cacheHierarchy uniqueName="[COMPOSICIONSALDO].[MES2]" caption="MES2" attribute="1" defaultMemberUniqueName="[COMPOSICIONSALDO].[MES2].[All]" allUniqueName="[COMPOSICIONSALDO].[MES2].[All]" dimensionUniqueName="[COMPOSICIONSALDO]" displayFolder="" count="0" memberValueDatatype="130" unbalanced="0"/>
    <cacheHierarchy uniqueName="[COMPOSICIONSALDO].[MES1]" caption="MES1" attribute="1" defaultMemberUniqueName="[COMPOSICIONSALDO].[MES1].[All]" allUniqueName="[COMPOSICIONSALDO].[MES1].[All]" dimensionUniqueName="[COMPOSICIONSALDO]" displayFolder="" count="0" memberValueDatatype="130" unbalanced="0"/>
    <cacheHierarchy uniqueName="[COMPOSICIONSALDO].[ESTADO SEGÚN MORA]" caption="ESTADO SEGÚN MORA" attribute="1" defaultMemberUniqueName="[COMPOSICIONSALDO].[ESTADO SEGÚN MORA].[All]" allUniqueName="[COMPOSICIONSALDO].[ESTADO SEGÚN MORA].[All]" dimensionUniqueName="[COMPOSICIONSALDO]" displayFolder="" count="0" memberValueDatatype="130" unbalanced="0"/>
    <cacheHierarchy uniqueName="[COMPOSICIONSALDO].[ESTADO]" caption="ESTADO" attribute="1" defaultMemberUniqueName="[COMPOSICIONSALDO].[ESTADO].[All]" allUniqueName="[COMPOSICIONSALDO].[ESTADO].[All]" dimensionUniqueName="[COMPOSICIONSALDO]" displayFolder="" count="0" memberValueDatatype="130" unbalanced="0"/>
    <cacheHierarchy uniqueName="[COMPOSICIONSALDO].[VENDEDOR]" caption="VENDEDOR" attribute="1" defaultMemberUniqueName="[COMPOSICIONSALDO].[VENDEDOR].[All]" allUniqueName="[COMPOSICIONSALDO].[VENDEDOR].[All]" dimensionUniqueName="[COMPOSICIONSALDO]" displayFolder="" count="0" memberValueDatatype="130" unbalanced="0"/>
    <cacheHierarchy uniqueName="[COMPOSICIONSALDO].[AREA]" caption="AREA" attribute="1" defaultMemberUniqueName="[COMPOSICIONSALDO].[AREA].[All]" allUniqueName="[COMPOSICIONSALDO].[AREA].[All]" dimensionUniqueName="[COMPOSICIONSALDO]" displayFolder="" count="0" memberValueDatatype="130" unbalanced="0"/>
    <cacheHierarchy uniqueName="[COMPOSICIONSALDO].[PROVINCIA]" caption="PROVINCIA" attribute="1" defaultMemberUniqueName="[COMPOSICIONSALDO].[PROVINCIA].[All]" allUniqueName="[COMPOSICIONSALDO].[PROVINCIA].[All]" dimensionUniqueName="[COMPOSICIONSALDO]" displayFolder="" count="0" memberValueDatatype="130" unbalanced="0"/>
    <cacheHierarchy uniqueName="[COMPOSICIONSALDO].[SUCURSAL]" caption="SUCURSAL" attribute="1" defaultMemberUniqueName="[COMPOSICIONSALDO].[SUCURSAL].[All]" allUniqueName="[COMPOSICIONSALDO].[SUCURSAL].[All]" dimensionUniqueName="[COMPOSICIONSALDO]" displayFolder="" count="0" memberValueDatatype="130" unbalanced="0"/>
    <cacheHierarchy uniqueName="[COMPOSICIONSALDO].[Mes]" caption="Mes" attribute="1" defaultMemberUniqueName="[COMPOSICIONSALDO].[Mes].[All]" allUniqueName="[COMPOSICIONSALDO].[Mes].[All]" dimensionUniqueName="[COMPOSICIONSALDO]" displayFolder="" count="0" memberValueDatatype="130" unbalanced="0"/>
    <cacheHierarchy uniqueName="[COMPOSICIONSALDOneo].[Documento tipo]" caption="Documento tipo" attribute="1" defaultMemberUniqueName="[COMPOSICIONSALDOneo].[Documento tipo].[All]" allUniqueName="[COMPOSICIONSALDOneo].[Documento tipo].[All]" dimensionUniqueName="[COMPOSICIONSALDOneo]" displayFolder="" count="0" memberValueDatatype="130" unbalanced="0"/>
    <cacheHierarchy uniqueName="[COMPOSICIONSALDOneo].[FECHA COMPROBANTE]" caption="FECHA COMPROBANTE" attribute="1" time="1" defaultMemberUniqueName="[COMPOSICIONSALDOneo].[FECHA COMPROBANTE].[All]" allUniqueName="[COMPOSICIONSALDOneo].[FECHA COMPROBANTE].[All]" dimensionUniqueName="[COMPOSICIONSALDOneo]" displayFolder="" count="0" memberValueDatatype="7" unbalanced="0"/>
    <cacheHierarchy uniqueName="[COMPOSICIONSALDOneo].[CLIENTE]" caption="CLIENTE" attribute="1" defaultMemberUniqueName="[COMPOSICIONSALDOneo].[CLIENTE].[All]" allUniqueName="[COMPOSICIONSALDOneo].[CLIENTE].[All]" dimensionUniqueName="[COMPOSICIONSALDOneo]" displayFolder="" count="0" memberValueDatatype="130" unbalanced="0"/>
    <cacheHierarchy uniqueName="[COMPOSICIONSALDOneo].[COMPROBANTE]" caption="COMPROBANTE" attribute="1" defaultMemberUniqueName="[COMPOSICIONSALDOneo].[COMPROBANTE].[All]" allUniqueName="[COMPOSICIONSALDOneo].[COMPROBANTE].[All]" dimensionUniqueName="[COMPOSICIONSALDOneo]" displayFolder="" count="0" memberValueDatatype="130" unbalanced="0"/>
    <cacheHierarchy uniqueName="[COMPOSICIONSALDOneo].[DESCRIPCION]" caption="DESCRIPCION" attribute="1" defaultMemberUniqueName="[COMPOSICIONSALDOneo].[DESCRIPCION].[All]" allUniqueName="[COMPOSICIONSALDOneo].[DESCRIPCION].[All]" dimensionUniqueName="[COMPOSICIONSALDOneo]" displayFolder="" count="0" memberValueDatatype="130" unbalanced="0"/>
    <cacheHierarchy uniqueName="[COMPOSICIONSALDOneo].[MONEDA]" caption="MONEDA" attribute="1" defaultMemberUniqueName="[COMPOSICIONSALDOneo].[MONEDA].[All]" allUniqueName="[COMPOSICIONSALDOneo].[MONEDA].[All]" dimensionUniqueName="[COMPOSICIONSALDOneo]" displayFolder="" count="0" memberValueDatatype="130" unbalanced="0"/>
    <cacheHierarchy uniqueName="[COMPOSICIONSALDOneo].[IMP. TRANSACCION]" caption="IMP. TRANSACCION" attribute="1" defaultMemberUniqueName="[COMPOSICIONSALDOneo].[IMP. TRANSACCION].[All]" allUniqueName="[COMPOSICIONSALDOneo].[IMP. TRANSACCION].[All]" dimensionUniqueName="[COMPOSICIONSALDOneo]" displayFolder="" count="0" memberValueDatatype="5" unbalanced="0"/>
    <cacheHierarchy uniqueName="[COMPOSICIONSALDOneo].[COTIZACION]" caption="COTIZACION" attribute="1" defaultMemberUniqueName="[COMPOSICIONSALDOneo].[COTIZACION].[All]" allUniqueName="[COMPOSICIONSALDOneo].[COTIZACION].[All]" dimensionUniqueName="[COMPOSICIONSALDOneo]" displayFolder="" count="0" memberValueDatatype="5" unbalanced="0"/>
    <cacheHierarchy uniqueName="[COMPOSICIONSALDOneo].[IMP. PRINCIPAL]" caption="IMP. PRINCIPAL" attribute="1" defaultMemberUniqueName="[COMPOSICIONSALDOneo].[IMP. PRINCIPAL].[All]" allUniqueName="[COMPOSICIONSALDOneo].[IMP. PRINCIPAL].[All]" dimensionUniqueName="[COMPOSICIONSALDOneo]" displayFolder="" count="0" memberValueDatatype="5" unbalanced="0"/>
    <cacheHierarchy uniqueName="[COMPOSICIONSALDOneo].[IMP. SECUNDARIO]" caption="IMP. SECUNDARIO" attribute="1" defaultMemberUniqueName="[COMPOSICIONSALDOneo].[IMP. SECUNDARIO].[All]" allUniqueName="[COMPOSICIONSALDOneo].[IMP. SECUNDARIO].[All]" dimensionUniqueName="[COMPOSICIONSALDOneo]" displayFolder="" count="0" memberValueDatatype="5" unbalanced="0"/>
    <cacheHierarchy uniqueName="[COMPOSICIONSALDOneo].[FECHA VTO.]" caption="FECHA VTO." attribute="1" time="1" defaultMemberUniqueName="[COMPOSICIONSALDOneo].[FECHA VTO.].[All]" allUniqueName="[COMPOSICIONSALDOneo].[FECHA VTO.].[All]" dimensionUniqueName="[COMPOSICIONSALDOneo]" displayFolder="" count="0" memberValueDatatype="7" unbalanced="0"/>
    <cacheHierarchy uniqueName="[COMPOSICIONSALDOneo].[DIAS DE MORA]" caption="DIAS DE MORA" attribute="1" defaultMemberUniqueName="[COMPOSICIONSALDOneo].[DIAS DE MORA].[All]" allUniqueName="[COMPOSICIONSALDOneo].[DIAS DE MORA].[All]" dimensionUniqueName="[COMPOSICIONSALDOneo]" displayFolder="" count="0" memberValueDatatype="20" unbalanced="0"/>
    <cacheHierarchy uniqueName="[COMPOSICIONSALDOneo].[FECH]" caption="FECH" attribute="1" defaultMemberUniqueName="[COMPOSICIONSALDOneo].[FECH].[All]" allUniqueName="[COMPOSICIONSALDOneo].[FECH].[All]" dimensionUniqueName="[COMPOSICIONSALDOneo]" displayFolder="" count="0" memberValueDatatype="130" unbalanced="0"/>
    <cacheHierarchy uniqueName="[COMPOSICIONSALDOneo].[MES2]" caption="MES2" attribute="1" defaultMemberUniqueName="[COMPOSICIONSALDOneo].[MES2].[All]" allUniqueName="[COMPOSICIONSALDOneo].[MES2].[All]" dimensionUniqueName="[COMPOSICIONSALDOneo]" displayFolder="" count="0" memberValueDatatype="130" unbalanced="0"/>
    <cacheHierarchy uniqueName="[COMPOSICIONSALDOneo].[MES]" caption="MES" attribute="1" defaultMemberUniqueName="[COMPOSICIONSALDOneo].[MES].[All]" allUniqueName="[COMPOSICIONSALDOneo].[MES].[All]" dimensionUniqueName="[COMPOSICIONSALDOneo]" displayFolder="" count="2" memberValueDatatype="130" unbalanced="0"/>
    <cacheHierarchy uniqueName="[COMPOSICIONSALDOneo].[ESTADO SEGÚN MORA]" caption="ESTADO SEGÚN MORA" attribute="1" defaultMemberUniqueName="[COMPOSICIONSALDOneo].[ESTADO SEGÚN MORA].[All]" allUniqueName="[COMPOSICIONSALDOneo].[ESTADO SEGÚN MORA].[All]" dimensionUniqueName="[COMPOSICIONSALDOneo]" displayFolder="" count="2" memberValueDatatype="130" unbalanced="0"/>
    <cacheHierarchy uniqueName="[COMPOSICIONSALDOneo].[ESTADO]" caption="ESTADO" attribute="1" defaultMemberUniqueName="[COMPOSICIONSALDOneo].[ESTADO].[All]" allUniqueName="[COMPOSICIONSALDOneo].[ESTADO].[All]" dimensionUniqueName="[COMPOSICIONSALDOneo]" displayFolder="" count="0" memberValueDatatype="130" unbalanced="0"/>
    <cacheHierarchy uniqueName="[COMPOSICIONSALDOneo].[AREA]" caption="AREA" attribute="1" defaultMemberUniqueName="[COMPOSICIONSALDOneo].[AREA].[All]" allUniqueName="[COMPOSICIONSALDOneo].[AREA].[All]" dimensionUniqueName="[COMPOSICIONSALDOneo]" displayFolder="" count="2" memberValueDatatype="130" unbalanced="0"/>
    <cacheHierarchy uniqueName="[COMPOSICIONSALDOneo].[PROVINCIA]" caption="PROVINCIA" attribute="1" defaultMemberUniqueName="[COMPOSICIONSALDOneo].[PROVINCIA].[All]" allUniqueName="[COMPOSICIONSALDOneo].[PROVINCIA].[All]" dimensionUniqueName="[COMPOSICIONSALDOneo]" displayFolder="" count="2" memberValueDatatype="130" unbalanced="0"/>
    <cacheHierarchy uniqueName="[COMPOSICIONSALDOneo].[ALERTA VENC.]" caption="ALERTA VENC." attribute="1" defaultMemberUniqueName="[COMPOSICIONSALDOneo].[ALERTA VENC.].[All]" allUniqueName="[COMPOSICIONSALDOneo].[ALERTA VENC.].[All]" dimensionUniqueName="[COMPOSICIONSALDOneo]" displayFolder="" count="2" memberValueDatatype="130" unbalanced="0"/>
    <cacheHierarchy uniqueName="[FACTURADO].[Documento]" caption="Documento" attribute="1" defaultMemberUniqueName="[FACTURADO].[Documento].[All]" allUniqueName="[FACTURADO].[Documento].[All]" dimensionUniqueName="[FACTURADO]" displayFolder="" count="0" memberValueDatatype="130" unbalanced="0"/>
    <cacheHierarchy uniqueName="[FACTURADO].[Doc-nro int]" caption="Doc-nro int" attribute="1" defaultMemberUniqueName="[FACTURADO].[Doc-nro int].[All]" allUniqueName="[FACTURADO].[Doc-nro int].[All]" dimensionUniqueName="[FACTURADO]" displayFolder="" count="0" memberValueDatatype="130" unbalanced="0"/>
    <cacheHierarchy uniqueName="[FACTURADO].[Fecha]" caption="Fecha" attribute="1" time="1" defaultMemberUniqueName="[FACTURADO].[Fecha].[All]" allUniqueName="[FACTURADO].[Fecha].[All]" dimensionUniqueName="[FACTURADO]" displayFolder="" count="0" memberValueDatatype="7" unbalanced="0"/>
    <cacheHierarchy uniqueName="[FACTURADO].[Nro comp]" caption="Nro comp" attribute="1" defaultMemberUniqueName="[FACTURADO].[Nro comp].[All]" allUniqueName="[FACTURADO].[Nro comp].[All]" dimensionUniqueName="[FACTURADO]" displayFolder="" count="0" memberValueDatatype="130" unbalanced="0"/>
    <cacheHierarchy uniqueName="[FACTURADO].[Descripción]" caption="Descripción" attribute="1" defaultMemberUniqueName="[FACTURADO].[Descripción].[All]" allUniqueName="[FACTURADO].[Descripción].[All]" dimensionUniqueName="[FACTURADO]" displayFolder="" count="0" memberValueDatatype="130" unbalanced="0"/>
    <cacheHierarchy uniqueName="[FACTURADO].[Cliente]" caption="Cliente" attribute="1" defaultMemberUniqueName="[FACTURADO].[Cliente].[All]" allUniqueName="[FACTURADO].[Cliente].[All]" dimensionUniqueName="[FACTURADO]" displayFolder="" count="0" memberValueDatatype="130" unbalanced="0"/>
    <cacheHierarchy uniqueName="[FACTURADO].[Bruto]" caption="Bruto" attribute="1" defaultMemberUniqueName="[FACTURADO].[Bruto].[All]" allUniqueName="[FACTURADO].[Bruto].[All]" dimensionUniqueName="[FACTURADO]" displayFolder="" count="0" memberValueDatatype="5" unbalanced="0"/>
    <cacheHierarchy uniqueName="[FACTURADO].[Otros]" caption="Otros" attribute="1" defaultMemberUniqueName="[FACTURADO].[Otros].[All]" allUniqueName="[FACTURADO].[Otros].[All]" dimensionUniqueName="[FACTURADO]" displayFolder="" count="0" memberValueDatatype="5" unbalanced="0"/>
    <cacheHierarchy uniqueName="[FACTURADO].[Total]" caption="Total" attribute="1" defaultMemberUniqueName="[FACTURADO].[Total].[All]" allUniqueName="[FACTURADO].[Total].[All]" dimensionUniqueName="[FACTURADO]" displayFolder="" count="0" memberValueDatatype="5" unbalanced="0"/>
    <cacheHierarchy uniqueName="[FACTURADO].[Moneda]" caption="Moneda" attribute="1" defaultMemberUniqueName="[FACTURADO].[Moneda].[All]" allUniqueName="[FACTURADO].[Moneda].[All]" dimensionUniqueName="[FACTURADO]" displayFolder="" count="0" memberValueDatatype="130" unbalanced="0"/>
    <cacheHierarchy uniqueName="[FACTURADO].[Cotización]" caption="Cotización" attribute="1" defaultMemberUniqueName="[FACTURADO].[Cotización].[All]" allUniqueName="[FACTURADO].[Cotización].[All]" dimensionUniqueName="[FACTURADO]" displayFolder="" count="0" memberValueDatatype="5" unbalanced="0"/>
    <cacheHierarchy uniqueName="[FACTURADO].[Empresa]" caption="Empresa" attribute="1" defaultMemberUniqueName="[FACTURADO].[Empresa].[All]" allUniqueName="[FACTURADO].[Empresa].[All]" dimensionUniqueName="[FACTURADO]" displayFolder="" count="0" memberValueDatatype="130" unbalanced="0"/>
    <cacheHierarchy uniqueName="[FACTURADO].[Estado]" caption="Estado" attribute="1" defaultMemberUniqueName="[FACTURADO].[Estado].[All]" allUniqueName="[FACTURADO].[Estado].[All]" dimensionUniqueName="[FACTURADO]" displayFolder="" count="0" memberValueDatatype="130" unbalanced="0"/>
    <cacheHierarchy uniqueName="[FACTURADO].[Modelo de Equipo]" caption="Modelo de Equipo" attribute="1" defaultMemberUniqueName="[FACTURADO].[Modelo de Equipo].[All]" allUniqueName="[FACTURADO].[Modelo de Equipo].[All]" dimensionUniqueName="[FACTURADO]" displayFolder="" count="0" memberValueDatatype="130" unbalanced="0"/>
    <cacheHierarchy uniqueName="[FACTURADO].[MES]" caption="MES" attribute="1" defaultMemberUniqueName="[FACTURADO].[MES].[All]" allUniqueName="[FACTURADO].[MES].[All]" dimensionUniqueName="[FACTURADO]" displayFolder="" count="0" memberValueDatatype="130" unbalanced="0"/>
    <cacheHierarchy uniqueName="[FACTURADO].[MES 2]" caption="MES 2" attribute="1" defaultMemberUniqueName="[FACTURADO].[MES 2].[All]" allUniqueName="[FACTURADO].[MES 2].[All]" dimensionUniqueName="[FACTURADO]" displayFolder="" count="0" memberValueDatatype="130" unbalanced="0"/>
    <cacheHierarchy uniqueName="[FACTURADO].[MES2]" caption="MES2" attribute="1" defaultMemberUniqueName="[FACTURADO].[MES2].[All]" allUniqueName="[FACTURADO].[MES2].[All]" dimensionUniqueName="[FACTURADO]" displayFolder="" count="0" memberValueDatatype="130" unbalanced="0"/>
    <cacheHierarchy uniqueName="[FACTURADO].[AÑO]" caption="AÑO" attribute="1" defaultMemberUniqueName="[FACTURADO].[AÑO].[All]" allUniqueName="[FACTURADO].[AÑO].[All]" dimensionUniqueName="[FACTURADO]" displayFolder="" count="0" memberValueDatatype="20" unbalanced="0"/>
    <cacheHierarchy uniqueName="[FACTURADO].[Importe]" caption="Importe" attribute="1" defaultMemberUniqueName="[FACTURADO].[Importe].[All]" allUniqueName="[FACTURADO].[Importe].[All]" dimensionUniqueName="[FACTURADO]" displayFolder="" count="0" memberValueDatatype="5" unbalanced="0"/>
    <cacheHierarchy uniqueName="[FACTURADO].[DÓLAR OFICIAL]" caption="DÓLAR OFICIAL" attribute="1" defaultMemberUniqueName="[FACTURADO].[DÓLAR OFICIAL].[All]" allUniqueName="[FACTURADO].[DÓLAR OFICIAL].[All]" dimensionUniqueName="[FACTURADO]" displayFolder="" count="0" memberValueDatatype="20" unbalanced="0"/>
    <cacheHierarchy uniqueName="[FACTURADO].[IMPORTE EN DÓLAR OFICIAL]" caption="IMPORTE EN DÓLAR OFICIAL" attribute="1" defaultMemberUniqueName="[FACTURADO].[IMPORTE EN DÓLAR OFICIAL].[All]" allUniqueName="[FACTURADO].[IMPORTE EN DÓLAR OFICIAL].[All]" dimensionUniqueName="[FACTURADO]" displayFolder="" count="0" memberValueDatatype="5" unbalanced="0"/>
    <cacheHierarchy uniqueName="[FACTURADO].[PROVINCIA]" caption="PROVINCIA" attribute="1" defaultMemberUniqueName="[FACTURADO].[PROVINCIA].[All]" allUniqueName="[FACTURADO].[PROVINCIA].[All]" dimensionUniqueName="[FACTURADO]" displayFolder="" count="0" memberValueDatatype="130" unbalanced="0"/>
    <cacheHierarchy uniqueName="[FACTURADO].[SECTOR]" caption="SECTOR" attribute="1" defaultMemberUniqueName="[FACTURADO].[SECTOR].[All]" allUniqueName="[FACTURADO].[SECTOR].[All]" dimensionUniqueName="[FACTURADO]" displayFolder="" count="0" memberValueDatatype="130" unbalanced="0"/>
    <cacheHierarchy uniqueName="[FACTURADO].[REPUESTOS]" caption="REPUESTOS" attribute="1" defaultMemberUniqueName="[FACTURADO].[REPUESTOS].[All]" allUniqueName="[FACTURADO].[REPUESTOS].[All]" dimensionUniqueName="[FACTURADO]" displayFolder="" count="0" memberValueDatatype="130" unbalanced="0"/>
    <cacheHierarchy uniqueName="[FACTURADO].[SERVICIOS]" caption="SERVICIOS" attribute="1" defaultMemberUniqueName="[FACTURADO].[SERVICIOS].[All]" allUniqueName="[FACTURADO].[SERVICIOS].[All]" dimensionUniqueName="[FACTURADO]" displayFolder="" count="0" memberValueDatatype="20" unbalanced="0"/>
    <cacheHierarchy uniqueName="[FACTURADO].[ADMINISTRACION]" caption="ADMINISTRACION" attribute="1" defaultMemberUniqueName="[FACTURADO].[ADMINISTRACION].[All]" allUniqueName="[FACTURADO].[ADMINISTRACION].[All]" dimensionUniqueName="[FACTURADO]" displayFolder="" count="0" memberValueDatatype="130" unbalanced="0"/>
    <cacheHierarchy uniqueName="[FACTURADO].[MAQUINAS]" caption="MAQUINAS" attribute="1" defaultMemberUniqueName="[FACTURADO].[MAQUINAS].[All]" allUniqueName="[FACTURADO].[MAQUINAS].[All]" dimensionUniqueName="[FACTURADO]" displayFolder="" count="0" memberValueDatatype="130" unbalanced="0"/>
    <cacheHierarchy uniqueName="[Tabla10].[GRAFICOS DEUDORES]" caption="GRAFICOS DEUDORES" attribute="1" defaultMemberUniqueName="[Tabla10].[GRAFICOS DEUDORES].[All]" allUniqueName="[Tabla10].[GRAFICOS DEUDORES].[All]" dimensionUniqueName="[Tabla10]" displayFolder="" count="0" memberValueDatatype="130" unbalanced="0"/>
    <cacheHierarchy uniqueName="[Tabla10].[Columna1]" caption="Columna1" attribute="1" defaultMemberUniqueName="[Tabla10].[Columna1].[All]" allUniqueName="[Tabla10].[Columna1].[All]" dimensionUniqueName="[Tabla10]" displayFolder="" count="0" memberValueDatatype="130" unbalanced="0"/>
    <cacheHierarchy uniqueName="[Tabla10].[Columna2]" caption="Columna2" attribute="1" defaultMemberUniqueName="[Tabla10].[Columna2].[All]" allUniqueName="[Tabla10].[Columna2].[All]" dimensionUniqueName="[Tabla10]" displayFolder="" count="0" memberValueDatatype="130" unbalanced="0"/>
    <cacheHierarchy uniqueName="[Tabla10].[Columna3]" caption="Columna3" attribute="1" defaultMemberUniqueName="[Tabla10].[Columna3].[All]" allUniqueName="[Tabla10].[Columna3].[All]" dimensionUniqueName="[Tabla10]" displayFolder="" count="0" memberValueDatatype="130" unbalanced="0"/>
    <cacheHierarchy uniqueName="[Tabla10].[Columna4]" caption="Columna4" attribute="1" defaultMemberUniqueName="[Tabla10].[Columna4].[All]" allUniqueName="[Tabla10].[Columna4].[All]" dimensionUniqueName="[Tabla10]" displayFolder="" count="0" memberValueDatatype="130" unbalanced="0"/>
    <cacheHierarchy uniqueName="[Tabla10].[Columna5]" caption="Columna5" attribute="1" defaultMemberUniqueName="[Tabla10].[Columna5].[All]" allUniqueName="[Tabla10].[Columna5].[All]" dimensionUniqueName="[Tabla10]" displayFolder="" count="0" memberValueDatatype="130" unbalanced="0"/>
    <cacheHierarchy uniqueName="[Tabla10].[Columna6]" caption="Columna6" attribute="1" defaultMemberUniqueName="[Tabla10].[Columna6].[All]" allUniqueName="[Tabla10].[Columna6].[All]" dimensionUniqueName="[Tabla10]" displayFolder="" count="0" memberValueDatatype="130" unbalanced="0"/>
    <cacheHierarchy uniqueName="[Tabla10].[Columna7]" caption="Columna7" attribute="1" defaultMemberUniqueName="[Tabla10].[Columna7].[All]" allUniqueName="[Tabla10].[Columna7].[All]" dimensionUniqueName="[Tabla10]" displayFolder="" count="0" memberValueDatatype="130" unbalanced="0"/>
    <cacheHierarchy uniqueName="[Tabla10].[Columna8]" caption="Columna8" attribute="1" defaultMemberUniqueName="[Tabla10].[Columna8].[All]" allUniqueName="[Tabla10].[Columna8].[All]" dimensionUniqueName="[Tabla10]" displayFolder="" count="0" memberValueDatatype="130" unbalanced="0"/>
    <cacheHierarchy uniqueName="[Tabla10].[Columna9]" caption="Columna9" attribute="1" defaultMemberUniqueName="[Tabla10].[Columna9].[All]" allUniqueName="[Tabla10].[Columna9].[All]" dimensionUniqueName="[Tabla10]" displayFolder="" count="0" memberValueDatatype="130" unbalanced="0"/>
    <cacheHierarchy uniqueName="[Tabla4].[Etiquetas de fila]" caption="Etiquetas de fila" attribute="1" defaultMemberUniqueName="[Tabla4].[Etiquetas de fila].[All]" allUniqueName="[Tabla4].[Etiquetas de fila].[All]" dimensionUniqueName="[Tabla4]" displayFolder="" count="0" memberValueDatatype="130" unbalanced="0"/>
    <cacheHierarchy uniqueName="[Tabla4].[Columna1]" caption="Columna1" attribute="1" defaultMemberUniqueName="[Tabla4].[Columna1].[All]" allUniqueName="[Tabla4].[Columna1].[All]" dimensionUniqueName="[Tabla4]" displayFolder="" count="0" memberValueDatatype="5" unbalanced="0"/>
    <cacheHierarchy uniqueName="[Tabla4].[Columna2]" caption="Columna2" attribute="1" defaultMemberUniqueName="[Tabla4].[Columna2].[All]" allUniqueName="[Tabla4].[Columna2].[All]" dimensionUniqueName="[Tabla4]" displayFolder="" count="0" memberValueDatatype="130" unbalanced="0"/>
    <cacheHierarchy uniqueName="[Measures].[__XL_Count COMPOSICIONSALDO]" caption="__XL_Count COMPOSICIONSALDO" measure="1" displayFolder="" measureGroup="COMPOSICIONSALDO" count="0" hidden="1"/>
    <cacheHierarchy uniqueName="[Measures].[__XL_Count FACTURADO]" caption="__XL_Count FACTURADO" measure="1" displayFolder="" measureGroup="FACTURADO" count="0" hidden="1"/>
    <cacheHierarchy uniqueName="[Measures].[__XL_Count COBRADO]" caption="__XL_Count COBRADO" measure="1" displayFolder="" measureGroup="COBRADO" count="0" hidden="1"/>
    <cacheHierarchy uniqueName="[Measures].[__XL_Count calendario]" caption="__XL_Count calendario" measure="1" displayFolder="" measureGroup="calendario" count="0" hidden="1"/>
    <cacheHierarchy uniqueName="[Measures].[__XL_Count Tabla4]" caption="__XL_Count Tabla4" measure="1" displayFolder="" measureGroup="Tabla4" count="0" hidden="1"/>
    <cacheHierarchy uniqueName="[Measures].[__XL_Count Tabla10]" caption="__XL_Count Tabla10" measure="1" displayFolder="" measureGroup="Tabla10" count="0" hidden="1"/>
    <cacheHierarchy uniqueName="[Measures].[__XL_Count COMPOSICIONSALDOneo]" caption="__XL_Count COMPOSICIONSALDOneo" measure="1" displayFolder="" measureGroup="COMPOSICIONSALDOneo" count="0" hidden="1"/>
    <cacheHierarchy uniqueName="[Measures].[__No measures defined]" caption="__No measures defined" measure="1" displayFolder="" count="0" hidden="1"/>
    <cacheHierarchy uniqueName="[Measures].[Suma de DIAS DE MORA]" caption="Suma de DIAS DE MORA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IMP. PRINCIPAL]" caption="Suma de IMP. PRINCIPAL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]" caption="Suma de Importe" measure="1" displayFolder="" measureGroup="FACTURADO" count="0" hidden="1">
      <extLst>
        <ext xmlns:x15="http://schemas.microsoft.com/office/spreadsheetml/2010/11/main" uri="{B97F6D7D-B522-45F9-BDA1-12C45D357490}">
          <x15:cacheHierarchy aggregatedColumn="73"/>
        </ext>
      </extLst>
    </cacheHierarchy>
    <cacheHierarchy uniqueName="[Measures].[Suma de IMP. SECUNDARIO]" caption="Suma de IMP. SECUNDARIO" measure="1" displayFolder="" measureGroup="COMPOSICIONSALDO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a de IMPORTE EN DÓLAR OFICIAL]" caption="Suma de IMPORTE EN DÓLAR OFICIAL" measure="1" displayFolder="" measureGroup="FACTURADO" count="0" hidden="1">
      <extLst>
        <ext xmlns:x15="http://schemas.microsoft.com/office/spreadsheetml/2010/11/main" uri="{B97F6D7D-B522-45F9-BDA1-12C45D357490}">
          <x15:cacheHierarchy aggregatedColumn="75"/>
        </ext>
      </extLst>
    </cacheHierarchy>
    <cacheHierarchy uniqueName="[Measures].[Suma de Importe 2]" caption="Suma de Importe 2" measure="1" displayFolder="" measureGroup="COBRADO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a de IMP. SECUNDARIO 2]" caption="Suma de IMP. SECUNDARIO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Suma de DIAS DE MORA 2]" caption="Suma de DIAS DE MORA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IMP. PRINCIPAL 2]" caption="Suma de IMP. PRINCIPAL 2" measure="1" displayFolder="" measureGroup="COMPOSICIONSALDOneo" count="0" hidden="1">
      <extLst>
        <ext xmlns:x15="http://schemas.microsoft.com/office/spreadsheetml/2010/11/main" uri="{B97F6D7D-B522-45F9-BDA1-12C45D357490}">
          <x15:cacheHierarchy aggregatedColumn="4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62673798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46E4CB-0B5D-41EE-AA98-2739F68F6EEC}" name="TablaDinámica6" cacheId="356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A33:B40" firstHeaderRow="1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MP. SECUNDARIO" fld="1" showDataAs="percentOfTotal" baseField="0" baseItem="0" numFmtId="10"/>
  </dataFields>
  <formats count="1">
    <format dxfId="28">
      <pivotArea collapsedLevelsAreSubtotals="1" fieldPosition="0">
        <references count="1">
          <reference field="0" count="0"/>
        </references>
      </pivotArea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F2743-61EA-4C15-B9C7-D206D2E17472}" name="TablaDinámica4" cacheId="359" dataPosition="0" applyNumberFormats="0" applyBorderFormats="0" applyFontFormats="0" applyPatternFormats="0" applyAlignmentFormats="0" applyWidthHeightFormats="1" dataCaption="Valores" updatedVersion="8" minRefreshableVersion="3" subtotalHiddenItems="1" colGrandTotals="0" itemPrintTitles="1" createdVersion="8" indent="0" outline="1" outlineData="1" multipleFieldFilters="0" chartFormat="40" rowHeaderCaption="CLIENTES" colHeaderCaption="DIAS">
  <location ref="B94:C131" firstHeaderRow="1" firstDataRow="1" firstDataCol="1"/>
  <pivotFields count="3">
    <pivotField axis="axisRow" allDrilled="1" subtotalTop="0" showAll="0" sortType="descending" defaultSubtotal="0" defaultAttributeDrillState="1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37">
    <i>
      <x v="27"/>
    </i>
    <i>
      <x v="15"/>
    </i>
    <i>
      <x v="3"/>
    </i>
    <i>
      <x/>
    </i>
    <i>
      <x v="6"/>
    </i>
    <i>
      <x v="16"/>
    </i>
    <i>
      <x v="11"/>
    </i>
    <i>
      <x v="8"/>
    </i>
    <i>
      <x v="28"/>
    </i>
    <i>
      <x v="17"/>
    </i>
    <i>
      <x v="20"/>
    </i>
    <i>
      <x v="29"/>
    </i>
    <i>
      <x v="18"/>
    </i>
    <i>
      <x v="5"/>
    </i>
    <i>
      <x v="26"/>
    </i>
    <i>
      <x v="2"/>
    </i>
    <i>
      <x v="35"/>
    </i>
    <i>
      <x v="7"/>
    </i>
    <i>
      <x v="33"/>
    </i>
    <i>
      <x v="12"/>
    </i>
    <i>
      <x v="10"/>
    </i>
    <i>
      <x v="21"/>
    </i>
    <i>
      <x v="13"/>
    </i>
    <i>
      <x v="4"/>
    </i>
    <i>
      <x v="1"/>
    </i>
    <i>
      <x v="30"/>
    </i>
    <i>
      <x v="32"/>
    </i>
    <i>
      <x v="34"/>
    </i>
    <i>
      <x v="9"/>
    </i>
    <i>
      <x v="31"/>
    </i>
    <i>
      <x v="14"/>
    </i>
    <i>
      <x v="24"/>
    </i>
    <i>
      <x v="25"/>
    </i>
    <i>
      <x v="22"/>
    </i>
    <i>
      <x v="19"/>
    </i>
    <i>
      <x v="23"/>
    </i>
    <i t="grand">
      <x/>
    </i>
  </rowItems>
  <colItems count="1">
    <i/>
  </colItems>
  <dataFields count="1">
    <dataField name="Suma de IMP. SECUNDARIO" fld="1" baseField="0" baseItem="0"/>
  </dataFields>
  <formats count="3">
    <format dxfId="31">
      <pivotArea collapsedLevelsAreSubtotals="1" fieldPosition="0">
        <references count="1">
          <reference field="0" count="0"/>
        </references>
      </pivotArea>
    </format>
    <format dxfId="30">
      <pivotArea grandRow="1" outline="0" collapsedLevelsAreSubtotals="1" fieldPosition="0"/>
    </format>
    <format dxfId="29">
      <pivotArea collapsedLevelsAreSubtotals="1" fieldPosition="0">
        <references count="1">
          <reference field="0" count="0"/>
        </references>
      </pivotArea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BFCF5-E5CF-45EC-AA17-29E517469A6E}" name="TablaDinámica5" cacheId="157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D16:E25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a de IMP. SECUNDARIO" fld="1" baseField="0" baseItem="0" numFmtId="169"/>
  </dataFields>
  <formats count="1">
    <format dxfId="32">
      <pivotArea outline="0" collapsedLevelsAreSubtotals="1" fieldPosition="0"/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A3C1EC-CC35-4E26-90A0-739C009F93C7}" name="TablaDinámica11" cacheId="353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>
  <location ref="A56:B62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MP. SECUNDARIO" fld="1" baseField="0" baseItem="0" numFmtId="168"/>
  </dataFields>
  <formats count="1">
    <format dxfId="33">
      <pivotArea outline="0" collapsedLevelsAreSubtotals="1" fieldPosition="0"/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F7D7B-9126-406D-A3B5-E888182A2265}" name="TablaDinámica1" cacheId="362" applyNumberFormats="0" applyBorderFormats="0" applyFontFormats="0" applyPatternFormats="0" applyAlignmentFormats="0" applyWidthHeightFormats="1" dataCaption="Valores" tag="5ee51271-014d-4437-8e80-2c27e2cae965" updatedVersion="8" minRefreshableVersion="3" subtotalHiddenItems="1" itemPrintTitles="1" createdVersion="8" indent="0" outline="1" outlineData="1" multipleFieldFilters="0" chartFormat="39" rowHeaderCaption="CLIENTES" colHeaderCaption="ESTADO DE DEUDA">
  <location ref="G94:N132" firstHeaderRow="1" firstDataRow="2" firstDataCol="1"/>
  <pivotFields count="5">
    <pivotField axis="axisRow" allDrilled="1" subtotalTop="0" showAll="0" sortType="ascending" defaultSubtotal="0">
      <items count="36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allDrilled="1" subtotalTop="0" showAll="0" defaultSubtotal="0" defaultAttributeDrillState="1">
      <items count="6">
        <item x="4"/>
        <item x="0"/>
        <item x="2"/>
        <item x="3"/>
        <item x="1"/>
        <item x="5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allDrilled="1" subtotalTop="0" showAll="0" dataSourceSort="1" defaultSubtotal="0" defaultAttributeDrillState="1"/>
  </pivotFields>
  <rowFields count="2">
    <field x="0"/>
    <field x="3"/>
  </rowFields>
  <rowItems count="37">
    <i>
      <x v="23"/>
    </i>
    <i>
      <x v="19"/>
    </i>
    <i>
      <x v="22"/>
    </i>
    <i>
      <x v="25"/>
    </i>
    <i>
      <x v="24"/>
    </i>
    <i>
      <x v="14"/>
    </i>
    <i>
      <x v="31"/>
    </i>
    <i>
      <x v="9"/>
    </i>
    <i>
      <x v="34"/>
    </i>
    <i>
      <x v="32"/>
    </i>
    <i>
      <x v="30"/>
    </i>
    <i>
      <x v="1"/>
    </i>
    <i>
      <x v="4"/>
    </i>
    <i>
      <x v="13"/>
    </i>
    <i>
      <x v="21"/>
    </i>
    <i>
      <x v="10"/>
    </i>
    <i>
      <x v="12"/>
    </i>
    <i>
      <x v="33"/>
    </i>
    <i>
      <x v="7"/>
    </i>
    <i>
      <x v="35"/>
    </i>
    <i>
      <x v="2"/>
    </i>
    <i>
      <x v="26"/>
    </i>
    <i>
      <x v="5"/>
    </i>
    <i>
      <x v="18"/>
    </i>
    <i>
      <x v="29"/>
    </i>
    <i>
      <x v="20"/>
    </i>
    <i>
      <x v="17"/>
    </i>
    <i>
      <x v="28"/>
    </i>
    <i>
      <x v="8"/>
    </i>
    <i>
      <x v="11"/>
    </i>
    <i>
      <x v="16"/>
    </i>
    <i>
      <x v="6"/>
    </i>
    <i>
      <x/>
    </i>
    <i>
      <x v="3"/>
    </i>
    <i>
      <x v="15"/>
    </i>
    <i>
      <x v="2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RANKING DEUDORES" fld="2" baseField="0" baseItem="0" numFmtId="168"/>
  </dataFields>
  <formats count="12">
    <format dxfId="45">
      <pivotArea outline="0" collapsedLevelsAreSubtotals="1" fieldPosition="0"/>
    </format>
    <format dxfId="44">
      <pivotArea field="1" type="button" dataOnly="0" labelOnly="1" outline="0" axis="axisCol" fieldPosition="0"/>
    </format>
    <format dxfId="43">
      <pivotArea field="1" type="button" dataOnly="0" labelOnly="1" outline="0" axis="axisCol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39">
      <pivotArea outline="0" collapsedLevelsAreSubtotals="1" fieldPosition="0"/>
    </format>
    <format dxfId="38">
      <pivotArea dataOnly="0" labelOnly="1" fieldPosition="0">
        <references count="1">
          <reference field="0" count="0"/>
        </references>
      </pivotArea>
    </format>
    <format dxfId="37">
      <pivotArea dataOnly="0" labelOnly="1" grandRow="1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0" count="0"/>
        </references>
      </pivotArea>
    </format>
    <format dxfId="34">
      <pivotArea dataOnly="0" labelOnly="1" grandRow="1" outline="0" fieldPosition="0"/>
    </format>
  </formats>
  <conditionalFormats count="7">
    <conditionalFormat priority="12">
      <pivotAreas count="1">
        <pivotArea outline="0" fieldPosition="0">
          <references count="1">
            <reference field="1" count="1">
              <x v="1048832"/>
            </reference>
          </references>
        </pivotArea>
      </pivotAreas>
    </conditionalFormat>
    <conditionalFormat priority="1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048832"/>
            </reference>
          </references>
        </pivotArea>
      </pivotAreas>
    </conditionalFormat>
    <conditionalFormat priority="10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048832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"/>
            </reference>
          </references>
        </pivotArea>
      </pivotAreas>
    </conditionalFormat>
    <conditionalFormat priority="6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048832"/>
            </reference>
          </references>
        </pivotArea>
      </pivotAreas>
    </conditionalFormat>
    <conditionalFormat priority="4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1" count="1" selected="0">
              <x v="1048832"/>
            </reference>
          </references>
        </pivotArea>
      </pivotAreas>
    </conditionalFormat>
  </conditionalFormats>
  <chartFormats count="27"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2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2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1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2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21" format="3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1" selected="0">
            <x v="5"/>
          </reference>
        </references>
      </pivotArea>
    </chartFormat>
    <chartFormat chart="21" format="3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7"/>
          </reference>
        </references>
      </pivotArea>
    </chartFormat>
    <chartFormat chart="21" format="3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9"/>
          </reference>
        </references>
      </pivotArea>
    </chartFormat>
    <chartFormat chart="21" format="3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"/>
          </reference>
        </references>
      </pivotArea>
    </chartFormat>
    <chartFormat chart="21" format="40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1"/>
          </reference>
        </references>
      </pivotArea>
    </chartFormat>
    <chartFormat chart="21" format="41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5"/>
          </reference>
        </references>
      </pivotArea>
    </chartFormat>
    <chartFormat chart="21" format="42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8"/>
          </reference>
        </references>
      </pivotArea>
    </chartFormat>
    <chartFormat chart="21" format="43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2"/>
          </reference>
        </references>
      </pivotArea>
    </chartFormat>
    <chartFormat chart="21" format="44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6"/>
          </reference>
        </references>
      </pivotArea>
    </chartFormat>
    <chartFormat chart="21" format="45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3"/>
          </reference>
        </references>
      </pivotArea>
    </chartFormat>
    <chartFormat chart="21" format="46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0"/>
          </reference>
        </references>
      </pivotArea>
    </chartFormat>
    <chartFormat chart="21" format="47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1" selected="0">
            <x v="14"/>
          </reference>
        </references>
      </pivotArea>
    </chartFormat>
    <chartFormat chart="21" format="48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8832"/>
          </reference>
          <reference field="3" count="1" selected="0">
            <x v="3"/>
          </reference>
        </references>
      </pivotArea>
    </chartFormat>
    <chartFormat chart="21" format="49" series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48832"/>
          </reference>
          <reference field="3" count="1" selected="0">
            <x v="4"/>
          </reference>
        </references>
      </pivotArea>
    </chartFormat>
    <chartFormat chart="2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  <chartFormat chart="2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8832"/>
          </reference>
        </references>
      </pivotArea>
    </chartFormat>
  </chart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2">
    <rowHierarchyUsage hierarchyUsage="37"/>
    <rowHierarchyUsage hierarchyUsage="38"/>
  </rowHierarchiesUsage>
  <colHierarchiesUsage count="1">
    <colHierarchyUsage hierarchyUsage="5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974EA7-7FD9-4066-B646-6D175001B149}" name="TablaDinámica3" cacheId="156" applyNumberFormats="0" applyBorderFormats="0" applyFontFormats="0" applyPatternFormats="0" applyAlignmentFormats="0" applyWidthHeightFormats="1" dataCaption="Valores" tag="03405f23-98e4-4735-97b9-1660169c0032" updatedVersion="8" minRefreshableVersion="3" subtotalHiddenItems="1" itemPrintTitles="1" createdVersion="8" indent="0" outline="1" outlineData="1" multipleFieldFilters="0" rowHeaderCaption="VENTA">
  <location ref="A16:B22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IMPORTE EN DÓLAR OFICIAL" fld="1" baseField="0" baseItem="0" numFmtId="168"/>
  </dataFields>
  <formats count="3">
    <format dxfId="48">
      <pivotArea outline="0" collapsedLevelsAreSubtotals="1" fieldPosition="0"/>
    </format>
    <format dxfId="47">
      <pivotArea collapsedLevelsAreSubtotals="1" fieldPosition="0">
        <references count="1">
          <reference field="0" count="0"/>
        </references>
      </pivotArea>
    </format>
    <format dxfId="46">
      <pivotArea grandRow="1" outline="0" collapsedLevelsAreSubtotals="1" fieldPosition="0"/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.xlsx!FACTURADO">
        <x15:activeTabTopLevelEntity name="[FACTURAD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EACB5-C438-4523-A3CD-3D8EB3F67FD3}" name="TablaDinámica2" cacheId="347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 rowHeaderCaption="CARTERA">
  <location ref="A3:B10" firstHeaderRow="1" firstDataRow="1" firstDataCol="1"/>
  <pivotFields count="3">
    <pivotField axis="axisRow" allDrilled="1" subtotalTop="0" showAll="0" defaultSubtotal="0" defaultAttributeDrillState="1">
      <items count="6">
        <item x="4"/>
        <item x="2"/>
        <item x="3"/>
        <item x="0"/>
        <item x="1"/>
        <item x="5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a de IMP. SECUNDARIO" fld="1" baseField="0" baseItem="0" numFmtId="171"/>
  </dataFields>
  <formats count="6">
    <format dxfId="54">
      <pivotArea collapsedLevelsAreSubtotals="1" fieldPosition="0">
        <references count="1">
          <reference field="0" count="3">
            <x v="0"/>
            <x v="1048832"/>
            <x v="1048832"/>
          </reference>
        </references>
      </pivotArea>
    </format>
    <format dxfId="53">
      <pivotArea collapsedLevelsAreSubtotals="1" fieldPosition="0">
        <references count="1">
          <reference field="0" count="1">
            <x v="1048832"/>
          </reference>
        </references>
      </pivotArea>
    </format>
    <format dxfId="52">
      <pivotArea collapsedLevelsAreSubtotals="1" fieldPosition="0">
        <references count="1">
          <reference field="0" count="1">
            <x v="1048832"/>
          </reference>
        </references>
      </pivotArea>
    </format>
    <format dxfId="51">
      <pivotArea collapsedLevelsAreSubtotals="1" fieldPosition="0">
        <references count="1">
          <reference field="0" count="2">
            <x v="0"/>
            <x v="1048832"/>
          </reference>
        </references>
      </pivotArea>
    </format>
    <format dxfId="50">
      <pivotArea outline="0" collapsedLevelsAreSubtotals="1" fieldPosition="0"/>
    </format>
    <format dxfId="49">
      <pivotArea grandRow="1" outline="0" collapsedLevelsAreSubtotals="1" fieldPosition="0"/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7D096F-D26F-4CB7-B6A0-ECE951399F9A}" name="TablaDinámica10" cacheId="350" applyNumberFormats="0" applyBorderFormats="0" applyFontFormats="0" applyPatternFormats="0" applyAlignmentFormats="0" applyWidthHeightFormats="1" dataCaption="Valores" updatedVersion="8" minRefreshableVersion="3" subtotalHiddenItems="1" itemPrintTitles="1" createdVersion="8" indent="0" outline="1" outlineData="1" multipleFieldFilters="0">
  <location ref="A45:B50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IMP. SECUNDARIO" fld="1" baseField="0" baseItem="0" numFmtId="168"/>
  </dataFields>
  <formats count="1">
    <format dxfId="55">
      <pivotArea outline="0" collapsedLevelsAreSubtotals="1" fieldPosition="0"/>
    </format>
  </formats>
  <pivotHierarchies count="1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RO DE COBRANZAS NOA . PAU.xlsx!COMPOSICIONSALDOneo">
        <x15:activeTabTopLevelEntity name="[COMPOSICIONSALDOne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REA" xr10:uid="{B2CFF40C-98B6-4ADC-8F05-C0CEF7954000}" sourceName="[COMPOSICIONSALDOneo].[AREA]">
  <pivotTables>
    <pivotTable tabId="8" name="TablaDinámica2"/>
    <pivotTable tabId="8" name="TablaDinámica10"/>
    <pivotTable tabId="8" name="TablaDinámica11"/>
    <pivotTable tabId="8" name="TablaDinámica6"/>
    <pivotTable tabId="8" name="TablaDinámica4"/>
    <pivotTable tabId="8" name="TablaDinámica1"/>
  </pivotTables>
  <data>
    <olap pivotCacheId="1626737989">
      <levels count="2">
        <level uniqueName="[COMPOSICIONSALDOneo].[AREA].[(All)]" sourceCaption="(All)" count="0"/>
        <level uniqueName="[COMPOSICIONSALDOneo].[AREA].[AREA]" sourceCaption="AREA" count="4">
          <ranges>
            <range startItem="0">
              <i n="[COMPOSICIONSALDOneo].[AREA].&amp;[COBRANZAS]" c="COBRANZAS"/>
              <i n="[COMPOSICIONSALDOneo].[AREA].&amp;[MAQUINAS]" c="MAQUINAS"/>
              <i n="[COMPOSICIONSALDOneo].[AREA].&amp;[REPUESTOS]" c="REPUESTOS"/>
              <i n="[COMPOSICIONSALDOneo].[AREA].&amp;[SERVICIOS]" c="SERVICIOS"/>
            </range>
          </ranges>
        </level>
      </levels>
      <selections count="1">
        <selection n="[COMPOSICIONSALDOneo].[A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OMPOSICIONSALDOneo].[AREA].[AREA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ROVINCIA" xr10:uid="{7EB5EDC6-CD93-4F26-9481-4FEF8BCCAB01}" sourceName="[COMPOSICIONSALDOneo].[PROVINCIA]">
  <pivotTables>
    <pivotTable tabId="8" name="TablaDinámica2"/>
    <pivotTable tabId="8" name="TablaDinámica10"/>
    <pivotTable tabId="8" name="TablaDinámica11"/>
    <pivotTable tabId="8" name="TablaDinámica6"/>
    <pivotTable tabId="8" name="TablaDinámica4"/>
    <pivotTable tabId="8" name="TablaDinámica1"/>
  </pivotTables>
  <data>
    <olap pivotCacheId="1626737989">
      <levels count="2">
        <level uniqueName="[COMPOSICIONSALDOneo].[PROVINCIA].[(All)]" sourceCaption="(All)" count="0"/>
        <level uniqueName="[COMPOSICIONSALDOneo].[PROVINCIA].[PROVINCIA]" sourceCaption="PROVINCIA" count="5">
          <ranges>
            <range startItem="0">
              <i n="[COMPOSICIONSALDOneo].[PROVINCIA].&amp;[Catamarca]" c="Catamarca"/>
              <i n="[COMPOSICIONSALDOneo].[PROVINCIA].&amp;[Jujuy]" c="Jujuy"/>
              <i n="[COMPOSICIONSALDOneo].[PROVINCIA].&amp;[Salta]" c="Salta"/>
              <i n="[COMPOSICIONSALDOneo].[PROVINCIA].&amp;[Santiago del Estero]" c="Santiago del Estero"/>
              <i n="[COMPOSICIONSALDOneo].[PROVINCIA].&amp;[Tucuman]" c="Tucuman"/>
            </range>
          </ranges>
        </level>
      </levels>
      <selections count="1">
        <selection n="[COMPOSICIONSALDOneo].[PROVINCIA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4E9F4F1C-0E72-4429-9CF0-2061E6560695}" sourceName="[COMPOSICIONSALDOneo].[MES]">
  <pivotTables>
    <pivotTable tabId="8" name="TablaDinámica2"/>
    <pivotTable tabId="8" name="TablaDinámica10"/>
    <pivotTable tabId="8" name="TablaDinámica11"/>
    <pivotTable tabId="8" name="TablaDinámica6"/>
    <pivotTable tabId="8" name="TablaDinámica4"/>
    <pivotTable tabId="8" name="TablaDinámica1"/>
  </pivotTables>
  <data>
    <olap pivotCacheId="1626737989">
      <levels count="2">
        <level uniqueName="[COMPOSICIONSALDOneo].[MES].[(All)]" sourceCaption="(All)" count="0"/>
        <level uniqueName="[COMPOSICIONSALDOneo].[MES].[MES]" sourceCaption="MES" count="8">
          <ranges>
            <range startItem="0">
              <i n="[COMPOSICIONSALDOneo].[MES].&amp;[ABR-04]" c="ABR-04"/>
              <i n="[COMPOSICIONSALDOneo].[MES].&amp;[AGO-08]" c="AGO-08"/>
              <i n="[COMPOSICIONSALDOneo].[MES].&amp;[ENE-01]" c="ENE-01"/>
              <i n="[COMPOSICIONSALDOneo].[MES].&amp;[JUL-07]" c="JUL-07"/>
              <i n="[COMPOSICIONSALDOneo].[MES].&amp;[JUN-06]" c="JUN-06"/>
              <i n="[COMPOSICIONSALDOneo].[MES].&amp;[MAR-03]" c="MAR-03"/>
              <i n="[COMPOSICIONSALDOneo].[MES].&amp;[MAY-05]" c="MAY-05"/>
              <i n="[COMPOSICIONSALDOneo].[MES].&amp;[SEPT-09]" c="SEPT-09"/>
            </range>
          </ranges>
        </level>
      </levels>
      <selections count="1">
        <selection n="[COMPOSICIONSALDOneo].[MES].[All]"/>
      </selections>
    </olap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TADO_SEGÚN_MORA" xr10:uid="{16D00885-92FF-4079-BA89-AE3BFBAEB17C}" sourceName="[COMPOSICIONSALDOneo].[ESTADO SEGÚN MORA]">
  <pivotTables>
    <pivotTable tabId="8" name="TablaDinámica2"/>
    <pivotTable tabId="8" name="TablaDinámica10"/>
    <pivotTable tabId="8" name="TablaDinámica11"/>
    <pivotTable tabId="8" name="TablaDinámica6"/>
    <pivotTable tabId="8" name="TablaDinámica4"/>
    <pivotTable tabId="8" name="TablaDinámica1"/>
  </pivotTables>
  <data>
    <olap pivotCacheId="1626737989">
      <levels count="2">
        <level uniqueName="[COMPOSICIONSALDOneo].[ESTADO SEGÚN MORA].[(All)]" sourceCaption="(All)" count="0"/>
        <level uniqueName="[COMPOSICIONSALDOneo].[ESTADO SEGÚN MORA].[ESTADO SEGÚN MORA]" sourceCaption="ESTADO SEGÚN MORA" count="6">
          <ranges>
            <range startItem="0">
              <i n="[COMPOSICIONSALDOneo].[ESTADO SEGÚN MORA].&amp;[NO VENCIDO]" c="NO VENCIDO"/>
              <i n="[COMPOSICIONSALDOneo].[ESTADO SEGÚN MORA].&amp;[VENCIDO 30]" c="VENCIDO 30"/>
              <i n="[COMPOSICIONSALDOneo].[ESTADO SEGÚN MORA].&amp;[VENCIDO 60]" c="VENCIDO 60"/>
              <i n="[COMPOSICIONSALDOneo].[ESTADO SEGÚN MORA].&amp;[VENCIDO 90]" c="VENCIDO 90"/>
              <i n="[COMPOSICIONSALDOneo].[ESTADO SEGÚN MORA].&amp;[VENCIDO&lt;30]" c="VENCIDO&lt;30"/>
              <i n="[COMPOSICIONSALDOneo].[ESTADO SEGÚN MORA].&amp;[VENCIDO&gt;150]" c="VENCIDO&gt;150"/>
            </range>
          </ranges>
        </level>
      </levels>
      <selections count="1">
        <selection n="[COMPOSICIONSALDOneo].[ESTADO SEGÚN MORA].[All]"/>
      </selections>
    </olap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LERTA_VENC." xr10:uid="{B5BA2454-26C4-4A99-8A05-3CCF02F65242}" sourceName="[COMPOSICIONSALDOneo].[ALERTA VENC.]">
  <pivotTables>
    <pivotTable tabId="8" name="TablaDinámica2"/>
    <pivotTable tabId="8" name="TablaDinámica1"/>
    <pivotTable tabId="8" name="TablaDinámica11"/>
    <pivotTable tabId="8" name="TablaDinámica4"/>
    <pivotTable tabId="8" name="TablaDinámica6"/>
    <pivotTable tabId="8" name="TablaDinámica10"/>
  </pivotTables>
  <data>
    <olap pivotCacheId="1626737989">
      <levels count="2">
        <level uniqueName="[COMPOSICIONSALDOneo].[ALERTA VENC.].[(All)]" sourceCaption="(All)" count="0"/>
        <level uniqueName="[COMPOSICIONSALDOneo].[ALERTA VENC.].[ALERTA VENC.]" sourceCaption="ALERTA VENC." count="3" sortOrder="descending">
          <ranges>
            <range startItem="0">
              <i n="[COMPOSICIONSALDOneo].[ALERTA VENC.].&amp;[Vencido]" c="Vencido"/>
              <i n="[COMPOSICIONSALDOneo].[ALERTA VENC.].&amp;[Vence 2-5 días]" c="Vence 2-5 días"/>
              <i n="[COMPOSICIONSALDOneo].[ALERTA VENC.].&amp;[No vencido]" c="No vencido"/>
            </range>
          </ranges>
        </level>
      </levels>
      <selections count="1">
        <selection n="[COMPOSICIONSALDOneo].[ALERTA VENC.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REA" xr10:uid="{21015E63-0B4D-463A-B75B-B65B36AE2956}" cache="SegmentaciónDeDatos_AREA" caption="AREA" level="1" style="Estilo de segmentación de datos 3" rowHeight="324000"/>
  <slicer name="PROVINCIA" xr10:uid="{07363FA6-C518-480C-825B-2F93323A4416}" cache="SegmentaciónDeDatos_PROVINCIA" caption="PROVINCIA" level="1" style="Estilo de segmentación de datos 3" rowHeight="288000"/>
  <slicer name="MES" xr10:uid="{B25E4B28-DD57-4841-9BF9-6A217E95D128}" cache="SegmentaciónDeDatos_MES" caption="MES" columnCount="3" level="1" style="Estilo de segmentación de datos 3" rowHeight="288000"/>
  <slicer name="ESTADO SEGÚN MORA" xr10:uid="{776DD6F9-F150-412A-AAF4-AF6F723C41BA}" cache="SegmentaciónDeDatos_ESTADO_SEGÚN_MORA" caption="ESTADO SEGÚN MORA" columnCount="4" level="1" style="Estilo de segmentación de datos 3" rowHeight="360000"/>
  <slicer name="ALERTA VENC." xr10:uid="{ACB5AE66-B540-4364-8202-FD5539EE9F95}" cache="SegmentaciónDeDatos_ALERTA_VENC." caption="ALERTA VENCIMIENTO" level="1" style="Estilo de segmentación de datos 3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E6B59E-0812-4788-9062-C85589A0920A}" name="Tabla5" displayName="Tabla5" ref="A1:C61" totalsRowShown="0">
  <autoFilter ref="A1:C61" xr:uid="{64E6B59E-0812-4788-9062-C85589A0920A}"/>
  <tableColumns count="3">
    <tableColumn id="1" xr3:uid="{B65ABF89-F49E-4740-90C7-2873CFC95399}" name="ID Cliente"/>
    <tableColumn id="2" xr3:uid="{1DB75B26-D5C7-4363-BF73-7F8075E5AC60}" name="Nombre Cliente"/>
    <tableColumn id="3" xr3:uid="{7E8C768D-D04F-4924-9861-2D7FD76A9524}" name="Provinc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C41F2D9-E38C-476E-94E0-4A17570BD917}" name="Tabla8" displayName="Tabla8" ref="A1:B160" totalsRowShown="0" headerRowDxfId="68" tableBorderDxfId="67">
  <autoFilter ref="A1:B160" xr:uid="{2C41F2D9-E38C-476E-94E0-4A17570BD917}"/>
  <tableColumns count="2">
    <tableColumn id="1" xr3:uid="{5649671A-9B33-4389-B739-FE0D7C4282D0}" name="Fecha"/>
    <tableColumn id="2" xr3:uid="{4180674B-E389-4EC1-B8D0-401D0268DE0A}" name="Cotiz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ADE1F2-288D-4BE2-8A25-D238D6611F56}" name="Tabla7" displayName="Tabla7" ref="A3:B35" totalsRowShown="0">
  <autoFilter ref="A3:B35" xr:uid="{E3ADE1F2-288D-4BE2-8A25-D238D6611F56}"/>
  <tableColumns count="2">
    <tableColumn id="1" xr3:uid="{9EFCE941-7A02-450A-941F-CB63BA96AC26}" name="TIPO DE FACTURA"/>
    <tableColumn id="2" xr3:uid="{6850CA8A-03B7-403D-9E50-198746D1C362}" name="SECT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A0D813-5F82-4473-90BA-4E91740E9699}" name="COMPOSICIONSALDOneo" displayName="COMPOSICIONSALDOneo" ref="A2:T63" totalsRowShown="0" headerRowDxfId="27" dataDxfId="26">
  <autoFilter ref="A2:T63" xr:uid="{BDA0D813-5F82-4473-90BA-4E91740E9699}"/>
  <tableColumns count="20">
    <tableColumn id="12" xr3:uid="{E0CF066B-B0D1-4E21-84DF-18F78617EA32}" name="Documento tipo" dataDxfId="25"/>
    <tableColumn id="1" xr3:uid="{5EE6BC8E-A21F-4376-8C17-3CFCB3F5719C}" name="FECHA COMPROBANTE" dataDxfId="24"/>
    <tableColumn id="2" xr3:uid="{04CC0FFC-FB65-4543-82FD-23CB30ED5976}" name="CLIENTE" dataDxfId="23"/>
    <tableColumn id="3" xr3:uid="{510A2F91-606E-45A4-A6BD-6A0706479AC3}" name="COMPROBANTE" dataDxfId="22"/>
    <tableColumn id="4" xr3:uid="{157BFB4B-7657-4F91-8E85-891E63390023}" name="DESCRIPCION" dataDxfId="21"/>
    <tableColumn id="5" xr3:uid="{3C83B070-41B8-4889-93E1-FA884A5A8D1E}" name="MONEDA" dataDxfId="20"/>
    <tableColumn id="6" xr3:uid="{C240D02B-4529-46B8-99DC-225C58E33388}" name="IMP. TRANSACCION" dataDxfId="19" dataCellStyle="Millares"/>
    <tableColumn id="7" xr3:uid="{22891BF0-50B0-4091-BAD1-BB32A1F7EC35}" name="COTIZACION" dataDxfId="18" dataCellStyle="Millares"/>
    <tableColumn id="8" xr3:uid="{7B133601-FC17-42BD-BFAF-ACAA422C99BE}" name="IMP. PRINCIPAL" dataDxfId="17" dataCellStyle="Millares"/>
    <tableColumn id="9" xr3:uid="{4DE8D37C-D28C-4237-B911-3C9492BB0E4D}" name="IMP. SECUNDARIO" dataDxfId="16" dataCellStyle="Millares"/>
    <tableColumn id="10" xr3:uid="{CE0E98C5-891E-4490-9544-0B005957E3D7}" name="FECHA VTO." dataDxfId="15"/>
    <tableColumn id="11" xr3:uid="{3AB3F379-F801-4A8B-B993-CEC81F5E302C}" name="DIAS DE MORA" dataDxfId="14">
      <calculatedColumnFormula>IF(COMPOSICIONSALDOneo[[#This Row],[IMP. PRINCIPAL]] &gt; 0, MAX(0, $A$1-COMPOSICIONSALDOneo[[#This Row],[FECHA VTO.]]), 0)</calculatedColumnFormula>
    </tableColumn>
    <tableColumn id="13" xr3:uid="{0D240DFA-2574-4544-BB00-3BB6DA411567}" name="FECH" dataDxfId="13">
      <calculatedColumnFormula>UPPER(TEXT(COMPOSICIONSALDOneo[[#This Row],[FECHA VTO.]],"MMM"))</calculatedColumnFormula>
    </tableColumn>
    <tableColumn id="17" xr3:uid="{AF6FDB16-C5B0-4D27-A0ED-EB84321F0F36}" name="MES2" dataDxfId="12">
      <calculatedColumnFormula>TEXT(MONTH(COMPOSICIONSALDOneo[[#This Row],[FECHA VTO.]]),"00")</calculatedColumnFormula>
    </tableColumn>
    <tableColumn id="20" xr3:uid="{33F66719-2BEB-4FA9-917B-7451E93ADBE1}" name="MES" dataDxfId="11">
      <calculatedColumnFormula>+CONCATENATE(COMPOSICIONSALDOneo[[#This Row],[FECH]],"-",COMPOSICIONSALDOneo[[#This Row],[MES2]])</calculatedColumnFormula>
    </tableColumn>
    <tableColumn id="14" xr3:uid="{196B354A-27A3-43B3-90DC-1315947D1FF3}" name="ESTADO SEGÚN MORA" dataDxfId="10">
      <calculatedColumnFormula>IF(L3=0,"NO VENCIDO",IF(L3&lt;30,"VENCIDO&lt;30",IF(L3&lt;60,"VENCIDO 30",IF(L3&lt;90,"VENCIDO 60",IF(L3&lt;150,"VENCIDO 90","VENCIDO&gt;150")))))</calculatedColumnFormula>
    </tableColumn>
    <tableColumn id="16" xr3:uid="{9122A151-9AB6-434D-979C-D87047BB2294}" name="ESTADO" dataDxfId="9">
      <calculatedColumnFormula>IF(COMPOSICIONSALDOneo[[#This Row],[DIAS DE MORA]]&lt;1,"NO VENCIDO",IF(COMPOSICIONSALDOneo[[#This Row],[DIAS DE MORA]]&gt;=1,"VENCIDO","INCOBRABLE"))</calculatedColumnFormula>
    </tableColumn>
    <tableColumn id="15" xr3:uid="{EAFA9945-AAC3-4817-B2E3-C9E114C148E3}" name="AREA" dataDxfId="8">
      <calculatedColumnFormula>+VLOOKUP(#REF!,#REF!,2,0)</calculatedColumnFormula>
    </tableColumn>
    <tableColumn id="18" xr3:uid="{156B5CD3-A4E4-413F-8E33-BA69FFD139DA}" name="PROVINCIA" dataDxfId="7">
      <calculatedColumnFormula>+VLOOKUP(COMPOSICIONSALDOneo[[#This Row],[CLIENTE]],Tabla5[],3,FALSE)</calculatedColumnFormula>
    </tableColumn>
    <tableColumn id="19" xr3:uid="{93F3771D-8B3C-44F4-B9BE-5D443E0BDDCD}" name="ALERTA VENC." dataDxfId="6">
      <calculatedColumnFormula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07/relationships/slicer" Target="../slicers/slicer1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B6E9-89C4-4AE6-B697-7DB23AC1B63B}">
  <sheetPr>
    <pageSetUpPr autoPageBreaks="0" fitToPage="1"/>
  </sheetPr>
  <dimension ref="A1:R103"/>
  <sheetViews>
    <sheetView showGridLines="0" showRowColHeaders="0" tabSelected="1" zoomScale="80" zoomScaleNormal="80" zoomScaleSheetLayoutView="70" workbookViewId="0">
      <selection activeCell="S4" sqref="S1:XFD1048576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0" defaultRowHeight="14.4" zeroHeight="1" x14ac:dyDescent="0.3"/>
  <cols>
    <col min="1" max="12" width="11.5546875" style="41" customWidth="1"/>
    <col min="13" max="13" width="40.109375" style="41" customWidth="1"/>
    <col min="14" max="14" width="21.88671875" style="41" customWidth="1"/>
    <col min="15" max="15" width="21" style="41" customWidth="1"/>
    <col min="16" max="16" width="20.33203125" style="41" customWidth="1"/>
    <col min="17" max="17" width="18.33203125" style="41" customWidth="1"/>
    <col min="18" max="18" width="14.6640625" style="41" customWidth="1"/>
    <col min="19" max="16384" width="11.5546875" style="41" hidden="1"/>
  </cols>
  <sheetData>
    <row r="1" spans="16:16" x14ac:dyDescent="0.3"/>
    <row r="2" spans="16:16" x14ac:dyDescent="0.3"/>
    <row r="3" spans="16:16" x14ac:dyDescent="0.3"/>
    <row r="4" spans="16:16" x14ac:dyDescent="0.3"/>
    <row r="5" spans="16:16" x14ac:dyDescent="0.3">
      <c r="P5" s="40"/>
    </row>
    <row r="6" spans="16:16" x14ac:dyDescent="0.3"/>
    <row r="7" spans="16:16" x14ac:dyDescent="0.3"/>
    <row r="8" spans="16:16" x14ac:dyDescent="0.3"/>
    <row r="9" spans="16:16" x14ac:dyDescent="0.3"/>
    <row r="10" spans="16:16" x14ac:dyDescent="0.3"/>
    <row r="11" spans="16:16" x14ac:dyDescent="0.3"/>
    <row r="12" spans="16:16" x14ac:dyDescent="0.3"/>
    <row r="13" spans="16:16" x14ac:dyDescent="0.3">
      <c r="P13" s="40"/>
    </row>
    <row r="14" spans="16:16" x14ac:dyDescent="0.3"/>
    <row r="15" spans="16:16" x14ac:dyDescent="0.3"/>
    <row r="16" spans="16:16" x14ac:dyDescent="0.3"/>
    <row r="17" s="41" customFormat="1" x14ac:dyDescent="0.3"/>
    <row r="18" s="41" customFormat="1" x14ac:dyDescent="0.3"/>
    <row r="19" s="41" customFormat="1" x14ac:dyDescent="0.3"/>
    <row r="20" s="41" customFormat="1" x14ac:dyDescent="0.3"/>
    <row r="21" s="41" customFormat="1" x14ac:dyDescent="0.3"/>
    <row r="22" s="41" customFormat="1" x14ac:dyDescent="0.3"/>
    <row r="23" s="41" customFormat="1" x14ac:dyDescent="0.3"/>
    <row r="24" s="41" customFormat="1" x14ac:dyDescent="0.3"/>
    <row r="25" s="41" customFormat="1" x14ac:dyDescent="0.3"/>
    <row r="26" s="41" customFormat="1" x14ac:dyDescent="0.3"/>
    <row r="27" s="41" customFormat="1" x14ac:dyDescent="0.3"/>
    <row r="28" s="41" customFormat="1" x14ac:dyDescent="0.3"/>
    <row r="29" s="41" customFormat="1" x14ac:dyDescent="0.3"/>
    <row r="30" s="41" customFormat="1" x14ac:dyDescent="0.3"/>
    <row r="31" s="41" customFormat="1" x14ac:dyDescent="0.3"/>
    <row r="32" s="41" customFormat="1" ht="11.4" customHeight="1" x14ac:dyDescent="0.3"/>
    <row r="33" s="41" customFormat="1" x14ac:dyDescent="0.3"/>
    <row r="34" s="41" customFormat="1" x14ac:dyDescent="0.3"/>
    <row r="35" s="41" customFormat="1" x14ac:dyDescent="0.3"/>
    <row r="36" s="41" customFormat="1" x14ac:dyDescent="0.3"/>
    <row r="37" s="41" customFormat="1" x14ac:dyDescent="0.3"/>
    <row r="38" s="41" customFormat="1" x14ac:dyDescent="0.3"/>
    <row r="39" s="41" customFormat="1" x14ac:dyDescent="0.3"/>
    <row r="40" s="41" customFormat="1" x14ac:dyDescent="0.3"/>
    <row r="41" s="41" customFormat="1" x14ac:dyDescent="0.3"/>
    <row r="42" s="41" customFormat="1" x14ac:dyDescent="0.3"/>
    <row r="43" s="41" customFormat="1" x14ac:dyDescent="0.3"/>
    <row r="44" s="41" customFormat="1" x14ac:dyDescent="0.3"/>
    <row r="45" s="41" customFormat="1" x14ac:dyDescent="0.3"/>
    <row r="46" s="41" customFormat="1" x14ac:dyDescent="0.3"/>
    <row r="47" s="41" customFormat="1" x14ac:dyDescent="0.3"/>
    <row r="48" s="41" customFormat="1" x14ac:dyDescent="0.3"/>
    <row r="49" spans="9:9" x14ac:dyDescent="0.3"/>
    <row r="50" spans="9:9" x14ac:dyDescent="0.3"/>
    <row r="51" spans="9:9" x14ac:dyDescent="0.3"/>
    <row r="52" spans="9:9" x14ac:dyDescent="0.3"/>
    <row r="53" spans="9:9" x14ac:dyDescent="0.3"/>
    <row r="54" spans="9:9" x14ac:dyDescent="0.3"/>
    <row r="55" spans="9:9" x14ac:dyDescent="0.3"/>
    <row r="56" spans="9:9" x14ac:dyDescent="0.3"/>
    <row r="57" spans="9:9" x14ac:dyDescent="0.3"/>
    <row r="58" spans="9:9" x14ac:dyDescent="0.3"/>
    <row r="59" spans="9:9" x14ac:dyDescent="0.3"/>
    <row r="60" spans="9:9" x14ac:dyDescent="0.3">
      <c r="I60" s="42"/>
    </row>
    <row r="61" spans="9:9" x14ac:dyDescent="0.3">
      <c r="I61" s="42"/>
    </row>
    <row r="62" spans="9:9" x14ac:dyDescent="0.3">
      <c r="I62" s="42"/>
    </row>
    <row r="63" spans="9:9" x14ac:dyDescent="0.3">
      <c r="I63" s="42"/>
    </row>
    <row r="64" spans="9:9" x14ac:dyDescent="0.3"/>
    <row r="65" s="41" customFormat="1" x14ac:dyDescent="0.3"/>
    <row r="66" s="41" customFormat="1" x14ac:dyDescent="0.3"/>
    <row r="67" s="41" customFormat="1" x14ac:dyDescent="0.3"/>
    <row r="68" s="41" customFormat="1" hidden="1" x14ac:dyDescent="0.3"/>
    <row r="69" s="41" customFormat="1" hidden="1" x14ac:dyDescent="0.3"/>
    <row r="70" s="41" customFormat="1" hidden="1" x14ac:dyDescent="0.3"/>
    <row r="71" s="41" customFormat="1" hidden="1" x14ac:dyDescent="0.3"/>
    <row r="72" s="41" customFormat="1" hidden="1" x14ac:dyDescent="0.3"/>
    <row r="73" s="41" customFormat="1" hidden="1" x14ac:dyDescent="0.3"/>
    <row r="74" s="41" customFormat="1" hidden="1" x14ac:dyDescent="0.3"/>
    <row r="75" s="41" customFormat="1" hidden="1" x14ac:dyDescent="0.3"/>
    <row r="76" s="41" customFormat="1" hidden="1" x14ac:dyDescent="0.3"/>
    <row r="77" s="41" customFormat="1" hidden="1" x14ac:dyDescent="0.3"/>
    <row r="78" s="41" customFormat="1" hidden="1" x14ac:dyDescent="0.3"/>
    <row r="79" s="41" customFormat="1" hidden="1" x14ac:dyDescent="0.3"/>
    <row r="80" s="41" customFormat="1" hidden="1" x14ac:dyDescent="0.3"/>
    <row r="81" s="41" customFormat="1" hidden="1" x14ac:dyDescent="0.3"/>
    <row r="82" s="41" customFormat="1" hidden="1" x14ac:dyDescent="0.3"/>
    <row r="83" s="41" customFormat="1" hidden="1" x14ac:dyDescent="0.3"/>
    <row r="84" s="41" customFormat="1" hidden="1" x14ac:dyDescent="0.3"/>
    <row r="85" s="41" customFormat="1" hidden="1" x14ac:dyDescent="0.3"/>
    <row r="86" s="41" customFormat="1" hidden="1" x14ac:dyDescent="0.3"/>
    <row r="87" s="41" customFormat="1" hidden="1" x14ac:dyDescent="0.3"/>
    <row r="88" s="41" customFormat="1" hidden="1" x14ac:dyDescent="0.3"/>
    <row r="89" s="41" customFormat="1" hidden="1" x14ac:dyDescent="0.3"/>
    <row r="90" s="41" customFormat="1" hidden="1" x14ac:dyDescent="0.3"/>
    <row r="91" s="41" customFormat="1" hidden="1" x14ac:dyDescent="0.3"/>
    <row r="92" s="41" customFormat="1" hidden="1" x14ac:dyDescent="0.3"/>
    <row r="93" s="41" customFormat="1" hidden="1" x14ac:dyDescent="0.3"/>
    <row r="94" s="41" customFormat="1" hidden="1" x14ac:dyDescent="0.3"/>
    <row r="95" s="41" customFormat="1" hidden="1" x14ac:dyDescent="0.3"/>
    <row r="96" s="41" customFormat="1" hidden="1" x14ac:dyDescent="0.3"/>
    <row r="97" s="41" customFormat="1" hidden="1" x14ac:dyDescent="0.3"/>
    <row r="98" s="41" customFormat="1" hidden="1" x14ac:dyDescent="0.3"/>
    <row r="99" s="41" customFormat="1" hidden="1" x14ac:dyDescent="0.3"/>
    <row r="100" s="41" customFormat="1" hidden="1" x14ac:dyDescent="0.3"/>
    <row r="101" s="41" customFormat="1" hidden="1" x14ac:dyDescent="0.3"/>
    <row r="102" s="41" customFormat="1" hidden="1" x14ac:dyDescent="0.3"/>
    <row r="103" s="41" customFormat="1" hidden="1" x14ac:dyDescent="0.3"/>
  </sheetData>
  <printOptions horizontalCentered="1"/>
  <pageMargins left="0.98425196850393704" right="0.9055118110236221" top="0.78740157480314965" bottom="0.78740157480314965" header="0.31496062992125984" footer="0.31496062992125984"/>
  <pageSetup paperSize="9" scale="45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17</xdr:col>
                    <xdr:colOff>76200</xdr:colOff>
                    <xdr:row>38</xdr:row>
                    <xdr:rowOff>175260</xdr:rowOff>
                  </from>
                  <to>
                    <xdr:col>17</xdr:col>
                    <xdr:colOff>297180</xdr:colOff>
                    <xdr:row>55</xdr:row>
                    <xdr:rowOff>99060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C84D6-849B-4361-84A8-6AD887771BB4}">
  <dimension ref="A1:C61"/>
  <sheetViews>
    <sheetView topLeftCell="A40" workbookViewId="0">
      <selection activeCell="D68" sqref="D68"/>
    </sheetView>
  </sheetViews>
  <sheetFormatPr baseColWidth="10" defaultColWidth="11.44140625" defaultRowHeight="14.4" x14ac:dyDescent="0.3"/>
  <cols>
    <col min="1" max="1" width="39.5546875" customWidth="1"/>
    <col min="2" max="2" width="16.33203125" bestFit="1" customWidth="1"/>
    <col min="3" max="3" width="16.21875" bestFit="1" customWidth="1"/>
  </cols>
  <sheetData>
    <row r="1" spans="1:3" x14ac:dyDescent="0.3">
      <c r="A1" t="s">
        <v>159</v>
      </c>
      <c r="B1" t="s">
        <v>160</v>
      </c>
      <c r="C1" t="s">
        <v>161</v>
      </c>
    </row>
    <row r="2" spans="1:3" x14ac:dyDescent="0.3">
      <c r="A2" t="s">
        <v>162</v>
      </c>
      <c r="B2" t="s">
        <v>162</v>
      </c>
      <c r="C2" t="s">
        <v>2</v>
      </c>
    </row>
    <row r="3" spans="1:3" x14ac:dyDescent="0.3">
      <c r="A3" t="s">
        <v>163</v>
      </c>
      <c r="B3" t="s">
        <v>163</v>
      </c>
      <c r="C3" t="s">
        <v>6</v>
      </c>
    </row>
    <row r="4" spans="1:3" x14ac:dyDescent="0.3">
      <c r="A4" t="s">
        <v>164</v>
      </c>
      <c r="B4" t="s">
        <v>164</v>
      </c>
      <c r="C4" t="s">
        <v>5</v>
      </c>
    </row>
    <row r="5" spans="1:3" x14ac:dyDescent="0.3">
      <c r="A5" t="s">
        <v>165</v>
      </c>
      <c r="B5" t="s">
        <v>165</v>
      </c>
      <c r="C5" t="s">
        <v>5</v>
      </c>
    </row>
    <row r="6" spans="1:3" x14ac:dyDescent="0.3">
      <c r="A6" t="s">
        <v>166</v>
      </c>
      <c r="B6" t="s">
        <v>166</v>
      </c>
      <c r="C6" t="s">
        <v>2</v>
      </c>
    </row>
    <row r="7" spans="1:3" x14ac:dyDescent="0.3">
      <c r="A7" t="s">
        <v>167</v>
      </c>
      <c r="B7" t="s">
        <v>167</v>
      </c>
      <c r="C7" t="s">
        <v>4</v>
      </c>
    </row>
    <row r="8" spans="1:3" x14ac:dyDescent="0.3">
      <c r="A8" t="s">
        <v>168</v>
      </c>
      <c r="B8" t="s">
        <v>168</v>
      </c>
      <c r="C8" t="s">
        <v>5</v>
      </c>
    </row>
    <row r="9" spans="1:3" x14ac:dyDescent="0.3">
      <c r="A9" t="s">
        <v>169</v>
      </c>
      <c r="B9" t="s">
        <v>169</v>
      </c>
      <c r="C9" t="s">
        <v>5</v>
      </c>
    </row>
    <row r="10" spans="1:3" x14ac:dyDescent="0.3">
      <c r="A10" t="s">
        <v>170</v>
      </c>
      <c r="B10" t="s">
        <v>170</v>
      </c>
      <c r="C10" t="s">
        <v>5</v>
      </c>
    </row>
    <row r="11" spans="1:3" x14ac:dyDescent="0.3">
      <c r="A11" t="s">
        <v>171</v>
      </c>
      <c r="B11" t="s">
        <v>171</v>
      </c>
      <c r="C11" t="s">
        <v>3</v>
      </c>
    </row>
    <row r="12" spans="1:3" x14ac:dyDescent="0.3">
      <c r="A12" t="s">
        <v>172</v>
      </c>
      <c r="B12" t="s">
        <v>172</v>
      </c>
      <c r="C12" t="s">
        <v>5</v>
      </c>
    </row>
    <row r="13" spans="1:3" x14ac:dyDescent="0.3">
      <c r="A13" t="s">
        <v>173</v>
      </c>
      <c r="B13" t="s">
        <v>173</v>
      </c>
      <c r="C13" t="s">
        <v>5</v>
      </c>
    </row>
    <row r="14" spans="1:3" x14ac:dyDescent="0.3">
      <c r="A14" t="s">
        <v>174</v>
      </c>
      <c r="B14" t="s">
        <v>174</v>
      </c>
      <c r="C14" t="s">
        <v>3</v>
      </c>
    </row>
    <row r="15" spans="1:3" x14ac:dyDescent="0.3">
      <c r="A15" t="s">
        <v>175</v>
      </c>
      <c r="B15" t="s">
        <v>175</v>
      </c>
      <c r="C15" t="s">
        <v>5</v>
      </c>
    </row>
    <row r="16" spans="1:3" x14ac:dyDescent="0.3">
      <c r="A16" t="s">
        <v>176</v>
      </c>
      <c r="B16" t="s">
        <v>176</v>
      </c>
      <c r="C16" t="s">
        <v>3</v>
      </c>
    </row>
    <row r="17" spans="1:3" x14ac:dyDescent="0.3">
      <c r="A17" t="s">
        <v>177</v>
      </c>
      <c r="B17" t="s">
        <v>177</v>
      </c>
      <c r="C17" t="s">
        <v>4</v>
      </c>
    </row>
    <row r="18" spans="1:3" x14ac:dyDescent="0.3">
      <c r="A18" t="s">
        <v>178</v>
      </c>
      <c r="B18" t="s">
        <v>178</v>
      </c>
      <c r="C18" t="s">
        <v>2</v>
      </c>
    </row>
    <row r="19" spans="1:3" x14ac:dyDescent="0.3">
      <c r="A19" t="s">
        <v>179</v>
      </c>
      <c r="B19" t="s">
        <v>179</v>
      </c>
      <c r="C19" t="s">
        <v>5</v>
      </c>
    </row>
    <row r="20" spans="1:3" x14ac:dyDescent="0.3">
      <c r="A20" t="s">
        <v>180</v>
      </c>
      <c r="B20" t="s">
        <v>180</v>
      </c>
      <c r="C20" t="s">
        <v>2</v>
      </c>
    </row>
    <row r="21" spans="1:3" x14ac:dyDescent="0.3">
      <c r="A21" t="s">
        <v>181</v>
      </c>
      <c r="B21" t="s">
        <v>181</v>
      </c>
      <c r="C21" t="s">
        <v>2</v>
      </c>
    </row>
    <row r="22" spans="1:3" x14ac:dyDescent="0.3">
      <c r="A22" t="s">
        <v>182</v>
      </c>
      <c r="B22" t="s">
        <v>182</v>
      </c>
      <c r="C22" t="s">
        <v>6</v>
      </c>
    </row>
    <row r="23" spans="1:3" x14ac:dyDescent="0.3">
      <c r="A23" t="s">
        <v>183</v>
      </c>
      <c r="B23" t="s">
        <v>183</v>
      </c>
      <c r="C23" t="s">
        <v>2</v>
      </c>
    </row>
    <row r="24" spans="1:3" x14ac:dyDescent="0.3">
      <c r="A24" t="s">
        <v>184</v>
      </c>
      <c r="B24" t="s">
        <v>184</v>
      </c>
      <c r="C24" t="s">
        <v>3</v>
      </c>
    </row>
    <row r="25" spans="1:3" x14ac:dyDescent="0.3">
      <c r="A25" t="s">
        <v>185</v>
      </c>
      <c r="B25" t="s">
        <v>185</v>
      </c>
      <c r="C25" t="s">
        <v>2</v>
      </c>
    </row>
    <row r="26" spans="1:3" x14ac:dyDescent="0.3">
      <c r="A26" t="s">
        <v>186</v>
      </c>
      <c r="B26" t="s">
        <v>186</v>
      </c>
      <c r="C26" t="s">
        <v>3</v>
      </c>
    </row>
    <row r="27" spans="1:3" x14ac:dyDescent="0.3">
      <c r="A27" t="s">
        <v>187</v>
      </c>
      <c r="B27" t="s">
        <v>187</v>
      </c>
      <c r="C27" t="s">
        <v>6</v>
      </c>
    </row>
    <row r="28" spans="1:3" x14ac:dyDescent="0.3">
      <c r="A28" t="s">
        <v>188</v>
      </c>
      <c r="B28" t="s">
        <v>188</v>
      </c>
      <c r="C28" t="s">
        <v>4</v>
      </c>
    </row>
    <row r="29" spans="1:3" x14ac:dyDescent="0.3">
      <c r="A29" t="s">
        <v>189</v>
      </c>
      <c r="B29" t="s">
        <v>189</v>
      </c>
      <c r="C29" t="s">
        <v>3</v>
      </c>
    </row>
    <row r="30" spans="1:3" x14ac:dyDescent="0.3">
      <c r="A30" t="s">
        <v>190</v>
      </c>
      <c r="B30" t="s">
        <v>190</v>
      </c>
      <c r="C30" t="s">
        <v>6</v>
      </c>
    </row>
    <row r="31" spans="1:3" x14ac:dyDescent="0.3">
      <c r="A31" t="s">
        <v>191</v>
      </c>
      <c r="B31" t="s">
        <v>191</v>
      </c>
      <c r="C31" t="s">
        <v>6</v>
      </c>
    </row>
    <row r="32" spans="1:3" x14ac:dyDescent="0.3">
      <c r="A32" t="s">
        <v>192</v>
      </c>
      <c r="B32" t="s">
        <v>192</v>
      </c>
      <c r="C32" t="s">
        <v>6</v>
      </c>
    </row>
    <row r="33" spans="1:3" x14ac:dyDescent="0.3">
      <c r="A33" t="s">
        <v>193</v>
      </c>
      <c r="B33" t="s">
        <v>193</v>
      </c>
      <c r="C33" t="s">
        <v>3</v>
      </c>
    </row>
    <row r="34" spans="1:3" x14ac:dyDescent="0.3">
      <c r="A34" t="s">
        <v>194</v>
      </c>
      <c r="B34" t="s">
        <v>194</v>
      </c>
      <c r="C34" t="s">
        <v>5</v>
      </c>
    </row>
    <row r="35" spans="1:3" x14ac:dyDescent="0.3">
      <c r="A35" t="s">
        <v>195</v>
      </c>
      <c r="B35" t="s">
        <v>195</v>
      </c>
      <c r="C35" t="s">
        <v>2</v>
      </c>
    </row>
    <row r="36" spans="1:3" x14ac:dyDescent="0.3">
      <c r="A36" t="s">
        <v>196</v>
      </c>
      <c r="B36" t="s">
        <v>196</v>
      </c>
      <c r="C36" t="s">
        <v>6</v>
      </c>
    </row>
    <row r="37" spans="1:3" x14ac:dyDescent="0.3">
      <c r="A37" t="s">
        <v>197</v>
      </c>
      <c r="B37" t="s">
        <v>197</v>
      </c>
      <c r="C37" t="s">
        <v>2</v>
      </c>
    </row>
    <row r="38" spans="1:3" x14ac:dyDescent="0.3">
      <c r="A38" t="s">
        <v>198</v>
      </c>
      <c r="B38" t="s">
        <v>198</v>
      </c>
      <c r="C38" t="s">
        <v>5</v>
      </c>
    </row>
    <row r="39" spans="1:3" x14ac:dyDescent="0.3">
      <c r="A39" t="s">
        <v>199</v>
      </c>
      <c r="B39" t="s">
        <v>199</v>
      </c>
      <c r="C39" t="s">
        <v>5</v>
      </c>
    </row>
    <row r="40" spans="1:3" x14ac:dyDescent="0.3">
      <c r="A40" t="s">
        <v>200</v>
      </c>
      <c r="B40" t="s">
        <v>200</v>
      </c>
      <c r="C40" t="s">
        <v>6</v>
      </c>
    </row>
    <row r="41" spans="1:3" x14ac:dyDescent="0.3">
      <c r="A41" t="s">
        <v>201</v>
      </c>
      <c r="B41" t="s">
        <v>201</v>
      </c>
      <c r="C41" t="s">
        <v>6</v>
      </c>
    </row>
    <row r="42" spans="1:3" x14ac:dyDescent="0.3">
      <c r="A42" t="s">
        <v>269</v>
      </c>
      <c r="B42" t="s">
        <v>269</v>
      </c>
      <c r="C42" t="s">
        <v>3</v>
      </c>
    </row>
    <row r="43" spans="1:3" x14ac:dyDescent="0.3">
      <c r="A43" t="s">
        <v>263</v>
      </c>
      <c r="B43" t="s">
        <v>263</v>
      </c>
      <c r="C43" t="s">
        <v>4</v>
      </c>
    </row>
    <row r="44" spans="1:3" x14ac:dyDescent="0.3">
      <c r="A44" t="s">
        <v>287</v>
      </c>
      <c r="B44" t="s">
        <v>287</v>
      </c>
      <c r="C44" t="s">
        <v>5</v>
      </c>
    </row>
    <row r="45" spans="1:3" x14ac:dyDescent="0.3">
      <c r="A45" t="s">
        <v>261</v>
      </c>
      <c r="B45" t="s">
        <v>261</v>
      </c>
      <c r="C45" t="s">
        <v>6</v>
      </c>
    </row>
    <row r="46" spans="1:3" x14ac:dyDescent="0.3">
      <c r="A46" t="s">
        <v>288</v>
      </c>
      <c r="B46" t="s">
        <v>288</v>
      </c>
      <c r="C46" t="s">
        <v>2</v>
      </c>
    </row>
    <row r="47" spans="1:3" x14ac:dyDescent="0.3">
      <c r="A47" t="s">
        <v>271</v>
      </c>
      <c r="B47" t="s">
        <v>271</v>
      </c>
      <c r="C47" t="s">
        <v>6</v>
      </c>
    </row>
    <row r="48" spans="1:3" x14ac:dyDescent="0.3">
      <c r="A48" t="s">
        <v>281</v>
      </c>
      <c r="B48" t="s">
        <v>281</v>
      </c>
      <c r="C48" t="s">
        <v>6</v>
      </c>
    </row>
    <row r="49" spans="1:3" x14ac:dyDescent="0.3">
      <c r="A49" t="s">
        <v>289</v>
      </c>
      <c r="B49" t="s">
        <v>289</v>
      </c>
      <c r="C49" t="s">
        <v>3</v>
      </c>
    </row>
    <row r="50" spans="1:3" x14ac:dyDescent="0.3">
      <c r="A50" t="s">
        <v>290</v>
      </c>
      <c r="B50" t="s">
        <v>290</v>
      </c>
      <c r="C50" t="s">
        <v>3</v>
      </c>
    </row>
    <row r="51" spans="1:3" x14ac:dyDescent="0.3">
      <c r="A51" t="s">
        <v>291</v>
      </c>
      <c r="B51" t="s">
        <v>291</v>
      </c>
      <c r="C51" t="s">
        <v>2</v>
      </c>
    </row>
    <row r="52" spans="1:3" x14ac:dyDescent="0.3">
      <c r="A52" t="s">
        <v>266</v>
      </c>
      <c r="B52" t="s">
        <v>266</v>
      </c>
      <c r="C52" t="s">
        <v>3</v>
      </c>
    </row>
    <row r="53" spans="1:3" x14ac:dyDescent="0.3">
      <c r="A53" t="s">
        <v>262</v>
      </c>
      <c r="B53" t="s">
        <v>262</v>
      </c>
      <c r="C53" t="s">
        <v>5</v>
      </c>
    </row>
    <row r="54" spans="1:3" x14ac:dyDescent="0.3">
      <c r="A54" t="s">
        <v>270</v>
      </c>
      <c r="B54" t="s">
        <v>270</v>
      </c>
      <c r="C54" t="s">
        <v>5</v>
      </c>
    </row>
    <row r="55" spans="1:3" x14ac:dyDescent="0.3">
      <c r="A55" t="s">
        <v>268</v>
      </c>
      <c r="B55" t="s">
        <v>268</v>
      </c>
      <c r="C55" t="s">
        <v>3</v>
      </c>
    </row>
    <row r="56" spans="1:3" x14ac:dyDescent="0.3">
      <c r="A56" t="s">
        <v>285</v>
      </c>
      <c r="B56" t="s">
        <v>285</v>
      </c>
      <c r="C56" t="s">
        <v>2</v>
      </c>
    </row>
    <row r="57" spans="1:3" x14ac:dyDescent="0.3">
      <c r="A57" t="s">
        <v>292</v>
      </c>
      <c r="B57" t="s">
        <v>292</v>
      </c>
      <c r="C57" t="s">
        <v>3</v>
      </c>
    </row>
    <row r="58" spans="1:3" x14ac:dyDescent="0.3">
      <c r="A58" t="s">
        <v>260</v>
      </c>
      <c r="B58" t="s">
        <v>260</v>
      </c>
      <c r="C58" t="s">
        <v>5</v>
      </c>
    </row>
    <row r="59" spans="1:3" x14ac:dyDescent="0.3">
      <c r="A59" t="s">
        <v>265</v>
      </c>
      <c r="B59" t="s">
        <v>265</v>
      </c>
      <c r="C59" t="s">
        <v>5</v>
      </c>
    </row>
    <row r="60" spans="1:3" x14ac:dyDescent="0.3">
      <c r="A60" t="s">
        <v>264</v>
      </c>
      <c r="B60" t="s">
        <v>264</v>
      </c>
      <c r="C60" t="s">
        <v>3</v>
      </c>
    </row>
    <row r="61" spans="1:3" x14ac:dyDescent="0.3">
      <c r="A61" t="s">
        <v>267</v>
      </c>
      <c r="B61" t="s">
        <v>267</v>
      </c>
      <c r="C61" t="s">
        <v>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BAF-B858-44CE-BE80-9851469A46F4}">
  <dimension ref="A1:B160"/>
  <sheetViews>
    <sheetView topLeftCell="A137" workbookViewId="0">
      <selection activeCell="B145" sqref="B145"/>
    </sheetView>
  </sheetViews>
  <sheetFormatPr baseColWidth="10" defaultColWidth="11.44140625" defaultRowHeight="14.4" x14ac:dyDescent="0.3"/>
  <cols>
    <col min="2" max="2" width="11.6640625" customWidth="1"/>
  </cols>
  <sheetData>
    <row r="1" spans="1:2" x14ac:dyDescent="0.3">
      <c r="A1" s="15" t="s">
        <v>7</v>
      </c>
      <c r="B1" s="16" t="s">
        <v>8</v>
      </c>
    </row>
    <row r="2" spans="1:2" x14ac:dyDescent="0.3">
      <c r="A2" s="8">
        <v>45870</v>
      </c>
      <c r="B2" s="9">
        <v>1380</v>
      </c>
    </row>
    <row r="3" spans="1:2" x14ac:dyDescent="0.3">
      <c r="A3" s="8">
        <v>45873</v>
      </c>
      <c r="B3" s="9">
        <v>1375</v>
      </c>
    </row>
    <row r="4" spans="1:2" x14ac:dyDescent="0.3">
      <c r="A4" s="8">
        <v>45874</v>
      </c>
      <c r="B4" s="9">
        <v>1370</v>
      </c>
    </row>
    <row r="5" spans="1:2" x14ac:dyDescent="0.3">
      <c r="A5" s="8">
        <v>45875</v>
      </c>
      <c r="B5" s="9">
        <v>1350</v>
      </c>
    </row>
    <row r="6" spans="1:2" x14ac:dyDescent="0.3">
      <c r="A6" s="8">
        <v>45876</v>
      </c>
      <c r="B6" s="9">
        <v>1345</v>
      </c>
    </row>
    <row r="7" spans="1:2" x14ac:dyDescent="0.3">
      <c r="A7" s="8">
        <v>45877</v>
      </c>
      <c r="B7" s="9">
        <v>1340</v>
      </c>
    </row>
    <row r="8" spans="1:2" x14ac:dyDescent="0.3">
      <c r="A8" s="8">
        <v>45880</v>
      </c>
      <c r="B8" s="9">
        <v>1335</v>
      </c>
    </row>
    <row r="9" spans="1:2" x14ac:dyDescent="0.3">
      <c r="A9" s="8">
        <v>45881</v>
      </c>
      <c r="B9" s="9">
        <v>1335</v>
      </c>
    </row>
    <row r="10" spans="1:2" x14ac:dyDescent="0.3">
      <c r="A10" s="8">
        <v>45882</v>
      </c>
      <c r="B10" s="9">
        <v>1330</v>
      </c>
    </row>
    <row r="11" spans="1:2" x14ac:dyDescent="0.3">
      <c r="A11" s="8">
        <v>45883</v>
      </c>
      <c r="B11" s="9">
        <v>1325</v>
      </c>
    </row>
    <row r="12" spans="1:2" x14ac:dyDescent="0.3">
      <c r="A12" s="8">
        <v>45884</v>
      </c>
      <c r="B12" s="9">
        <v>1310</v>
      </c>
    </row>
    <row r="13" spans="1:2" x14ac:dyDescent="0.3">
      <c r="A13" s="8">
        <v>45887</v>
      </c>
      <c r="B13" s="9">
        <v>1310</v>
      </c>
    </row>
    <row r="14" spans="1:2" x14ac:dyDescent="0.3">
      <c r="A14" s="8">
        <v>45888</v>
      </c>
      <c r="B14" s="9">
        <v>1315</v>
      </c>
    </row>
    <row r="15" spans="1:2" x14ac:dyDescent="0.3">
      <c r="A15" s="8">
        <v>45889</v>
      </c>
      <c r="B15" s="9">
        <v>1310</v>
      </c>
    </row>
    <row r="16" spans="1:2" x14ac:dyDescent="0.3">
      <c r="A16" s="8">
        <v>45890</v>
      </c>
      <c r="B16" s="9">
        <v>1315</v>
      </c>
    </row>
    <row r="17" spans="1:2" x14ac:dyDescent="0.3">
      <c r="A17" s="8">
        <v>45891</v>
      </c>
      <c r="B17" s="9">
        <v>1325</v>
      </c>
    </row>
    <row r="18" spans="1:2" x14ac:dyDescent="0.3">
      <c r="A18" s="8">
        <v>45894</v>
      </c>
      <c r="B18" s="9">
        <v>1335</v>
      </c>
    </row>
    <row r="19" spans="1:2" x14ac:dyDescent="0.3">
      <c r="A19" s="8">
        <v>45895</v>
      </c>
      <c r="B19" s="9">
        <v>1370</v>
      </c>
    </row>
    <row r="20" spans="1:2" x14ac:dyDescent="0.3">
      <c r="A20" s="8">
        <v>45896</v>
      </c>
      <c r="B20" s="9">
        <v>1370</v>
      </c>
    </row>
    <row r="21" spans="1:2" x14ac:dyDescent="0.3">
      <c r="A21" s="8">
        <v>45897</v>
      </c>
      <c r="B21" s="9">
        <v>1360</v>
      </c>
    </row>
    <row r="22" spans="1:2" x14ac:dyDescent="0.3">
      <c r="A22" s="8">
        <v>45898</v>
      </c>
      <c r="B22" s="9">
        <v>1345</v>
      </c>
    </row>
    <row r="23" spans="1:2" x14ac:dyDescent="0.3">
      <c r="A23" s="8">
        <v>45901</v>
      </c>
      <c r="B23" s="9">
        <v>1360</v>
      </c>
    </row>
    <row r="24" spans="1:2" x14ac:dyDescent="0.3">
      <c r="A24" s="8">
        <v>45902</v>
      </c>
      <c r="B24" s="9">
        <v>1385</v>
      </c>
    </row>
    <row r="25" spans="1:2" x14ac:dyDescent="0.3">
      <c r="A25" s="8">
        <v>45903</v>
      </c>
      <c r="B25" s="9">
        <v>1375</v>
      </c>
    </row>
    <row r="26" spans="1:2" x14ac:dyDescent="0.3">
      <c r="A26" s="8">
        <v>45904</v>
      </c>
      <c r="B26" s="9">
        <v>1375</v>
      </c>
    </row>
    <row r="27" spans="1:2" x14ac:dyDescent="0.3">
      <c r="A27" s="8">
        <v>45905</v>
      </c>
      <c r="B27" s="9">
        <v>1375</v>
      </c>
    </row>
    <row r="28" spans="1:2" x14ac:dyDescent="0.3">
      <c r="A28" s="8">
        <v>45908</v>
      </c>
      <c r="B28" s="9">
        <v>1380</v>
      </c>
    </row>
    <row r="29" spans="1:2" x14ac:dyDescent="0.3">
      <c r="A29" s="8">
        <v>45909</v>
      </c>
      <c r="B29" s="9">
        <v>1425</v>
      </c>
    </row>
    <row r="30" spans="1:2" x14ac:dyDescent="0.3">
      <c r="A30" s="8">
        <v>45910</v>
      </c>
      <c r="B30" s="9">
        <v>1425</v>
      </c>
    </row>
    <row r="31" spans="1:2" x14ac:dyDescent="0.3">
      <c r="A31" s="8">
        <v>45911</v>
      </c>
      <c r="B31" s="9">
        <v>1435</v>
      </c>
    </row>
    <row r="32" spans="1:2" x14ac:dyDescent="0.3">
      <c r="A32" s="8">
        <v>45912</v>
      </c>
      <c r="B32" s="9">
        <v>1445</v>
      </c>
    </row>
    <row r="33" spans="1:2" x14ac:dyDescent="0.3">
      <c r="A33" s="8">
        <v>45915</v>
      </c>
      <c r="B33" s="9">
        <v>1465</v>
      </c>
    </row>
    <row r="34" spans="1:2" x14ac:dyDescent="0.3">
      <c r="A34" s="8">
        <v>45916</v>
      </c>
      <c r="B34" s="9">
        <v>1475</v>
      </c>
    </row>
    <row r="35" spans="1:2" x14ac:dyDescent="0.3">
      <c r="A35" s="8">
        <v>45917</v>
      </c>
      <c r="B35" s="9">
        <v>1480</v>
      </c>
    </row>
    <row r="36" spans="1:2" x14ac:dyDescent="0.3">
      <c r="A36" s="8">
        <v>45918</v>
      </c>
      <c r="B36" s="9">
        <v>1485</v>
      </c>
    </row>
    <row r="37" spans="1:2" x14ac:dyDescent="0.3">
      <c r="A37" s="8">
        <v>45919</v>
      </c>
      <c r="B37" s="9">
        <v>1495</v>
      </c>
    </row>
    <row r="38" spans="1:2" x14ac:dyDescent="0.3">
      <c r="A38" s="8">
        <v>45922</v>
      </c>
      <c r="B38" s="9">
        <v>1515</v>
      </c>
    </row>
    <row r="39" spans="1:2" x14ac:dyDescent="0.3">
      <c r="A39" s="8">
        <v>45923</v>
      </c>
      <c r="B39" s="9">
        <v>1430</v>
      </c>
    </row>
    <row r="40" spans="1:2" x14ac:dyDescent="0.3">
      <c r="A40" s="8">
        <v>45924</v>
      </c>
      <c r="B40" s="9">
        <v>1385</v>
      </c>
    </row>
    <row r="41" spans="1:2" x14ac:dyDescent="0.3">
      <c r="A41" s="8">
        <v>45925</v>
      </c>
      <c r="B41" s="9">
        <v>1360</v>
      </c>
    </row>
    <row r="42" spans="1:2" x14ac:dyDescent="0.3">
      <c r="A42" s="8">
        <v>45926</v>
      </c>
      <c r="B42" s="9">
        <v>1355</v>
      </c>
    </row>
    <row r="43" spans="1:2" x14ac:dyDescent="0.3">
      <c r="A43" s="8">
        <v>45929</v>
      </c>
      <c r="B43" s="9">
        <v>1350</v>
      </c>
    </row>
    <row r="44" spans="1:2" x14ac:dyDescent="0.3">
      <c r="A44" s="8">
        <v>45930</v>
      </c>
      <c r="B44" s="9">
        <v>1380</v>
      </c>
    </row>
    <row r="45" spans="1:2" x14ac:dyDescent="0.3">
      <c r="A45" s="8">
        <v>45931</v>
      </c>
      <c r="B45" s="9">
        <v>1400</v>
      </c>
    </row>
    <row r="46" spans="1:2" x14ac:dyDescent="0.3">
      <c r="A46" s="8">
        <v>45932</v>
      </c>
      <c r="B46" s="9">
        <v>1450</v>
      </c>
    </row>
    <row r="47" spans="1:2" x14ac:dyDescent="0.3">
      <c r="A47" s="8">
        <v>45933</v>
      </c>
      <c r="B47" s="9">
        <v>1450</v>
      </c>
    </row>
    <row r="48" spans="1:2" x14ac:dyDescent="0.3">
      <c r="A48" s="8">
        <v>45936</v>
      </c>
      <c r="B48" s="9">
        <v>1450</v>
      </c>
    </row>
    <row r="49" spans="1:2" x14ac:dyDescent="0.3">
      <c r="A49" s="8">
        <v>45937</v>
      </c>
      <c r="B49" s="9">
        <v>1455</v>
      </c>
    </row>
    <row r="50" spans="1:2" x14ac:dyDescent="0.3">
      <c r="A50" s="8">
        <v>45938</v>
      </c>
      <c r="B50" s="9">
        <v>1455</v>
      </c>
    </row>
    <row r="51" spans="1:2" x14ac:dyDescent="0.3">
      <c r="A51" s="8">
        <v>45939</v>
      </c>
      <c r="B51" s="9">
        <v>1455</v>
      </c>
    </row>
    <row r="52" spans="1:2" x14ac:dyDescent="0.3">
      <c r="A52" s="8">
        <v>45943</v>
      </c>
      <c r="B52" s="9">
        <v>1450</v>
      </c>
    </row>
    <row r="53" spans="1:2" x14ac:dyDescent="0.3">
      <c r="A53" s="8">
        <v>45944</v>
      </c>
      <c r="B53" s="9">
        <v>1375</v>
      </c>
    </row>
    <row r="54" spans="1:2" x14ac:dyDescent="0.3">
      <c r="A54" s="8">
        <v>45945</v>
      </c>
      <c r="B54" s="9">
        <v>1385</v>
      </c>
    </row>
    <row r="55" spans="1:2" x14ac:dyDescent="0.3">
      <c r="A55" s="8">
        <v>45946</v>
      </c>
      <c r="B55" s="9">
        <v>1405</v>
      </c>
    </row>
    <row r="56" spans="1:2" x14ac:dyDescent="0.3">
      <c r="A56" s="8">
        <v>45947</v>
      </c>
      <c r="B56" s="9">
        <v>1430</v>
      </c>
    </row>
    <row r="57" spans="1:2" x14ac:dyDescent="0.3">
      <c r="A57" s="8">
        <v>45950</v>
      </c>
      <c r="B57" s="9">
        <v>1475</v>
      </c>
    </row>
    <row r="58" spans="1:2" x14ac:dyDescent="0.3">
      <c r="A58" s="8">
        <v>45951</v>
      </c>
      <c r="B58" s="9">
        <v>1495</v>
      </c>
    </row>
    <row r="59" spans="1:2" x14ac:dyDescent="0.3">
      <c r="A59" s="8">
        <v>45952</v>
      </c>
      <c r="B59" s="9">
        <v>1515</v>
      </c>
    </row>
    <row r="60" spans="1:2" x14ac:dyDescent="0.3">
      <c r="A60" s="8">
        <v>45953</v>
      </c>
      <c r="B60" s="9">
        <v>1515</v>
      </c>
    </row>
    <row r="61" spans="1:2" x14ac:dyDescent="0.3">
      <c r="A61" s="8">
        <v>45954</v>
      </c>
      <c r="B61" s="9">
        <v>1505</v>
      </c>
    </row>
    <row r="62" spans="1:2" x14ac:dyDescent="0.3">
      <c r="A62" s="8">
        <v>45955</v>
      </c>
      <c r="B62" s="9">
        <v>1505</v>
      </c>
    </row>
    <row r="63" spans="1:2" x14ac:dyDescent="0.3">
      <c r="A63" s="8">
        <v>45956</v>
      </c>
      <c r="B63" s="9">
        <v>1505</v>
      </c>
    </row>
    <row r="64" spans="1:2" x14ac:dyDescent="0.3">
      <c r="A64" s="8">
        <v>45957</v>
      </c>
      <c r="B64" s="9">
        <v>1515</v>
      </c>
    </row>
    <row r="65" spans="1:2" x14ac:dyDescent="0.3">
      <c r="A65" s="8">
        <v>45958</v>
      </c>
      <c r="B65" s="9">
        <v>1460</v>
      </c>
    </row>
    <row r="66" spans="1:2" x14ac:dyDescent="0.3">
      <c r="A66" s="8">
        <v>45959</v>
      </c>
      <c r="B66" s="9">
        <v>1495</v>
      </c>
    </row>
    <row r="67" spans="1:2" x14ac:dyDescent="0.3">
      <c r="A67" s="8">
        <v>45960</v>
      </c>
      <c r="B67" s="9">
        <v>1460</v>
      </c>
    </row>
    <row r="68" spans="1:2" x14ac:dyDescent="0.3">
      <c r="A68" s="8">
        <v>45961</v>
      </c>
      <c r="B68" s="9">
        <v>1465</v>
      </c>
    </row>
    <row r="69" spans="1:2" x14ac:dyDescent="0.3">
      <c r="A69" s="8">
        <v>45962</v>
      </c>
      <c r="B69" s="9">
        <v>1465</v>
      </c>
    </row>
    <row r="70" spans="1:2" x14ac:dyDescent="0.3">
      <c r="A70" s="8">
        <v>45963</v>
      </c>
      <c r="B70" s="9">
        <v>1465</v>
      </c>
    </row>
    <row r="71" spans="1:2" x14ac:dyDescent="0.3">
      <c r="A71" s="8">
        <v>45964</v>
      </c>
      <c r="B71" s="9">
        <v>1475</v>
      </c>
    </row>
    <row r="72" spans="1:2" x14ac:dyDescent="0.3">
      <c r="A72" s="8">
        <v>45965</v>
      </c>
      <c r="B72" s="9">
        <v>1500</v>
      </c>
    </row>
    <row r="73" spans="1:2" x14ac:dyDescent="0.3">
      <c r="A73" s="8">
        <v>45966</v>
      </c>
      <c r="B73" s="9">
        <v>1485</v>
      </c>
    </row>
    <row r="74" spans="1:2" x14ac:dyDescent="0.3">
      <c r="A74" s="8">
        <v>45967</v>
      </c>
      <c r="B74" s="9">
        <v>1475</v>
      </c>
    </row>
    <row r="75" spans="1:2" x14ac:dyDescent="0.3">
      <c r="A75" s="8">
        <v>45968</v>
      </c>
      <c r="B75" s="9">
        <v>1475</v>
      </c>
    </row>
    <row r="76" spans="1:2" x14ac:dyDescent="0.3">
      <c r="A76" s="8">
        <v>45969</v>
      </c>
      <c r="B76" s="9">
        <v>1475</v>
      </c>
    </row>
    <row r="77" spans="1:2" x14ac:dyDescent="0.3">
      <c r="A77" s="8">
        <v>45970</v>
      </c>
      <c r="B77" s="9">
        <v>1475</v>
      </c>
    </row>
    <row r="78" spans="1:2" x14ac:dyDescent="0.3">
      <c r="A78" s="8">
        <v>45971</v>
      </c>
      <c r="B78" s="9">
        <v>1445</v>
      </c>
    </row>
    <row r="79" spans="1:2" x14ac:dyDescent="0.3">
      <c r="A79" s="8">
        <v>45972</v>
      </c>
      <c r="B79" s="9">
        <v>1445</v>
      </c>
    </row>
    <row r="80" spans="1:2" x14ac:dyDescent="0.3">
      <c r="A80" s="8">
        <v>45973</v>
      </c>
      <c r="B80" s="9">
        <v>1440</v>
      </c>
    </row>
    <row r="81" spans="1:2" x14ac:dyDescent="0.3">
      <c r="A81" s="8">
        <v>45974</v>
      </c>
      <c r="B81" s="9">
        <v>1435</v>
      </c>
    </row>
    <row r="82" spans="1:2" x14ac:dyDescent="0.3">
      <c r="A82" s="8">
        <v>45975</v>
      </c>
      <c r="B82" s="9">
        <v>1430</v>
      </c>
    </row>
    <row r="83" spans="1:2" x14ac:dyDescent="0.3">
      <c r="A83" s="8">
        <v>45976</v>
      </c>
      <c r="B83" s="9">
        <v>1430</v>
      </c>
    </row>
    <row r="84" spans="1:2" x14ac:dyDescent="0.3">
      <c r="A84" s="8">
        <v>45977</v>
      </c>
      <c r="B84" s="9">
        <v>1430</v>
      </c>
    </row>
    <row r="85" spans="1:2" x14ac:dyDescent="0.3">
      <c r="A85" s="8">
        <v>45978</v>
      </c>
      <c r="B85" s="9">
        <v>1425</v>
      </c>
    </row>
    <row r="86" spans="1:2" x14ac:dyDescent="0.3">
      <c r="A86" s="8">
        <v>45979</v>
      </c>
      <c r="B86" s="9">
        <v>1415</v>
      </c>
    </row>
    <row r="87" spans="1:2" x14ac:dyDescent="0.3">
      <c r="A87" s="8">
        <v>45980</v>
      </c>
      <c r="B87" s="9">
        <v>1425</v>
      </c>
    </row>
    <row r="88" spans="1:2" x14ac:dyDescent="0.3">
      <c r="A88" s="8">
        <v>45981</v>
      </c>
      <c r="B88" s="9">
        <v>1430</v>
      </c>
    </row>
    <row r="89" spans="1:2" x14ac:dyDescent="0.3">
      <c r="A89" s="8">
        <v>45982</v>
      </c>
      <c r="B89" s="9">
        <v>1450</v>
      </c>
    </row>
    <row r="90" spans="1:2" x14ac:dyDescent="0.3">
      <c r="A90" s="8">
        <v>45983</v>
      </c>
      <c r="B90" s="9">
        <v>1450</v>
      </c>
    </row>
    <row r="91" spans="1:2" x14ac:dyDescent="0.3">
      <c r="A91" s="8">
        <v>45984</v>
      </c>
      <c r="B91" s="9">
        <v>1450</v>
      </c>
    </row>
    <row r="92" spans="1:2" x14ac:dyDescent="0.3">
      <c r="A92" s="8">
        <v>45985</v>
      </c>
      <c r="B92" s="9">
        <v>1450</v>
      </c>
    </row>
    <row r="93" spans="1:2" x14ac:dyDescent="0.3">
      <c r="A93" s="8">
        <v>45986</v>
      </c>
      <c r="B93" s="9">
        <v>1450</v>
      </c>
    </row>
    <row r="94" spans="1:2" x14ac:dyDescent="0.3">
      <c r="A94" s="8">
        <v>45987</v>
      </c>
      <c r="B94" s="9">
        <v>1470</v>
      </c>
    </row>
    <row r="95" spans="1:2" x14ac:dyDescent="0.3">
      <c r="A95" s="8">
        <v>45988</v>
      </c>
      <c r="B95" s="9">
        <v>1475</v>
      </c>
    </row>
    <row r="96" spans="1:2" x14ac:dyDescent="0.3">
      <c r="A96" s="8">
        <v>45989</v>
      </c>
      <c r="B96" s="9">
        <v>1475</v>
      </c>
    </row>
    <row r="97" spans="1:2" x14ac:dyDescent="0.3">
      <c r="A97" s="8">
        <v>45990</v>
      </c>
      <c r="B97" s="9">
        <v>1475</v>
      </c>
    </row>
    <row r="98" spans="1:2" x14ac:dyDescent="0.3">
      <c r="A98" s="8">
        <v>45991</v>
      </c>
      <c r="B98" s="9">
        <v>1475</v>
      </c>
    </row>
    <row r="99" spans="1:2" x14ac:dyDescent="0.3">
      <c r="A99" s="8">
        <v>45992</v>
      </c>
      <c r="B99" s="9">
        <v>1475</v>
      </c>
    </row>
    <row r="100" spans="1:2" x14ac:dyDescent="0.3">
      <c r="A100" s="8">
        <v>45993</v>
      </c>
      <c r="B100" s="9">
        <v>1475</v>
      </c>
    </row>
    <row r="101" spans="1:2" x14ac:dyDescent="0.3">
      <c r="A101" s="8">
        <v>45994</v>
      </c>
      <c r="B101" s="9">
        <v>1480</v>
      </c>
    </row>
    <row r="102" spans="1:2" x14ac:dyDescent="0.3">
      <c r="A102" s="8">
        <v>45995</v>
      </c>
      <c r="B102" s="9">
        <v>1480</v>
      </c>
    </row>
    <row r="103" spans="1:2" x14ac:dyDescent="0.3">
      <c r="A103" s="8">
        <v>45996</v>
      </c>
      <c r="B103" s="9">
        <v>1470</v>
      </c>
    </row>
    <row r="104" spans="1:2" x14ac:dyDescent="0.3">
      <c r="A104" s="8">
        <v>46000</v>
      </c>
      <c r="B104" s="9">
        <v>1460</v>
      </c>
    </row>
    <row r="105" spans="1:2" x14ac:dyDescent="0.3">
      <c r="A105" s="8">
        <v>46001</v>
      </c>
      <c r="B105" s="9">
        <v>1465</v>
      </c>
    </row>
    <row r="106" spans="1:2" x14ac:dyDescent="0.3">
      <c r="A106" s="8">
        <v>46002</v>
      </c>
      <c r="B106" s="9">
        <v>1460</v>
      </c>
    </row>
    <row r="107" spans="1:2" x14ac:dyDescent="0.3">
      <c r="A107" s="8">
        <v>46003</v>
      </c>
      <c r="B107" s="9">
        <v>1460</v>
      </c>
    </row>
    <row r="108" spans="1:2" x14ac:dyDescent="0.3">
      <c r="A108" s="8">
        <v>46006</v>
      </c>
      <c r="B108" s="9">
        <v>1465</v>
      </c>
    </row>
    <row r="109" spans="1:2" x14ac:dyDescent="0.3">
      <c r="A109" s="8">
        <v>46007</v>
      </c>
      <c r="B109" s="9">
        <v>1465</v>
      </c>
    </row>
    <row r="110" spans="1:2" x14ac:dyDescent="0.3">
      <c r="A110" s="8">
        <v>46008</v>
      </c>
      <c r="B110" s="9">
        <v>1480</v>
      </c>
    </row>
    <row r="111" spans="1:2" x14ac:dyDescent="0.3">
      <c r="A111" s="8">
        <v>46009</v>
      </c>
      <c r="B111" s="9">
        <v>1475</v>
      </c>
    </row>
    <row r="112" spans="1:2" x14ac:dyDescent="0.3">
      <c r="A112" s="8">
        <v>46010</v>
      </c>
      <c r="B112" s="9">
        <v>1475</v>
      </c>
    </row>
    <row r="113" spans="1:2" x14ac:dyDescent="0.3">
      <c r="A113" s="8">
        <v>46013</v>
      </c>
      <c r="B113" s="9">
        <v>1475</v>
      </c>
    </row>
    <row r="114" spans="1:2" x14ac:dyDescent="0.3">
      <c r="A114" s="8">
        <v>46014</v>
      </c>
      <c r="B114" s="9">
        <v>1475</v>
      </c>
    </row>
    <row r="115" spans="1:2" x14ac:dyDescent="0.3">
      <c r="A115" s="8">
        <v>46015</v>
      </c>
      <c r="B115" s="9">
        <v>1475</v>
      </c>
    </row>
    <row r="116" spans="1:2" x14ac:dyDescent="0.3">
      <c r="A116" s="8">
        <v>46017</v>
      </c>
      <c r="B116" s="9">
        <v>1475</v>
      </c>
    </row>
    <row r="117" spans="1:2" x14ac:dyDescent="0.3">
      <c r="A117" s="8">
        <v>46018</v>
      </c>
      <c r="B117" s="9">
        <v>1475</v>
      </c>
    </row>
    <row r="118" spans="1:2" x14ac:dyDescent="0.3">
      <c r="A118" s="8">
        <v>46019</v>
      </c>
      <c r="B118" s="9">
        <v>1475</v>
      </c>
    </row>
    <row r="119" spans="1:2" x14ac:dyDescent="0.3">
      <c r="A119" s="8">
        <v>46020</v>
      </c>
      <c r="B119" s="9">
        <v>1475</v>
      </c>
    </row>
    <row r="120" spans="1:2" x14ac:dyDescent="0.3">
      <c r="A120" s="8">
        <v>46021</v>
      </c>
      <c r="B120" s="9">
        <v>1475</v>
      </c>
    </row>
    <row r="121" spans="1:2" x14ac:dyDescent="0.3">
      <c r="A121" s="8">
        <v>46024</v>
      </c>
      <c r="B121" s="9">
        <v>1480</v>
      </c>
    </row>
    <row r="122" spans="1:2" x14ac:dyDescent="0.3">
      <c r="A122" s="8">
        <v>46027</v>
      </c>
      <c r="B122" s="9">
        <v>1495</v>
      </c>
    </row>
    <row r="123" spans="1:2" x14ac:dyDescent="0.3">
      <c r="A123" s="8">
        <v>46028</v>
      </c>
      <c r="B123" s="9">
        <v>1495</v>
      </c>
    </row>
    <row r="124" spans="1:2" x14ac:dyDescent="0.3">
      <c r="A124" s="8">
        <v>46029</v>
      </c>
      <c r="B124" s="9">
        <v>1490</v>
      </c>
    </row>
    <row r="125" spans="1:2" x14ac:dyDescent="0.3">
      <c r="A125" s="8">
        <v>46030</v>
      </c>
      <c r="B125" s="9">
        <v>1485</v>
      </c>
    </row>
    <row r="126" spans="1:2" x14ac:dyDescent="0.3">
      <c r="A126" s="8">
        <v>46031</v>
      </c>
      <c r="B126" s="9">
        <v>1485</v>
      </c>
    </row>
    <row r="127" spans="1:2" x14ac:dyDescent="0.3">
      <c r="A127" s="8">
        <v>46034</v>
      </c>
      <c r="B127" s="9">
        <v>1490</v>
      </c>
    </row>
    <row r="128" spans="1:2" x14ac:dyDescent="0.3">
      <c r="A128" s="8">
        <v>46035</v>
      </c>
      <c r="B128" s="9">
        <v>1490</v>
      </c>
    </row>
    <row r="129" spans="1:2" x14ac:dyDescent="0.3">
      <c r="A129" s="8">
        <v>46036</v>
      </c>
      <c r="B129" s="9">
        <v>1485</v>
      </c>
    </row>
    <row r="130" spans="1:2" x14ac:dyDescent="0.3">
      <c r="A130" s="8">
        <v>46037</v>
      </c>
      <c r="B130" s="9">
        <v>1480</v>
      </c>
    </row>
    <row r="131" spans="1:2" x14ac:dyDescent="0.3">
      <c r="A131" s="8">
        <v>46038</v>
      </c>
      <c r="B131" s="9">
        <v>1470</v>
      </c>
    </row>
    <row r="132" spans="1:2" x14ac:dyDescent="0.3">
      <c r="A132" s="8">
        <v>46041</v>
      </c>
      <c r="B132" s="9">
        <v>1455</v>
      </c>
    </row>
    <row r="133" spans="1:2" x14ac:dyDescent="0.3">
      <c r="A133" s="8">
        <v>46042</v>
      </c>
      <c r="B133" s="9">
        <v>1460</v>
      </c>
    </row>
    <row r="134" spans="1:2" x14ac:dyDescent="0.3">
      <c r="A134" s="8">
        <v>46043</v>
      </c>
      <c r="B134" s="9">
        <v>1460</v>
      </c>
    </row>
    <row r="135" spans="1:2" x14ac:dyDescent="0.3">
      <c r="A135" s="8">
        <v>46044</v>
      </c>
      <c r="B135" s="27">
        <v>1455</v>
      </c>
    </row>
    <row r="136" spans="1:2" x14ac:dyDescent="0.3">
      <c r="A136" s="8">
        <v>46045</v>
      </c>
      <c r="B136" s="27">
        <v>1450</v>
      </c>
    </row>
    <row r="137" spans="1:2" x14ac:dyDescent="0.3">
      <c r="A137" s="8">
        <v>46046</v>
      </c>
      <c r="B137" s="27">
        <v>1450</v>
      </c>
    </row>
    <row r="138" spans="1:2" x14ac:dyDescent="0.3">
      <c r="A138" s="8">
        <v>46047</v>
      </c>
      <c r="B138" s="27">
        <v>1450</v>
      </c>
    </row>
    <row r="139" spans="1:2" x14ac:dyDescent="0.3">
      <c r="A139" s="8">
        <v>46048</v>
      </c>
      <c r="B139" s="27">
        <v>1455</v>
      </c>
    </row>
    <row r="140" spans="1:2" x14ac:dyDescent="0.3">
      <c r="A140" s="8">
        <v>46049</v>
      </c>
      <c r="B140" s="27">
        <v>1460</v>
      </c>
    </row>
    <row r="141" spans="1:2" x14ac:dyDescent="0.3">
      <c r="A141" s="8">
        <v>46050</v>
      </c>
      <c r="B141" s="27">
        <v>1465</v>
      </c>
    </row>
    <row r="142" spans="1:2" x14ac:dyDescent="0.3">
      <c r="A142" s="8">
        <v>46051</v>
      </c>
      <c r="B142" s="27">
        <v>1465</v>
      </c>
    </row>
    <row r="143" spans="1:2" x14ac:dyDescent="0.3">
      <c r="A143" s="8">
        <v>46052</v>
      </c>
      <c r="B143" s="27">
        <v>1465</v>
      </c>
    </row>
    <row r="144" spans="1:2" x14ac:dyDescent="0.3">
      <c r="A144" s="8">
        <v>46053</v>
      </c>
      <c r="B144" s="27">
        <v>1465</v>
      </c>
    </row>
    <row r="145" spans="1:2" x14ac:dyDescent="0.3">
      <c r="A145" s="34">
        <v>46055</v>
      </c>
      <c r="B145" s="27">
        <v>1465</v>
      </c>
    </row>
    <row r="146" spans="1:2" x14ac:dyDescent="0.3">
      <c r="A146" s="34">
        <v>46056</v>
      </c>
      <c r="B146" s="27">
        <v>1470</v>
      </c>
    </row>
    <row r="147" spans="1:2" x14ac:dyDescent="0.3">
      <c r="A147" s="34">
        <v>46057</v>
      </c>
      <c r="B147" s="27">
        <v>1465</v>
      </c>
    </row>
    <row r="148" spans="1:2" x14ac:dyDescent="0.3">
      <c r="A148" s="34">
        <v>46058</v>
      </c>
      <c r="B148" s="27">
        <v>1465</v>
      </c>
    </row>
    <row r="149" spans="1:2" x14ac:dyDescent="0.3">
      <c r="A149" s="34">
        <v>46059</v>
      </c>
      <c r="B149" s="27">
        <v>1460</v>
      </c>
    </row>
    <row r="150" spans="1:2" x14ac:dyDescent="0.3">
      <c r="A150" s="34">
        <v>46062</v>
      </c>
      <c r="B150" s="27">
        <v>1450</v>
      </c>
    </row>
    <row r="151" spans="1:2" x14ac:dyDescent="0.3">
      <c r="A151" s="34">
        <v>46063</v>
      </c>
      <c r="B151" s="27">
        <v>1440</v>
      </c>
    </row>
    <row r="152" spans="1:2" x14ac:dyDescent="0.3">
      <c r="A152" s="34">
        <v>46064</v>
      </c>
      <c r="B152" s="27">
        <v>1425</v>
      </c>
    </row>
    <row r="153" spans="1:2" x14ac:dyDescent="0.3">
      <c r="A153" s="34">
        <v>46065</v>
      </c>
      <c r="B153" s="27">
        <v>1420</v>
      </c>
    </row>
    <row r="154" spans="1:2" x14ac:dyDescent="0.3">
      <c r="A154" s="34">
        <v>46066</v>
      </c>
      <c r="B154" s="27">
        <v>1415</v>
      </c>
    </row>
    <row r="155" spans="1:2" x14ac:dyDescent="0.3">
      <c r="A155" s="34">
        <v>46071</v>
      </c>
      <c r="B155" s="27">
        <v>1420</v>
      </c>
    </row>
    <row r="156" spans="1:2" x14ac:dyDescent="0.3">
      <c r="A156" s="34">
        <v>46072</v>
      </c>
      <c r="B156" s="27">
        <v>1420</v>
      </c>
    </row>
    <row r="157" spans="1:2" x14ac:dyDescent="0.3">
      <c r="A157" s="34">
        <v>46073</v>
      </c>
      <c r="B157" s="27">
        <v>1410</v>
      </c>
    </row>
    <row r="158" spans="1:2" x14ac:dyDescent="0.3">
      <c r="A158" s="34">
        <v>46074</v>
      </c>
      <c r="B158" s="27">
        <v>1410</v>
      </c>
    </row>
    <row r="159" spans="1:2" x14ac:dyDescent="0.3">
      <c r="A159" s="34">
        <v>46075</v>
      </c>
      <c r="B159" s="27">
        <v>1410</v>
      </c>
    </row>
    <row r="160" spans="1:2" x14ac:dyDescent="0.3">
      <c r="A160" s="34">
        <v>46076</v>
      </c>
      <c r="B160" s="27">
        <v>1395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E5241-AB0D-4227-9CFD-A113E4074E6E}">
  <dimension ref="A3:B35"/>
  <sheetViews>
    <sheetView topLeftCell="A16" workbookViewId="0">
      <selection activeCell="C12" sqref="C12"/>
    </sheetView>
  </sheetViews>
  <sheetFormatPr baseColWidth="10" defaultColWidth="11.44140625" defaultRowHeight="14.4" x14ac:dyDescent="0.3"/>
  <cols>
    <col min="1" max="1" width="53.6640625" customWidth="1"/>
    <col min="2" max="2" width="19" customWidth="1"/>
    <col min="3" max="3" width="17" customWidth="1"/>
    <col min="4" max="4" width="16.88671875" customWidth="1"/>
    <col min="5" max="5" width="15.44140625" bestFit="1" customWidth="1"/>
  </cols>
  <sheetData>
    <row r="3" spans="1:2" x14ac:dyDescent="0.3">
      <c r="A3" t="s">
        <v>10</v>
      </c>
      <c r="B3" t="s">
        <v>11</v>
      </c>
    </row>
    <row r="4" spans="1:2" x14ac:dyDescent="0.3">
      <c r="A4" s="131" t="s">
        <v>87</v>
      </c>
      <c r="B4" s="131" t="s">
        <v>12</v>
      </c>
    </row>
    <row r="5" spans="1:2" x14ac:dyDescent="0.3">
      <c r="A5" s="131" t="s">
        <v>88</v>
      </c>
      <c r="B5" s="131" t="s">
        <v>120</v>
      </c>
    </row>
    <row r="6" spans="1:2" x14ac:dyDescent="0.3">
      <c r="A6" s="131" t="s">
        <v>89</v>
      </c>
      <c r="B6" s="131" t="s">
        <v>14</v>
      </c>
    </row>
    <row r="7" spans="1:2" x14ac:dyDescent="0.3">
      <c r="A7" s="131" t="s">
        <v>90</v>
      </c>
      <c r="B7" s="131" t="s">
        <v>12</v>
      </c>
    </row>
    <row r="8" spans="1:2" x14ac:dyDescent="0.3">
      <c r="A8" s="131" t="s">
        <v>91</v>
      </c>
      <c r="B8" s="131" t="s">
        <v>12</v>
      </c>
    </row>
    <row r="9" spans="1:2" x14ac:dyDescent="0.3">
      <c r="A9" s="131" t="s">
        <v>92</v>
      </c>
      <c r="B9" s="131" t="s">
        <v>12</v>
      </c>
    </row>
    <row r="10" spans="1:2" x14ac:dyDescent="0.3">
      <c r="A10" s="131" t="s">
        <v>95</v>
      </c>
      <c r="B10" s="131" t="s">
        <v>14</v>
      </c>
    </row>
    <row r="11" spans="1:2" x14ac:dyDescent="0.3">
      <c r="A11" s="131" t="s">
        <v>96</v>
      </c>
      <c r="B11" s="131" t="s">
        <v>13</v>
      </c>
    </row>
    <row r="12" spans="1:2" x14ac:dyDescent="0.3">
      <c r="A12" s="131" t="s">
        <v>93</v>
      </c>
      <c r="B12" s="131" t="s">
        <v>12</v>
      </c>
    </row>
    <row r="13" spans="1:2" x14ac:dyDescent="0.3">
      <c r="A13" s="131" t="s">
        <v>94</v>
      </c>
      <c r="B13" s="131" t="s">
        <v>12</v>
      </c>
    </row>
    <row r="14" spans="1:2" x14ac:dyDescent="0.3">
      <c r="A14" s="131" t="s">
        <v>97</v>
      </c>
      <c r="B14" s="131" t="s">
        <v>13</v>
      </c>
    </row>
    <row r="15" spans="1:2" x14ac:dyDescent="0.3">
      <c r="A15" s="131" t="s">
        <v>98</v>
      </c>
      <c r="B15" s="131" t="s">
        <v>14</v>
      </c>
    </row>
    <row r="16" spans="1:2" x14ac:dyDescent="0.3">
      <c r="A16" s="131" t="s">
        <v>99</v>
      </c>
      <c r="B16" s="131" t="s">
        <v>13</v>
      </c>
    </row>
    <row r="17" spans="1:2" x14ac:dyDescent="0.3">
      <c r="A17" s="131" t="s">
        <v>100</v>
      </c>
      <c r="B17" s="131" t="s">
        <v>14</v>
      </c>
    </row>
    <row r="18" spans="1:2" x14ac:dyDescent="0.3">
      <c r="A18" s="131" t="s">
        <v>101</v>
      </c>
      <c r="B18" s="131" t="s">
        <v>14</v>
      </c>
    </row>
    <row r="19" spans="1:2" x14ac:dyDescent="0.3">
      <c r="A19" s="131" t="s">
        <v>102</v>
      </c>
      <c r="B19" s="131" t="s">
        <v>12</v>
      </c>
    </row>
    <row r="20" spans="1:2" x14ac:dyDescent="0.3">
      <c r="A20" s="131" t="s">
        <v>103</v>
      </c>
      <c r="B20" s="131" t="s">
        <v>13</v>
      </c>
    </row>
    <row r="21" spans="1:2" x14ac:dyDescent="0.3">
      <c r="A21" s="131" t="s">
        <v>119</v>
      </c>
      <c r="B21" s="131" t="s">
        <v>14</v>
      </c>
    </row>
    <row r="22" spans="1:2" x14ac:dyDescent="0.3">
      <c r="A22" s="131" t="s">
        <v>104</v>
      </c>
      <c r="B22" s="131" t="s">
        <v>120</v>
      </c>
    </row>
    <row r="23" spans="1:2" x14ac:dyDescent="0.3">
      <c r="A23" s="131" t="s">
        <v>105</v>
      </c>
      <c r="B23" s="131" t="s">
        <v>12</v>
      </c>
    </row>
    <row r="24" spans="1:2" x14ac:dyDescent="0.3">
      <c r="A24" s="131" t="s">
        <v>106</v>
      </c>
      <c r="B24" s="131" t="s">
        <v>12</v>
      </c>
    </row>
    <row r="25" spans="1:2" x14ac:dyDescent="0.3">
      <c r="A25" s="131" t="s">
        <v>107</v>
      </c>
      <c r="B25" s="131" t="s">
        <v>12</v>
      </c>
    </row>
    <row r="26" spans="1:2" x14ac:dyDescent="0.3">
      <c r="A26" s="131" t="s">
        <v>108</v>
      </c>
      <c r="B26" s="131" t="s">
        <v>14</v>
      </c>
    </row>
    <row r="27" spans="1:2" x14ac:dyDescent="0.3">
      <c r="A27" s="131" t="s">
        <v>109</v>
      </c>
      <c r="B27" s="131" t="s">
        <v>14</v>
      </c>
    </row>
    <row r="28" spans="1:2" x14ac:dyDescent="0.3">
      <c r="A28" s="131" t="s">
        <v>110</v>
      </c>
      <c r="B28" s="131" t="s">
        <v>12</v>
      </c>
    </row>
    <row r="29" spans="1:2" x14ac:dyDescent="0.3">
      <c r="A29" s="131" t="s">
        <v>111</v>
      </c>
      <c r="B29" s="131" t="s">
        <v>120</v>
      </c>
    </row>
    <row r="30" spans="1:2" x14ac:dyDescent="0.3">
      <c r="A30" s="131" t="s">
        <v>112</v>
      </c>
      <c r="B30" s="131" t="s">
        <v>120</v>
      </c>
    </row>
    <row r="31" spans="1:2" x14ac:dyDescent="0.3">
      <c r="A31" s="131" t="s">
        <v>113</v>
      </c>
      <c r="B31" s="131" t="s">
        <v>14</v>
      </c>
    </row>
    <row r="32" spans="1:2" x14ac:dyDescent="0.3">
      <c r="A32" s="131" t="s">
        <v>114</v>
      </c>
      <c r="B32" s="131" t="s">
        <v>12</v>
      </c>
    </row>
    <row r="33" spans="1:2" x14ac:dyDescent="0.3">
      <c r="A33" s="131" t="s">
        <v>115</v>
      </c>
      <c r="B33" s="131" t="s">
        <v>14</v>
      </c>
    </row>
    <row r="34" spans="1:2" x14ac:dyDescent="0.3">
      <c r="A34" s="131" t="s">
        <v>116</v>
      </c>
      <c r="B34" s="131" t="s">
        <v>14</v>
      </c>
    </row>
    <row r="35" spans="1:2" x14ac:dyDescent="0.3">
      <c r="A35" s="131" t="s">
        <v>117</v>
      </c>
      <c r="B35" s="131" t="s">
        <v>14</v>
      </c>
    </row>
  </sheetData>
  <phoneticPr fontId="10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CB72-711B-45CE-98F4-D84B3D57CC2E}">
  <dimension ref="A1:V171"/>
  <sheetViews>
    <sheetView zoomScale="90" zoomScaleNormal="90" workbookViewId="0">
      <selection activeCell="E5" sqref="E5"/>
    </sheetView>
  </sheetViews>
  <sheetFormatPr baseColWidth="10" defaultColWidth="11.44140625" defaultRowHeight="14.4" x14ac:dyDescent="0.3"/>
  <cols>
    <col min="1" max="1" width="17.44140625" bestFit="1" customWidth="1"/>
    <col min="2" max="2" width="25.44140625" bestFit="1" customWidth="1"/>
    <col min="3" max="3" width="26" customWidth="1"/>
    <col min="4" max="4" width="16.5546875" bestFit="1" customWidth="1"/>
    <col min="5" max="5" width="24" bestFit="1" customWidth="1"/>
    <col min="6" max="6" width="26.88671875" customWidth="1"/>
    <col min="7" max="7" width="32.88671875" customWidth="1"/>
    <col min="8" max="8" width="18.109375" bestFit="1" customWidth="1"/>
    <col min="9" max="9" width="14.33203125" bestFit="1" customWidth="1"/>
    <col min="10" max="10" width="15.21875" bestFit="1" customWidth="1"/>
    <col min="11" max="11" width="14" bestFit="1" customWidth="1"/>
    <col min="12" max="12" width="15.44140625" customWidth="1"/>
    <col min="13" max="13" width="17.21875" customWidth="1"/>
    <col min="14" max="14" width="13.33203125" customWidth="1"/>
    <col min="15" max="16" width="11.44140625" customWidth="1"/>
    <col min="19" max="19" width="14.109375" bestFit="1" customWidth="1"/>
    <col min="20" max="20" width="7" customWidth="1"/>
    <col min="21" max="21" width="102.33203125" bestFit="1" customWidth="1"/>
    <col min="22" max="22" width="13" bestFit="1" customWidth="1"/>
  </cols>
  <sheetData>
    <row r="1" spans="1:14" x14ac:dyDescent="0.3">
      <c r="A1" s="132" t="s">
        <v>32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4" x14ac:dyDescent="0.3">
      <c r="L2" s="22" t="s">
        <v>33</v>
      </c>
    </row>
    <row r="3" spans="1:14" x14ac:dyDescent="0.3">
      <c r="A3" s="10" t="s">
        <v>34</v>
      </c>
      <c r="B3" t="s">
        <v>35</v>
      </c>
      <c r="D3" s="12" t="s">
        <v>34</v>
      </c>
      <c r="E3" s="44" t="s">
        <v>36</v>
      </c>
      <c r="G3" s="12" t="s">
        <v>123</v>
      </c>
      <c r="H3" s="44" t="s">
        <v>36</v>
      </c>
      <c r="K3" s="12" t="s">
        <v>37</v>
      </c>
      <c r="L3" s="12"/>
    </row>
    <row r="4" spans="1:14" x14ac:dyDescent="0.3">
      <c r="A4" s="11" t="s">
        <v>38</v>
      </c>
      <c r="B4" s="46">
        <v>53819.99</v>
      </c>
      <c r="D4" s="11" t="s">
        <v>39</v>
      </c>
      <c r="E4" s="46">
        <f>IFERROR(VLOOKUP(D4,$A$4:$B$9,2,0),0)</f>
        <v>229959.36</v>
      </c>
      <c r="G4" s="11" t="s">
        <v>42</v>
      </c>
      <c r="H4" s="46">
        <f>IFERROR(VLOOKUP(G4,$A$4:$B$10,2,0),0)</f>
        <v>11729.98</v>
      </c>
      <c r="K4" s="11"/>
      <c r="L4" s="30"/>
    </row>
    <row r="5" spans="1:14" x14ac:dyDescent="0.3">
      <c r="A5" s="11" t="s">
        <v>41</v>
      </c>
      <c r="B5" s="46">
        <v>2414.9899999999998</v>
      </c>
      <c r="D5" s="11" t="s">
        <v>42</v>
      </c>
      <c r="E5" s="46">
        <f t="shared" ref="E5:E7" si="0">IFERROR(VLOOKUP(D5,$A$4:$B$8,2,0),0)</f>
        <v>11729.98</v>
      </c>
      <c r="G5" s="11" t="s">
        <v>41</v>
      </c>
      <c r="H5" s="46">
        <f t="shared" ref="H5:H8" si="1">IFERROR(VLOOKUP(G5,$A$4:$B$10,2,0),0)</f>
        <v>2414.9899999999998</v>
      </c>
      <c r="K5" s="11" t="s">
        <v>43</v>
      </c>
      <c r="L5" s="30">
        <f>IFERROR(VLOOKUP(K5,$D$3:$E$11,2,0),0)</f>
        <v>900</v>
      </c>
    </row>
    <row r="6" spans="1:14" x14ac:dyDescent="0.3">
      <c r="A6" s="11" t="s">
        <v>40</v>
      </c>
      <c r="B6" s="46">
        <v>828</v>
      </c>
      <c r="D6" s="11" t="s">
        <v>41</v>
      </c>
      <c r="E6" s="46">
        <f t="shared" si="0"/>
        <v>2414.9899999999998</v>
      </c>
      <c r="G6" s="11" t="s">
        <v>40</v>
      </c>
      <c r="H6" s="46">
        <f t="shared" si="1"/>
        <v>828</v>
      </c>
      <c r="L6" s="31">
        <f>SUM(L4:L5)</f>
        <v>900</v>
      </c>
    </row>
    <row r="7" spans="1:14" x14ac:dyDescent="0.3">
      <c r="A7" s="11" t="s">
        <v>39</v>
      </c>
      <c r="B7" s="46">
        <v>229959.36</v>
      </c>
      <c r="D7" s="11" t="s">
        <v>40</v>
      </c>
      <c r="E7" s="46">
        <f t="shared" si="0"/>
        <v>828</v>
      </c>
      <c r="G7" s="11" t="s">
        <v>38</v>
      </c>
      <c r="H7" s="46">
        <f t="shared" si="1"/>
        <v>53819.99</v>
      </c>
    </row>
    <row r="8" spans="1:14" x14ac:dyDescent="0.3">
      <c r="A8" s="11" t="s">
        <v>42</v>
      </c>
      <c r="B8" s="46">
        <v>11729.98</v>
      </c>
      <c r="D8" s="11" t="s">
        <v>38</v>
      </c>
      <c r="E8" s="46">
        <f>IFERROR(VLOOKUP(D8,$A$4:$B$8,2,0),0)</f>
        <v>53819.99</v>
      </c>
      <c r="G8" s="11" t="s">
        <v>43</v>
      </c>
      <c r="H8" s="46">
        <f t="shared" si="1"/>
        <v>900</v>
      </c>
    </row>
    <row r="9" spans="1:14" x14ac:dyDescent="0.3">
      <c r="A9" s="11" t="s">
        <v>43</v>
      </c>
      <c r="B9" s="46">
        <v>900</v>
      </c>
      <c r="D9" s="11" t="s">
        <v>43</v>
      </c>
      <c r="E9" s="46">
        <f>IFERROR(VLOOKUP(D9,$A$4:$B$10,2,0),0)</f>
        <v>900</v>
      </c>
      <c r="G9" s="13" t="s">
        <v>44</v>
      </c>
      <c r="H9" s="70">
        <f>+SUM(H4:H8)</f>
        <v>69692.959999999992</v>
      </c>
    </row>
    <row r="10" spans="1:14" x14ac:dyDescent="0.3">
      <c r="A10" s="11" t="s">
        <v>44</v>
      </c>
      <c r="B10" s="38">
        <v>299652.32</v>
      </c>
      <c r="D10" s="13" t="s">
        <v>44</v>
      </c>
      <c r="E10" s="70">
        <f>SUM(E4:E9)</f>
        <v>299652.32</v>
      </c>
    </row>
    <row r="11" spans="1:14" ht="21" customHeight="1" x14ac:dyDescent="0.3">
      <c r="C11" s="28"/>
      <c r="D11" s="11"/>
      <c r="E11" s="29"/>
      <c r="G11" s="82" t="s">
        <v>148</v>
      </c>
      <c r="H11" s="83" t="str">
        <f>IFERROR(TEXT(H9/E10,"0,0%"),"-")</f>
        <v>23,3%</v>
      </c>
    </row>
    <row r="12" spans="1:14" hidden="1" x14ac:dyDescent="0.3"/>
    <row r="13" spans="1:14" hidden="1" x14ac:dyDescent="0.3">
      <c r="A13" s="132" t="s">
        <v>45</v>
      </c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</row>
    <row r="14" spans="1:14" hidden="1" x14ac:dyDescent="0.3"/>
    <row r="15" spans="1:14" hidden="1" x14ac:dyDescent="0.3"/>
    <row r="16" spans="1:14" hidden="1" x14ac:dyDescent="0.3">
      <c r="A16" s="10" t="s">
        <v>46</v>
      </c>
      <c r="B16" t="s">
        <v>47</v>
      </c>
      <c r="D16" s="10" t="s">
        <v>37</v>
      </c>
      <c r="E16" t="s">
        <v>35</v>
      </c>
      <c r="I16" s="12" t="s">
        <v>27</v>
      </c>
      <c r="J16" s="12" t="s">
        <v>46</v>
      </c>
      <c r="K16" s="12" t="s">
        <v>34</v>
      </c>
    </row>
    <row r="17" spans="1:11" hidden="1" x14ac:dyDescent="0.3">
      <c r="A17" s="11" t="s">
        <v>48</v>
      </c>
      <c r="B17" s="29">
        <v>5891.1561476433726</v>
      </c>
      <c r="D17" s="11" t="s">
        <v>49</v>
      </c>
      <c r="E17" s="29">
        <v>2414.9899999999998</v>
      </c>
      <c r="I17" s="11" t="s">
        <v>50</v>
      </c>
      <c r="J17" s="29">
        <f t="shared" ref="J17:J22" si="2">IFERROR(VLOOKUP(I17,$A$17:$B$21,2,0),0)</f>
        <v>9937.1865402366275</v>
      </c>
      <c r="K17" s="38">
        <f>IFERROR(+VLOOKUP(I17,$D$16:$E$21,2,FALSE),0)</f>
        <v>0</v>
      </c>
    </row>
    <row r="18" spans="1:11" hidden="1" x14ac:dyDescent="0.3">
      <c r="A18" s="11" t="s">
        <v>51</v>
      </c>
      <c r="B18" s="29">
        <v>257883.6488893035</v>
      </c>
      <c r="D18" s="11" t="s">
        <v>259</v>
      </c>
      <c r="E18" s="29">
        <v>113897.46</v>
      </c>
      <c r="I18" s="11" t="s">
        <v>52</v>
      </c>
      <c r="J18" s="29">
        <f t="shared" si="2"/>
        <v>7264.2974217687079</v>
      </c>
      <c r="K18" s="38">
        <f t="shared" ref="K18:K28" si="3">IFERROR(+VLOOKUP(I18,$D$16:$E$21,2,FALSE),0)</f>
        <v>0</v>
      </c>
    </row>
    <row r="19" spans="1:11" hidden="1" x14ac:dyDescent="0.3">
      <c r="A19" s="11" t="s">
        <v>53</v>
      </c>
      <c r="B19" s="29">
        <v>206733.29618279569</v>
      </c>
      <c r="D19" s="11" t="s">
        <v>51</v>
      </c>
      <c r="E19" s="29">
        <v>900</v>
      </c>
      <c r="I19" s="11" t="s">
        <v>48</v>
      </c>
      <c r="J19" s="29">
        <f t="shared" si="2"/>
        <v>5891.1561476433726</v>
      </c>
      <c r="K19" s="38">
        <f t="shared" si="3"/>
        <v>0</v>
      </c>
    </row>
    <row r="20" spans="1:11" hidden="1" x14ac:dyDescent="0.3">
      <c r="A20" s="11" t="s">
        <v>52</v>
      </c>
      <c r="B20" s="29">
        <v>7264.2974217687079</v>
      </c>
      <c r="D20" s="11" t="s">
        <v>54</v>
      </c>
      <c r="E20" s="29">
        <v>36133.86</v>
      </c>
      <c r="I20" s="11" t="s">
        <v>51</v>
      </c>
      <c r="J20" s="29">
        <f t="shared" si="2"/>
        <v>257883.6488893035</v>
      </c>
      <c r="K20" s="38">
        <f t="shared" si="3"/>
        <v>900</v>
      </c>
    </row>
    <row r="21" spans="1:11" hidden="1" x14ac:dyDescent="0.3">
      <c r="A21" s="11" t="s">
        <v>50</v>
      </c>
      <c r="B21" s="29">
        <v>9937.1865402366275</v>
      </c>
      <c r="D21" s="11" t="s">
        <v>56</v>
      </c>
      <c r="E21" s="29">
        <v>53819.99</v>
      </c>
      <c r="I21" s="11" t="s">
        <v>53</v>
      </c>
      <c r="J21" s="29">
        <f t="shared" si="2"/>
        <v>206733.29618279569</v>
      </c>
      <c r="K21" s="38">
        <f t="shared" si="3"/>
        <v>0</v>
      </c>
    </row>
    <row r="22" spans="1:11" hidden="1" x14ac:dyDescent="0.3">
      <c r="A22" s="11" t="s">
        <v>44</v>
      </c>
      <c r="B22" s="29">
        <v>487709.58518174797</v>
      </c>
      <c r="D22" s="11" t="s">
        <v>55</v>
      </c>
      <c r="E22" s="29">
        <v>828</v>
      </c>
      <c r="I22" s="11" t="s">
        <v>55</v>
      </c>
      <c r="J22" s="29">
        <f t="shared" si="2"/>
        <v>0</v>
      </c>
      <c r="K22" s="38">
        <f t="shared" si="3"/>
        <v>0</v>
      </c>
    </row>
    <row r="23" spans="1:11" hidden="1" x14ac:dyDescent="0.3">
      <c r="D23" s="11" t="s">
        <v>158</v>
      </c>
      <c r="E23" s="29">
        <v>11729.98</v>
      </c>
      <c r="J23" s="29">
        <f t="shared" ref="J23:J28" si="4">IFERROR(VLOOKUP(I23,$A$17:$B$20,2,0),0)</f>
        <v>0</v>
      </c>
      <c r="K23" s="38">
        <f t="shared" si="3"/>
        <v>0</v>
      </c>
    </row>
    <row r="24" spans="1:11" hidden="1" x14ac:dyDescent="0.3">
      <c r="D24" s="11" t="s">
        <v>57</v>
      </c>
      <c r="E24" s="29">
        <v>79928.039999999994</v>
      </c>
      <c r="I24" s="11"/>
      <c r="J24" s="29">
        <f t="shared" si="4"/>
        <v>0</v>
      </c>
      <c r="K24" s="38">
        <f t="shared" si="3"/>
        <v>0</v>
      </c>
    </row>
    <row r="25" spans="1:11" hidden="1" x14ac:dyDescent="0.3">
      <c r="D25" s="11" t="s">
        <v>44</v>
      </c>
      <c r="E25" s="29">
        <v>299652.32</v>
      </c>
      <c r="I25" s="11"/>
      <c r="J25" s="29">
        <f t="shared" si="4"/>
        <v>0</v>
      </c>
      <c r="K25" s="38">
        <f t="shared" si="3"/>
        <v>0</v>
      </c>
    </row>
    <row r="26" spans="1:11" hidden="1" x14ac:dyDescent="0.3">
      <c r="I26" s="11"/>
      <c r="J26" s="29">
        <f t="shared" si="4"/>
        <v>0</v>
      </c>
      <c r="K26" s="38">
        <f t="shared" si="3"/>
        <v>0</v>
      </c>
    </row>
    <row r="27" spans="1:11" hidden="1" x14ac:dyDescent="0.3">
      <c r="I27" s="11"/>
      <c r="J27" s="29">
        <f t="shared" si="4"/>
        <v>0</v>
      </c>
      <c r="K27" s="38">
        <f t="shared" si="3"/>
        <v>0</v>
      </c>
    </row>
    <row r="28" spans="1:11" hidden="1" x14ac:dyDescent="0.3">
      <c r="I28" s="11"/>
      <c r="J28" s="29">
        <f t="shared" si="4"/>
        <v>0</v>
      </c>
      <c r="K28" s="38">
        <f t="shared" si="3"/>
        <v>0</v>
      </c>
    </row>
    <row r="29" spans="1:11" hidden="1" x14ac:dyDescent="0.3">
      <c r="I29" s="11" t="s">
        <v>58</v>
      </c>
      <c r="J29" s="38">
        <f>SUM(J17:J28)</f>
        <v>487709.58518174791</v>
      </c>
      <c r="K29" s="38">
        <f>SUM(K17:K28)</f>
        <v>900</v>
      </c>
    </row>
    <row r="30" spans="1:11" hidden="1" x14ac:dyDescent="0.3">
      <c r="I30" s="11"/>
      <c r="J30" s="38"/>
      <c r="K30" s="38"/>
    </row>
    <row r="31" spans="1:11" x14ac:dyDescent="0.3">
      <c r="A31" s="132" t="s">
        <v>59</v>
      </c>
      <c r="B31" s="132"/>
      <c r="C31" s="132"/>
      <c r="D31" s="132"/>
      <c r="E31" s="132"/>
      <c r="F31" s="132"/>
      <c r="G31" s="132"/>
      <c r="H31" s="132"/>
      <c r="I31" s="11"/>
      <c r="J31" s="21"/>
      <c r="K31" s="21"/>
    </row>
    <row r="32" spans="1:11" x14ac:dyDescent="0.3">
      <c r="I32" s="11"/>
      <c r="J32" s="21"/>
      <c r="K32" s="21"/>
    </row>
    <row r="33" spans="1:8" x14ac:dyDescent="0.3">
      <c r="A33" s="10" t="s">
        <v>37</v>
      </c>
      <c r="B33" t="s">
        <v>35</v>
      </c>
      <c r="D33" s="12" t="s">
        <v>60</v>
      </c>
      <c r="E33" s="12" t="s">
        <v>61</v>
      </c>
      <c r="F33" s="12" t="s">
        <v>62</v>
      </c>
    </row>
    <row r="34" spans="1:8" x14ac:dyDescent="0.3">
      <c r="A34" s="11" t="s">
        <v>39</v>
      </c>
      <c r="B34" s="18">
        <v>0.76742058930162793</v>
      </c>
      <c r="D34" s="11" t="s">
        <v>39</v>
      </c>
      <c r="E34" s="18">
        <f>IFERROR(VLOOKUP(D34,$A$33:$B$39,2,FALSE),0)</f>
        <v>0.76742058930162793</v>
      </c>
      <c r="F34" s="18">
        <f t="shared" ref="F34:F39" si="5">1-E34</f>
        <v>0.23257941069837207</v>
      </c>
    </row>
    <row r="35" spans="1:8" x14ac:dyDescent="0.3">
      <c r="A35" s="11" t="s">
        <v>42</v>
      </c>
      <c r="B35" s="18">
        <v>3.9145300126493261E-2</v>
      </c>
      <c r="D35" s="11" t="s">
        <v>38</v>
      </c>
      <c r="E35" s="18">
        <f t="shared" ref="E35:E39" si="6">IFERROR(VLOOKUP(D35,$A$33:$B$39,2,FALSE),0)</f>
        <v>0.17960812050445663</v>
      </c>
      <c r="F35" s="18">
        <f t="shared" si="5"/>
        <v>0.82039187949554337</v>
      </c>
    </row>
    <row r="36" spans="1:8" x14ac:dyDescent="0.3">
      <c r="A36" s="11" t="s">
        <v>41</v>
      </c>
      <c r="B36" s="18">
        <v>8.0593068660372788E-3</v>
      </c>
      <c r="D36" t="s">
        <v>42</v>
      </c>
      <c r="E36" s="17">
        <f t="shared" si="6"/>
        <v>3.9145300126493261E-2</v>
      </c>
      <c r="F36" s="18">
        <f t="shared" si="5"/>
        <v>0.96085469987350669</v>
      </c>
    </row>
    <row r="37" spans="1:8" x14ac:dyDescent="0.3">
      <c r="A37" s="11" t="s">
        <v>40</v>
      </c>
      <c r="B37" s="18">
        <v>2.7632023673302445E-3</v>
      </c>
      <c r="D37" t="s">
        <v>41</v>
      </c>
      <c r="E37" s="17">
        <f t="shared" si="6"/>
        <v>8.0593068660372788E-3</v>
      </c>
      <c r="F37" s="18">
        <f t="shared" si="5"/>
        <v>0.99194069313396271</v>
      </c>
    </row>
    <row r="38" spans="1:8" x14ac:dyDescent="0.3">
      <c r="A38" s="11" t="s">
        <v>38</v>
      </c>
      <c r="B38" s="18">
        <v>0.17960812050445663</v>
      </c>
      <c r="D38" t="s">
        <v>40</v>
      </c>
      <c r="E38" s="17">
        <f>IFERROR(VLOOKUP(D38,$A$33:$B$39,2,FALSE),0)</f>
        <v>2.7632023673302445E-3</v>
      </c>
      <c r="F38" s="18">
        <f t="shared" si="5"/>
        <v>0.9972367976326697</v>
      </c>
    </row>
    <row r="39" spans="1:8" x14ac:dyDescent="0.3">
      <c r="A39" s="11" t="s">
        <v>43</v>
      </c>
      <c r="B39" s="18">
        <v>3.0034808340546138E-3</v>
      </c>
      <c r="D39" t="s">
        <v>43</v>
      </c>
      <c r="E39" s="17">
        <f t="shared" si="6"/>
        <v>3.0034808340546138E-3</v>
      </c>
      <c r="F39" s="18">
        <f t="shared" si="5"/>
        <v>0.99699651916594534</v>
      </c>
    </row>
    <row r="40" spans="1:8" x14ac:dyDescent="0.3">
      <c r="A40" s="11" t="s">
        <v>44</v>
      </c>
      <c r="B40" s="17">
        <v>1</v>
      </c>
      <c r="E40" s="18"/>
      <c r="F40" s="19"/>
    </row>
    <row r="41" spans="1:8" x14ac:dyDescent="0.3">
      <c r="E41" s="19"/>
      <c r="F41" s="19"/>
    </row>
    <row r="42" spans="1:8" x14ac:dyDescent="0.3">
      <c r="D42" s="35" t="s">
        <v>63</v>
      </c>
      <c r="E42" s="17">
        <f>+E39</f>
        <v>3.0034808340546138E-3</v>
      </c>
      <c r="F42" s="18"/>
    </row>
    <row r="43" spans="1:8" x14ac:dyDescent="0.3">
      <c r="A43" s="132" t="s">
        <v>64</v>
      </c>
      <c r="B43" s="132"/>
      <c r="C43" s="132"/>
      <c r="D43" s="132"/>
      <c r="E43" s="132"/>
      <c r="F43" s="132"/>
      <c r="G43" s="132"/>
      <c r="H43" s="132"/>
    </row>
    <row r="45" spans="1:8" x14ac:dyDescent="0.3">
      <c r="A45" s="10" t="s">
        <v>37</v>
      </c>
      <c r="B45" t="s">
        <v>35</v>
      </c>
    </row>
    <row r="46" spans="1:8" x14ac:dyDescent="0.3">
      <c r="A46" s="11" t="s">
        <v>120</v>
      </c>
      <c r="B46" s="28">
        <v>85219.04</v>
      </c>
      <c r="D46" s="12" t="s">
        <v>11</v>
      </c>
      <c r="E46" s="12" t="s">
        <v>65</v>
      </c>
    </row>
    <row r="47" spans="1:8" x14ac:dyDescent="0.3">
      <c r="A47" s="11" t="s">
        <v>14</v>
      </c>
      <c r="B47" s="28">
        <v>96900.97</v>
      </c>
      <c r="D47" s="11" t="s">
        <v>120</v>
      </c>
      <c r="E47" s="28">
        <f>IFERROR(+VLOOKUP(D47,$A$46:$B$49,2,0),0)</f>
        <v>85219.04</v>
      </c>
    </row>
    <row r="48" spans="1:8" x14ac:dyDescent="0.3">
      <c r="A48" s="11" t="s">
        <v>12</v>
      </c>
      <c r="B48" s="28">
        <v>75252.52</v>
      </c>
      <c r="D48" s="11" t="s">
        <v>12</v>
      </c>
      <c r="E48" s="28">
        <f t="shared" ref="E48:E51" si="7">IFERROR(+VLOOKUP(D48,$A$46:$B$49,2,0),0)</f>
        <v>75252.52</v>
      </c>
    </row>
    <row r="49" spans="1:7" x14ac:dyDescent="0.3">
      <c r="A49" s="11" t="s">
        <v>13</v>
      </c>
      <c r="B49" s="28">
        <v>42279.79</v>
      </c>
      <c r="D49" s="11" t="s">
        <v>13</v>
      </c>
      <c r="E49" s="28">
        <f t="shared" si="7"/>
        <v>42279.79</v>
      </c>
    </row>
    <row r="50" spans="1:7" x14ac:dyDescent="0.3">
      <c r="A50" s="11" t="s">
        <v>44</v>
      </c>
      <c r="B50" s="28">
        <v>299652.32</v>
      </c>
      <c r="D50" s="11" t="s">
        <v>14</v>
      </c>
      <c r="E50" s="28">
        <f>IFERROR(+VLOOKUP(D50,$A$46:$B$49,2,0),0)</f>
        <v>96900.97</v>
      </c>
    </row>
    <row r="51" spans="1:7" x14ac:dyDescent="0.3">
      <c r="D51" s="13" t="s">
        <v>44</v>
      </c>
      <c r="E51" s="63">
        <f t="shared" si="7"/>
        <v>0</v>
      </c>
    </row>
    <row r="52" spans="1:7" x14ac:dyDescent="0.3">
      <c r="D52" s="45"/>
      <c r="E52" s="28"/>
    </row>
    <row r="53" spans="1:7" x14ac:dyDescent="0.3">
      <c r="A53" s="132" t="s">
        <v>66</v>
      </c>
      <c r="B53" s="132"/>
      <c r="C53" s="132"/>
      <c r="D53" s="132"/>
      <c r="E53" s="132"/>
      <c r="F53" s="132"/>
      <c r="G53" s="132"/>
    </row>
    <row r="56" spans="1:7" x14ac:dyDescent="0.3">
      <c r="A56" s="10" t="s">
        <v>37</v>
      </c>
      <c r="B56" t="s">
        <v>35</v>
      </c>
      <c r="D56" s="12" t="s">
        <v>1</v>
      </c>
      <c r="E56" s="12" t="s">
        <v>67</v>
      </c>
    </row>
    <row r="57" spans="1:7" x14ac:dyDescent="0.3">
      <c r="A57" s="11" t="s">
        <v>5</v>
      </c>
      <c r="B57" s="28">
        <v>95940.44</v>
      </c>
      <c r="D57" s="11" t="s">
        <v>5</v>
      </c>
      <c r="E57" s="47">
        <f>+IFERROR(VLOOKUP(D57,$A$57:$B$66,2,FALSE),0)</f>
        <v>95940.44</v>
      </c>
    </row>
    <row r="58" spans="1:7" x14ac:dyDescent="0.3">
      <c r="A58" s="11" t="s">
        <v>2</v>
      </c>
      <c r="B58" s="28">
        <v>86895.81</v>
      </c>
      <c r="D58" s="11" t="s">
        <v>2</v>
      </c>
      <c r="E58" s="47">
        <f t="shared" ref="E58:E65" si="8">+IFERROR(VLOOKUP(D58,$A$57:$B$66,2,FALSE),0)</f>
        <v>86895.81</v>
      </c>
    </row>
    <row r="59" spans="1:7" x14ac:dyDescent="0.3">
      <c r="A59" s="11" t="s">
        <v>4</v>
      </c>
      <c r="B59" s="28">
        <v>19308.47</v>
      </c>
      <c r="D59" s="11" t="s">
        <v>4</v>
      </c>
      <c r="E59" s="47">
        <f t="shared" si="8"/>
        <v>19308.47</v>
      </c>
    </row>
    <row r="60" spans="1:7" x14ac:dyDescent="0.3">
      <c r="A60" s="11" t="s">
        <v>6</v>
      </c>
      <c r="B60" s="28">
        <v>41391.86</v>
      </c>
      <c r="D60" s="11" t="s">
        <v>6</v>
      </c>
      <c r="E60" s="47">
        <f t="shared" si="8"/>
        <v>41391.86</v>
      </c>
    </row>
    <row r="61" spans="1:7" x14ac:dyDescent="0.3">
      <c r="A61" s="11" t="s">
        <v>3</v>
      </c>
      <c r="B61" s="28">
        <v>56115.74</v>
      </c>
      <c r="D61" s="11" t="s">
        <v>3</v>
      </c>
      <c r="E61" s="47">
        <f t="shared" si="8"/>
        <v>56115.74</v>
      </c>
    </row>
    <row r="62" spans="1:7" x14ac:dyDescent="0.3">
      <c r="A62" s="11" t="s">
        <v>44</v>
      </c>
      <c r="B62" s="28">
        <v>299652.32</v>
      </c>
      <c r="D62" s="11"/>
      <c r="E62" s="47">
        <f t="shared" si="8"/>
        <v>0</v>
      </c>
    </row>
    <row r="63" spans="1:7" x14ac:dyDescent="0.3">
      <c r="D63" s="11"/>
      <c r="E63" s="47">
        <f t="shared" si="8"/>
        <v>0</v>
      </c>
    </row>
    <row r="64" spans="1:7" x14ac:dyDescent="0.3">
      <c r="D64" s="11"/>
      <c r="E64" s="47">
        <f t="shared" si="8"/>
        <v>0</v>
      </c>
    </row>
    <row r="65" spans="1:11" x14ac:dyDescent="0.3">
      <c r="D65" s="11"/>
      <c r="E65" s="47">
        <f t="shared" si="8"/>
        <v>0</v>
      </c>
    </row>
    <row r="66" spans="1:11" x14ac:dyDescent="0.3">
      <c r="D66" s="13" t="s">
        <v>44</v>
      </c>
    </row>
    <row r="69" spans="1:11" ht="17.399999999999999" customHeight="1" x14ac:dyDescent="0.3">
      <c r="A69" s="132" t="s">
        <v>68</v>
      </c>
      <c r="B69" s="132"/>
      <c r="C69" s="132"/>
      <c r="D69" s="132"/>
      <c r="E69" s="132"/>
      <c r="F69" s="132"/>
      <c r="G69" s="132"/>
      <c r="H69" s="132"/>
    </row>
    <row r="70" spans="1:11" ht="10.95" customHeight="1" x14ac:dyDescent="0.3"/>
    <row r="71" spans="1:11" x14ac:dyDescent="0.3">
      <c r="A71" t="s">
        <v>157</v>
      </c>
      <c r="B71" s="29">
        <f>+E51</f>
        <v>0</v>
      </c>
    </row>
    <row r="72" spans="1:11" x14ac:dyDescent="0.3">
      <c r="A72" t="s">
        <v>63</v>
      </c>
      <c r="B72" s="29">
        <f>+L6</f>
        <v>900</v>
      </c>
      <c r="D72" s="24" t="s">
        <v>70</v>
      </c>
      <c r="E72" s="24" t="s">
        <v>71</v>
      </c>
      <c r="F72" s="24" t="s">
        <v>72</v>
      </c>
      <c r="I72" s="24" t="s">
        <v>70</v>
      </c>
      <c r="J72" s="24" t="s">
        <v>71</v>
      </c>
      <c r="K72" s="24" t="s">
        <v>72</v>
      </c>
    </row>
    <row r="73" spans="1:11" x14ac:dyDescent="0.3">
      <c r="A73" s="32"/>
      <c r="B73" s="39">
        <f>+E42</f>
        <v>3.0034808340546138E-3</v>
      </c>
      <c r="D73" s="23" t="s">
        <v>73</v>
      </c>
      <c r="E73" s="37">
        <v>0.3</v>
      </c>
      <c r="F73" s="37">
        <v>0.3</v>
      </c>
      <c r="I73" s="23" t="s">
        <v>73</v>
      </c>
      <c r="J73" s="36">
        <v>0.01</v>
      </c>
      <c r="K73" s="37">
        <v>0</v>
      </c>
    </row>
    <row r="74" spans="1:11" x14ac:dyDescent="0.3">
      <c r="D74" s="23" t="s">
        <v>74</v>
      </c>
      <c r="E74" s="37">
        <v>0.3</v>
      </c>
      <c r="F74" s="37">
        <v>0.5</v>
      </c>
      <c r="I74" s="23" t="s">
        <v>74</v>
      </c>
      <c r="J74" s="36">
        <v>5.0000000000000001E-3</v>
      </c>
      <c r="K74" s="37">
        <v>0.01</v>
      </c>
    </row>
    <row r="75" spans="1:11" x14ac:dyDescent="0.3">
      <c r="D75" s="23" t="s">
        <v>75</v>
      </c>
      <c r="E75" s="37">
        <v>0.2</v>
      </c>
      <c r="F75" s="37">
        <v>0.8</v>
      </c>
      <c r="I75" s="23" t="s">
        <v>75</v>
      </c>
      <c r="J75" s="36">
        <v>5.0000000000000001E-3</v>
      </c>
      <c r="K75" s="36">
        <v>1.4999999999999999E-2</v>
      </c>
    </row>
    <row r="76" spans="1:11" x14ac:dyDescent="0.3">
      <c r="B76" t="str">
        <f>+IF(B73&lt;0.5%,"Gestion Sana", "Revisar Mora")</f>
        <v>Gestion Sana</v>
      </c>
      <c r="D76" s="23"/>
      <c r="E76" s="37">
        <f>SUM(E73:E75)</f>
        <v>0.8</v>
      </c>
      <c r="F76" s="23"/>
      <c r="I76" s="23"/>
      <c r="J76" s="26">
        <f>SUM(J73:J75)</f>
        <v>0.02</v>
      </c>
      <c r="K76" s="37">
        <v>0.02</v>
      </c>
    </row>
    <row r="77" spans="1:11" x14ac:dyDescent="0.3">
      <c r="E77" s="25" t="s">
        <v>76</v>
      </c>
      <c r="F77" s="25" t="s">
        <v>77</v>
      </c>
      <c r="J77" s="25" t="s">
        <v>76</v>
      </c>
      <c r="K77" s="25" t="s">
        <v>77</v>
      </c>
    </row>
    <row r="78" spans="1:11" x14ac:dyDescent="0.3">
      <c r="A78" t="s">
        <v>69</v>
      </c>
      <c r="B78" s="38">
        <f>+E9</f>
        <v>900</v>
      </c>
      <c r="D78" t="s">
        <v>78</v>
      </c>
      <c r="E78" s="20">
        <v>0</v>
      </c>
      <c r="F78" s="20">
        <v>0</v>
      </c>
      <c r="I78" t="s">
        <v>78</v>
      </c>
      <c r="J78" s="20">
        <v>0</v>
      </c>
      <c r="K78" s="20">
        <v>0</v>
      </c>
    </row>
    <row r="79" spans="1:11" x14ac:dyDescent="0.3">
      <c r="A79" t="s">
        <v>79</v>
      </c>
      <c r="B79" s="38">
        <f>+J29</f>
        <v>487709.58518174791</v>
      </c>
      <c r="D79" t="s">
        <v>80</v>
      </c>
      <c r="E79">
        <f>IF(B80&gt;E76,-COS(PI()*E76/E76),-COS(PI()*B80/E76))</f>
        <v>-0.99997374268514316</v>
      </c>
      <c r="F79">
        <f>IF(B80&gt;E76,+SIN(PI()*E76/E76),+SIN(PI()*B80/E76))</f>
        <v>7.2466502790733706E-3</v>
      </c>
      <c r="I79" t="s">
        <v>80</v>
      </c>
      <c r="J79">
        <f>-COS(PI() * (B73 / 2%))</f>
        <v>-0.89075816347641468</v>
      </c>
      <c r="K79">
        <f>SIN(PI()*B73/2%)</f>
        <v>0.45447760582907154</v>
      </c>
    </row>
    <row r="80" spans="1:11" x14ac:dyDescent="0.3">
      <c r="A80" t="s">
        <v>81</v>
      </c>
      <c r="B80" s="33">
        <f>+B78/B79</f>
        <v>1.8453604918685566E-3</v>
      </c>
    </row>
    <row r="82" spans="1:22" x14ac:dyDescent="0.3">
      <c r="E82">
        <v>1</v>
      </c>
    </row>
    <row r="83" spans="1:22" x14ac:dyDescent="0.3">
      <c r="A83" s="7"/>
      <c r="E83">
        <v>1</v>
      </c>
    </row>
    <row r="84" spans="1:22" x14ac:dyDescent="0.3">
      <c r="A84" s="25" t="str">
        <f>"CORTE: " &amp; TEXT(DATE(2026,6,30),"DD/MM/YYYY")</f>
        <v>CORTE: 30/06/2026</v>
      </c>
    </row>
    <row r="87" spans="1:22" x14ac:dyDescent="0.3">
      <c r="B87" s="71" cm="1">
        <f t="array" aca="1" ref="B87" ca="1">SUMPRODUCT((COMPOSICIONSALDOneo[DIAS DE MORA]&gt;0)*COMPOSICIONSALDOneo[DIAS DE MORA]*COMPOSICIONSALDOneo[IMP. SECUNDARIO])/SUMIF(COMPOSICIONSALDOneo[DIAS DE MORA],"&gt;0",COMPOSICIONSALDOneo[IMP. SECUNDARIO])</f>
        <v>21.576257630612901</v>
      </c>
    </row>
    <row r="92" spans="1:22" x14ac:dyDescent="0.3">
      <c r="G92" t="s">
        <v>83</v>
      </c>
    </row>
    <row r="94" spans="1:22" x14ac:dyDescent="0.3">
      <c r="B94" s="10" t="s">
        <v>0</v>
      </c>
      <c r="C94" t="s">
        <v>35</v>
      </c>
      <c r="G94" s="10" t="s">
        <v>85</v>
      </c>
      <c r="H94" s="48" t="s">
        <v>84</v>
      </c>
    </row>
    <row r="95" spans="1:22" x14ac:dyDescent="0.3">
      <c r="B95" s="11" t="s">
        <v>262</v>
      </c>
      <c r="C95" s="136">
        <v>41229.61</v>
      </c>
      <c r="G95" s="10" t="s">
        <v>0</v>
      </c>
      <c r="H95" t="s">
        <v>38</v>
      </c>
      <c r="I95" t="s">
        <v>39</v>
      </c>
      <c r="J95" t="s">
        <v>41</v>
      </c>
      <c r="K95" t="s">
        <v>40</v>
      </c>
      <c r="L95" t="s">
        <v>42</v>
      </c>
      <c r="M95" t="s">
        <v>43</v>
      </c>
      <c r="N95" t="s">
        <v>44</v>
      </c>
      <c r="P95" s="73">
        <f>COUNTA(R95:R274)-COUNTIF(R95:R200,"*Total*")</f>
        <v>51</v>
      </c>
      <c r="R95" t="str">
        <f>IFERROR(IF(OR($B95="",ISNUMBER(SEARCH("Total",$B95))),"",$B95),"")</f>
        <v>Cliente 52</v>
      </c>
      <c r="S95" s="74">
        <f>IFERROR(IF($R95="","",$C95),"")</f>
        <v>41229.61</v>
      </c>
      <c r="U95" s="75" t="str">
        <f ca="1">IFERROR(OFFSET($R$94,$P$96+ROW()-95,0),"")</f>
        <v>Cliente 7</v>
      </c>
      <c r="V95" s="76">
        <f ca="1">IFERROR(OFFSET($S$94,$P$96+ROW()-95,0),"")</f>
        <v>8140.58</v>
      </c>
    </row>
    <row r="96" spans="1:22" x14ac:dyDescent="0.3">
      <c r="B96" s="11" t="s">
        <v>195</v>
      </c>
      <c r="C96" s="136">
        <v>18767.63</v>
      </c>
      <c r="G96" s="81" t="s">
        <v>271</v>
      </c>
      <c r="H96" s="51"/>
      <c r="I96" s="58"/>
      <c r="J96" s="58"/>
      <c r="K96" s="58">
        <v>36.14</v>
      </c>
      <c r="L96" s="58"/>
      <c r="M96" s="58"/>
      <c r="N96" s="49">
        <v>36.14</v>
      </c>
      <c r="P96" s="73">
        <v>17</v>
      </c>
      <c r="R96" t="str">
        <f t="shared" ref="R96:R145" si="9">IFERROR(IF(OR($B96="",ISNUMBER(SEARCH("Total",$B96))),"",$B96),"")</f>
        <v>Cliente 34</v>
      </c>
      <c r="S96" s="74">
        <f t="shared" ref="S96:S159" si="10">IFERROR(IF($R96="","",$C96),"")</f>
        <v>18767.63</v>
      </c>
      <c r="U96" s="77" t="str">
        <f t="shared" ref="U96:U104" ca="1" si="11">IFERROR(OFFSET($R$94,$P$96+ROW()-95,0),"")</f>
        <v>Cliente 20</v>
      </c>
      <c r="V96" s="78">
        <f t="shared" ref="V96:V104" ca="1" si="12">IFERROR(OFFSET($S$94,$P$96+ROW()-95,0),"")</f>
        <v>8097.48</v>
      </c>
    </row>
    <row r="97" spans="2:22" x14ac:dyDescent="0.3">
      <c r="B97" s="11" t="s">
        <v>178</v>
      </c>
      <c r="C97" s="136">
        <v>17635.29</v>
      </c>
      <c r="G97" s="57" t="s">
        <v>165</v>
      </c>
      <c r="H97" s="54"/>
      <c r="I97" s="59"/>
      <c r="J97" s="59">
        <v>128.88999999999999</v>
      </c>
      <c r="K97" s="59"/>
      <c r="L97" s="59"/>
      <c r="M97" s="59"/>
      <c r="N97" s="55">
        <v>128.88999999999999</v>
      </c>
      <c r="R97" t="str">
        <f t="shared" si="9"/>
        <v>Cliente 17</v>
      </c>
      <c r="S97" s="74">
        <f t="shared" si="10"/>
        <v>17635.29</v>
      </c>
      <c r="U97" s="77" t="str">
        <f t="shared" ca="1" si="11"/>
        <v>Cliente 59</v>
      </c>
      <c r="V97" s="78">
        <f t="shared" ca="1" si="12"/>
        <v>5103.09</v>
      </c>
    </row>
    <row r="98" spans="2:22" x14ac:dyDescent="0.3">
      <c r="B98" s="11" t="s">
        <v>172</v>
      </c>
      <c r="C98" s="136">
        <v>17368.37</v>
      </c>
      <c r="G98" s="57" t="s">
        <v>261</v>
      </c>
      <c r="H98" s="54"/>
      <c r="I98" s="59"/>
      <c r="J98" s="59"/>
      <c r="K98" s="59">
        <v>156.47</v>
      </c>
      <c r="L98" s="59"/>
      <c r="M98" s="59"/>
      <c r="N98" s="55">
        <v>156.47</v>
      </c>
      <c r="R98" t="str">
        <f t="shared" si="9"/>
        <v>Cliente 11</v>
      </c>
      <c r="S98" s="74">
        <f t="shared" si="10"/>
        <v>17368.37</v>
      </c>
      <c r="U98" s="77" t="str">
        <f t="shared" ca="1" si="11"/>
        <v>Cliente 30</v>
      </c>
      <c r="V98" s="78">
        <f t="shared" ca="1" si="12"/>
        <v>4707.75</v>
      </c>
    </row>
    <row r="99" spans="2:22" x14ac:dyDescent="0.3">
      <c r="B99" s="11" t="s">
        <v>163</v>
      </c>
      <c r="C99" s="136">
        <v>17045.830000000002</v>
      </c>
      <c r="G99" s="57" t="s">
        <v>166</v>
      </c>
      <c r="H99" s="54"/>
      <c r="I99" s="59"/>
      <c r="J99" s="59"/>
      <c r="K99" s="59">
        <v>161.27000000000001</v>
      </c>
      <c r="L99" s="59"/>
      <c r="M99" s="59"/>
      <c r="N99" s="55">
        <v>161.27000000000001</v>
      </c>
      <c r="R99" t="str">
        <f t="shared" si="9"/>
        <v>Cliente 2</v>
      </c>
      <c r="S99" s="74">
        <f t="shared" si="10"/>
        <v>17045.830000000002</v>
      </c>
      <c r="U99" s="77" t="str">
        <f t="shared" ca="1" si="11"/>
        <v>Cliente 25</v>
      </c>
      <c r="V99" s="78">
        <f t="shared" ca="1" si="12"/>
        <v>3228.85</v>
      </c>
    </row>
    <row r="100" spans="2:22" x14ac:dyDescent="0.3">
      <c r="B100" s="11" t="s">
        <v>196</v>
      </c>
      <c r="C100" s="136">
        <v>16485.990000000002</v>
      </c>
      <c r="G100" s="57" t="s">
        <v>281</v>
      </c>
      <c r="H100" s="54"/>
      <c r="I100" s="59"/>
      <c r="J100" s="59"/>
      <c r="K100" s="59"/>
      <c r="L100" s="59"/>
      <c r="M100" s="59">
        <v>195.66</v>
      </c>
      <c r="N100" s="55">
        <v>195.66</v>
      </c>
      <c r="R100" t="str">
        <f t="shared" si="9"/>
        <v>Cliente 35</v>
      </c>
      <c r="S100" s="74">
        <f t="shared" si="10"/>
        <v>16485.990000000002</v>
      </c>
      <c r="U100" s="77" t="str">
        <f t="shared" ca="1" si="11"/>
        <v>Cliente 42</v>
      </c>
      <c r="V100" s="78">
        <f t="shared" ca="1" si="12"/>
        <v>2917.47</v>
      </c>
    </row>
    <row r="101" spans="2:22" x14ac:dyDescent="0.3">
      <c r="B101" s="11" t="s">
        <v>188</v>
      </c>
      <c r="C101" s="136">
        <v>16391</v>
      </c>
      <c r="G101" s="57" t="s">
        <v>193</v>
      </c>
      <c r="H101" s="54"/>
      <c r="I101" s="59"/>
      <c r="J101" s="59"/>
      <c r="K101" s="59"/>
      <c r="L101" s="59">
        <v>206.18</v>
      </c>
      <c r="M101" s="59"/>
      <c r="N101" s="55">
        <v>206.18</v>
      </c>
      <c r="R101" t="str">
        <f t="shared" si="9"/>
        <v>Cliente 27</v>
      </c>
      <c r="S101" s="74">
        <f t="shared" si="10"/>
        <v>16391</v>
      </c>
      <c r="U101" s="77" t="str">
        <f t="shared" ca="1" si="11"/>
        <v>Cliente 31</v>
      </c>
      <c r="V101" s="78">
        <f t="shared" ca="1" si="12"/>
        <v>2764.02</v>
      </c>
    </row>
    <row r="102" spans="2:22" x14ac:dyDescent="0.3">
      <c r="B102" s="11" t="s">
        <v>183</v>
      </c>
      <c r="C102" s="136">
        <v>15497.39</v>
      </c>
      <c r="G102" s="57" t="s">
        <v>260</v>
      </c>
      <c r="H102" s="54"/>
      <c r="I102" s="59"/>
      <c r="J102" s="59">
        <v>415.31</v>
      </c>
      <c r="K102" s="59">
        <v>150.59</v>
      </c>
      <c r="L102" s="59"/>
      <c r="M102" s="59"/>
      <c r="N102" s="55">
        <v>565.9</v>
      </c>
      <c r="R102" t="str">
        <f t="shared" si="9"/>
        <v>Cliente 22</v>
      </c>
      <c r="S102" s="74">
        <f t="shared" si="10"/>
        <v>15497.39</v>
      </c>
      <c r="U102" s="77" t="str">
        <f t="shared" ca="1" si="11"/>
        <v>Cliente 18</v>
      </c>
      <c r="V102" s="78">
        <f t="shared" ca="1" si="12"/>
        <v>1868.67</v>
      </c>
    </row>
    <row r="103" spans="2:22" x14ac:dyDescent="0.3">
      <c r="B103" s="11" t="s">
        <v>270</v>
      </c>
      <c r="C103" s="136">
        <v>15453.74</v>
      </c>
      <c r="G103" s="57" t="s">
        <v>184</v>
      </c>
      <c r="H103" s="54"/>
      <c r="I103" s="59"/>
      <c r="J103" s="59">
        <v>365.01</v>
      </c>
      <c r="K103" s="59"/>
      <c r="L103" s="59"/>
      <c r="M103" s="59">
        <v>340.81</v>
      </c>
      <c r="N103" s="55">
        <v>705.82</v>
      </c>
      <c r="R103" t="str">
        <f t="shared" si="9"/>
        <v>Cliente 53</v>
      </c>
      <c r="S103" s="74">
        <f t="shared" si="10"/>
        <v>15453.74</v>
      </c>
      <c r="U103" s="77" t="str">
        <f t="shared" ca="1" si="11"/>
        <v>Cliente 13</v>
      </c>
      <c r="V103" s="78">
        <f t="shared" ca="1" si="12"/>
        <v>1713.03</v>
      </c>
    </row>
    <row r="104" spans="2:22" x14ac:dyDescent="0.3">
      <c r="B104" s="11" t="s">
        <v>197</v>
      </c>
      <c r="C104" s="136">
        <v>15391.48</v>
      </c>
      <c r="G104" s="57" t="s">
        <v>267</v>
      </c>
      <c r="H104" s="54"/>
      <c r="I104" s="59"/>
      <c r="J104" s="59"/>
      <c r="K104" s="59"/>
      <c r="L104" s="59">
        <v>975.71</v>
      </c>
      <c r="M104" s="59"/>
      <c r="N104" s="55">
        <v>975.71</v>
      </c>
      <c r="R104" t="str">
        <f t="shared" si="9"/>
        <v>Cliente 36</v>
      </c>
      <c r="S104" s="74">
        <f t="shared" si="10"/>
        <v>15391.48</v>
      </c>
      <c r="U104" s="79" t="str">
        <f t="shared" ca="1" si="11"/>
        <v>Cliente 55</v>
      </c>
      <c r="V104" s="80">
        <f t="shared" ca="1" si="12"/>
        <v>1574.21</v>
      </c>
    </row>
    <row r="105" spans="2:22" x14ac:dyDescent="0.3">
      <c r="B105" s="11" t="s">
        <v>269</v>
      </c>
      <c r="C105" s="136">
        <v>15330.03</v>
      </c>
      <c r="G105" s="57" t="s">
        <v>265</v>
      </c>
      <c r="H105" s="54"/>
      <c r="I105" s="59"/>
      <c r="J105" s="59"/>
      <c r="K105" s="59">
        <v>164.54</v>
      </c>
      <c r="L105" s="59">
        <v>1095.9000000000001</v>
      </c>
      <c r="M105" s="59"/>
      <c r="N105" s="55">
        <v>1260.44</v>
      </c>
      <c r="R105" t="str">
        <f t="shared" si="9"/>
        <v>Cliente 41</v>
      </c>
      <c r="S105" s="74">
        <f t="shared" si="10"/>
        <v>15330.03</v>
      </c>
      <c r="V105" s="74"/>
    </row>
    <row r="106" spans="2:22" x14ac:dyDescent="0.3">
      <c r="B106" s="11" t="s">
        <v>268</v>
      </c>
      <c r="C106" s="136">
        <v>10951.14</v>
      </c>
      <c r="G106" s="57" t="s">
        <v>285</v>
      </c>
      <c r="H106" s="54"/>
      <c r="I106" s="59"/>
      <c r="J106" s="59"/>
      <c r="K106" s="59"/>
      <c r="L106" s="59">
        <v>1574.21</v>
      </c>
      <c r="M106" s="59"/>
      <c r="N106" s="55">
        <v>1574.21</v>
      </c>
      <c r="R106" t="str">
        <f t="shared" si="9"/>
        <v>Cliente 54</v>
      </c>
      <c r="S106" s="74">
        <f t="shared" si="10"/>
        <v>10951.14</v>
      </c>
    </row>
    <row r="107" spans="2:22" x14ac:dyDescent="0.3">
      <c r="B107" s="11" t="s">
        <v>199</v>
      </c>
      <c r="C107" s="136">
        <v>9924.24</v>
      </c>
      <c r="G107" s="57" t="s">
        <v>174</v>
      </c>
      <c r="H107" s="54"/>
      <c r="I107" s="59"/>
      <c r="J107" s="59"/>
      <c r="K107" s="59"/>
      <c r="L107" s="59">
        <v>1713.03</v>
      </c>
      <c r="M107" s="59"/>
      <c r="N107" s="55">
        <v>1713.03</v>
      </c>
      <c r="R107" t="str">
        <f t="shared" si="9"/>
        <v>Cliente 38</v>
      </c>
      <c r="S107" s="74">
        <f t="shared" si="10"/>
        <v>9924.24</v>
      </c>
    </row>
    <row r="108" spans="2:22" x14ac:dyDescent="0.3">
      <c r="B108" s="11" t="s">
        <v>180</v>
      </c>
      <c r="C108" s="136">
        <v>9771.06</v>
      </c>
      <c r="G108" s="57" t="s">
        <v>179</v>
      </c>
      <c r="H108" s="54"/>
      <c r="I108" s="59"/>
      <c r="J108" s="59">
        <v>378.82</v>
      </c>
      <c r="K108" s="59"/>
      <c r="L108" s="59">
        <v>1489.85</v>
      </c>
      <c r="M108" s="59"/>
      <c r="N108" s="55">
        <v>1868.67</v>
      </c>
      <c r="R108" t="str">
        <f t="shared" si="9"/>
        <v>Cliente 19</v>
      </c>
      <c r="S108" s="74">
        <f t="shared" si="10"/>
        <v>9771.06</v>
      </c>
    </row>
    <row r="109" spans="2:22" x14ac:dyDescent="0.3">
      <c r="B109" s="11" t="s">
        <v>266</v>
      </c>
      <c r="C109" s="136">
        <v>9220.2999999999993</v>
      </c>
      <c r="G109" s="57" t="s">
        <v>192</v>
      </c>
      <c r="H109" s="54">
        <v>2274.17</v>
      </c>
      <c r="I109" s="59"/>
      <c r="J109" s="59"/>
      <c r="K109" s="59"/>
      <c r="L109" s="59">
        <v>489.85</v>
      </c>
      <c r="M109" s="59"/>
      <c r="N109" s="55">
        <v>2764.02</v>
      </c>
      <c r="R109" t="str">
        <f t="shared" si="9"/>
        <v>Cliente 51</v>
      </c>
      <c r="S109" s="74">
        <f t="shared" si="10"/>
        <v>9220.2999999999993</v>
      </c>
    </row>
    <row r="110" spans="2:22" x14ac:dyDescent="0.3">
      <c r="B110" s="11" t="s">
        <v>176</v>
      </c>
      <c r="C110" s="136">
        <v>8681.59</v>
      </c>
      <c r="G110" s="57" t="s">
        <v>263</v>
      </c>
      <c r="H110" s="54"/>
      <c r="I110" s="59">
        <v>2758.48</v>
      </c>
      <c r="J110" s="59"/>
      <c r="K110" s="59">
        <v>158.99</v>
      </c>
      <c r="L110" s="59"/>
      <c r="M110" s="59"/>
      <c r="N110" s="55">
        <v>2917.47</v>
      </c>
      <c r="R110" t="str">
        <f t="shared" si="9"/>
        <v>Cliente 15</v>
      </c>
      <c r="S110" s="74">
        <f t="shared" si="10"/>
        <v>8681.59</v>
      </c>
    </row>
    <row r="111" spans="2:22" x14ac:dyDescent="0.3">
      <c r="B111" s="11" t="s">
        <v>168</v>
      </c>
      <c r="C111" s="136">
        <v>8140.58</v>
      </c>
      <c r="G111" s="57" t="s">
        <v>186</v>
      </c>
      <c r="H111" s="54"/>
      <c r="I111" s="59">
        <v>3228.85</v>
      </c>
      <c r="J111" s="59"/>
      <c r="K111" s="59"/>
      <c r="L111" s="59"/>
      <c r="M111" s="59"/>
      <c r="N111" s="55">
        <v>3228.85</v>
      </c>
      <c r="R111" t="str">
        <f t="shared" si="9"/>
        <v>Cliente 7</v>
      </c>
      <c r="S111" s="74">
        <f t="shared" si="10"/>
        <v>8140.58</v>
      </c>
    </row>
    <row r="112" spans="2:22" x14ac:dyDescent="0.3">
      <c r="B112" s="11" t="s">
        <v>181</v>
      </c>
      <c r="C112" s="136">
        <v>8097.48</v>
      </c>
      <c r="G112" s="57" t="s">
        <v>191</v>
      </c>
      <c r="H112" s="54">
        <v>4707.75</v>
      </c>
      <c r="I112" s="59"/>
      <c r="J112" s="59"/>
      <c r="K112" s="59"/>
      <c r="L112" s="59"/>
      <c r="M112" s="59"/>
      <c r="N112" s="55">
        <v>4707.75</v>
      </c>
      <c r="R112" t="str">
        <f t="shared" si="9"/>
        <v>Cliente 20</v>
      </c>
      <c r="S112" s="74">
        <f t="shared" si="10"/>
        <v>8097.48</v>
      </c>
    </row>
    <row r="113" spans="2:19" x14ac:dyDescent="0.3">
      <c r="B113" s="11" t="s">
        <v>264</v>
      </c>
      <c r="C113" s="136">
        <v>5103.09</v>
      </c>
      <c r="G113" s="57" t="s">
        <v>264</v>
      </c>
      <c r="H113" s="54">
        <v>5103.09</v>
      </c>
      <c r="I113" s="59"/>
      <c r="J113" s="59"/>
      <c r="K113" s="59"/>
      <c r="L113" s="59"/>
      <c r="M113" s="59"/>
      <c r="N113" s="55">
        <v>5103.09</v>
      </c>
      <c r="R113" t="str">
        <f t="shared" si="9"/>
        <v>Cliente 59</v>
      </c>
      <c r="S113" s="74">
        <f t="shared" si="10"/>
        <v>5103.09</v>
      </c>
    </row>
    <row r="114" spans="2:19" x14ac:dyDescent="0.3">
      <c r="B114" s="11" t="s">
        <v>191</v>
      </c>
      <c r="C114" s="136">
        <v>4707.75</v>
      </c>
      <c r="G114" s="57" t="s">
        <v>181</v>
      </c>
      <c r="H114" s="54">
        <v>7733.95</v>
      </c>
      <c r="I114" s="59"/>
      <c r="J114" s="59"/>
      <c r="K114" s="59"/>
      <c r="L114" s="59"/>
      <c r="M114" s="59">
        <v>363.53</v>
      </c>
      <c r="N114" s="55">
        <v>8097.48</v>
      </c>
      <c r="R114" t="str">
        <f t="shared" si="9"/>
        <v>Cliente 30</v>
      </c>
      <c r="S114" s="74">
        <f t="shared" si="10"/>
        <v>4707.75</v>
      </c>
    </row>
    <row r="115" spans="2:19" x14ac:dyDescent="0.3">
      <c r="B115" s="11" t="s">
        <v>186</v>
      </c>
      <c r="C115" s="136">
        <v>3228.85</v>
      </c>
      <c r="G115" s="57" t="s">
        <v>168</v>
      </c>
      <c r="H115" s="54">
        <v>6258.53</v>
      </c>
      <c r="I115" s="59">
        <v>1882.05</v>
      </c>
      <c r="J115" s="59"/>
      <c r="K115" s="59"/>
      <c r="L115" s="59"/>
      <c r="M115" s="59"/>
      <c r="N115" s="55">
        <v>8140.58</v>
      </c>
      <c r="R115" t="str">
        <f t="shared" si="9"/>
        <v>Cliente 25</v>
      </c>
      <c r="S115" s="74">
        <f t="shared" si="10"/>
        <v>3228.85</v>
      </c>
    </row>
    <row r="116" spans="2:19" x14ac:dyDescent="0.3">
      <c r="B116" s="11" t="s">
        <v>263</v>
      </c>
      <c r="C116" s="136">
        <v>2917.47</v>
      </c>
      <c r="G116" s="57" t="s">
        <v>176</v>
      </c>
      <c r="H116" s="54"/>
      <c r="I116" s="59">
        <v>8681.59</v>
      </c>
      <c r="J116" s="59"/>
      <c r="K116" s="59"/>
      <c r="L116" s="59"/>
      <c r="M116" s="59"/>
      <c r="N116" s="55">
        <v>8681.59</v>
      </c>
      <c r="R116" t="str">
        <f t="shared" si="9"/>
        <v>Cliente 42</v>
      </c>
      <c r="S116" s="74">
        <f t="shared" si="10"/>
        <v>2917.47</v>
      </c>
    </row>
    <row r="117" spans="2:19" x14ac:dyDescent="0.3">
      <c r="B117" s="11" t="s">
        <v>192</v>
      </c>
      <c r="C117" s="136">
        <v>2764.02</v>
      </c>
      <c r="G117" s="57" t="s">
        <v>266</v>
      </c>
      <c r="H117" s="54">
        <v>8974.51</v>
      </c>
      <c r="I117" s="59"/>
      <c r="J117" s="59">
        <v>245.79</v>
      </c>
      <c r="K117" s="59"/>
      <c r="L117" s="59"/>
      <c r="M117" s="59"/>
      <c r="N117" s="55">
        <v>9220.2999999999993</v>
      </c>
      <c r="R117" t="str">
        <f t="shared" si="9"/>
        <v>Cliente 31</v>
      </c>
      <c r="S117" s="74">
        <f t="shared" si="10"/>
        <v>2764.02</v>
      </c>
    </row>
    <row r="118" spans="2:19" x14ac:dyDescent="0.3">
      <c r="B118" s="11" t="s">
        <v>179</v>
      </c>
      <c r="C118" s="136">
        <v>1868.67</v>
      </c>
      <c r="G118" s="57" t="s">
        <v>180</v>
      </c>
      <c r="H118" s="54">
        <v>8639.1</v>
      </c>
      <c r="I118" s="59">
        <v>1131.96</v>
      </c>
      <c r="J118" s="59"/>
      <c r="K118" s="59"/>
      <c r="L118" s="59"/>
      <c r="M118" s="59"/>
      <c r="N118" s="55">
        <v>9771.06</v>
      </c>
      <c r="R118" t="str">
        <f t="shared" si="9"/>
        <v>Cliente 18</v>
      </c>
      <c r="S118" s="74">
        <f t="shared" si="10"/>
        <v>1868.67</v>
      </c>
    </row>
    <row r="119" spans="2:19" x14ac:dyDescent="0.3">
      <c r="B119" s="11" t="s">
        <v>174</v>
      </c>
      <c r="C119" s="136">
        <v>1713.03</v>
      </c>
      <c r="G119" s="57" t="s">
        <v>199</v>
      </c>
      <c r="H119" s="54"/>
      <c r="I119" s="59">
        <v>9924.24</v>
      </c>
      <c r="J119" s="59"/>
      <c r="K119" s="59"/>
      <c r="L119" s="59"/>
      <c r="M119" s="59"/>
      <c r="N119" s="55">
        <v>9924.24</v>
      </c>
      <c r="R119" t="str">
        <f t="shared" si="9"/>
        <v>Cliente 13</v>
      </c>
      <c r="S119" s="74">
        <f t="shared" si="10"/>
        <v>1713.03</v>
      </c>
    </row>
    <row r="120" spans="2:19" x14ac:dyDescent="0.3">
      <c r="B120" s="11" t="s">
        <v>285</v>
      </c>
      <c r="C120" s="136">
        <v>1574.21</v>
      </c>
      <c r="G120" s="57" t="s">
        <v>268</v>
      </c>
      <c r="H120" s="54"/>
      <c r="I120" s="59">
        <v>10951.14</v>
      </c>
      <c r="J120" s="59"/>
      <c r="K120" s="59"/>
      <c r="L120" s="59"/>
      <c r="M120" s="59"/>
      <c r="N120" s="55">
        <v>10951.14</v>
      </c>
      <c r="R120" t="str">
        <f t="shared" si="9"/>
        <v>Cliente 55</v>
      </c>
      <c r="S120" s="74">
        <f t="shared" si="10"/>
        <v>1574.21</v>
      </c>
    </row>
    <row r="121" spans="2:19" x14ac:dyDescent="0.3">
      <c r="B121" s="11" t="s">
        <v>265</v>
      </c>
      <c r="C121" s="136">
        <v>1260.44</v>
      </c>
      <c r="G121" s="57" t="s">
        <v>269</v>
      </c>
      <c r="H121" s="54"/>
      <c r="I121" s="59">
        <v>15330.03</v>
      </c>
      <c r="J121" s="59"/>
      <c r="K121" s="59"/>
      <c r="L121" s="59"/>
      <c r="M121" s="59"/>
      <c r="N121" s="55">
        <v>15330.03</v>
      </c>
      <c r="R121" t="str">
        <f t="shared" si="9"/>
        <v>Cliente 58</v>
      </c>
      <c r="S121" s="74">
        <f t="shared" si="10"/>
        <v>1260.44</v>
      </c>
    </row>
    <row r="122" spans="2:19" x14ac:dyDescent="0.3">
      <c r="B122" s="11" t="s">
        <v>267</v>
      </c>
      <c r="C122" s="136">
        <v>975.71</v>
      </c>
      <c r="G122" s="57" t="s">
        <v>197</v>
      </c>
      <c r="H122" s="54"/>
      <c r="I122" s="59">
        <v>14991.32</v>
      </c>
      <c r="J122" s="59">
        <v>400.16</v>
      </c>
      <c r="K122" s="59"/>
      <c r="L122" s="59"/>
      <c r="M122" s="59"/>
      <c r="N122" s="55">
        <v>15391.48</v>
      </c>
      <c r="R122" t="str">
        <f t="shared" si="9"/>
        <v>Cliente 60</v>
      </c>
      <c r="S122" s="74">
        <f t="shared" si="10"/>
        <v>975.71</v>
      </c>
    </row>
    <row r="123" spans="2:19" x14ac:dyDescent="0.3">
      <c r="B123" s="11" t="s">
        <v>184</v>
      </c>
      <c r="C123" s="136">
        <v>705.82</v>
      </c>
      <c r="G123" s="57" t="s">
        <v>270</v>
      </c>
      <c r="H123" s="54"/>
      <c r="I123" s="59">
        <v>15176.14</v>
      </c>
      <c r="J123" s="59">
        <v>277.60000000000002</v>
      </c>
      <c r="K123" s="59"/>
      <c r="L123" s="59"/>
      <c r="M123" s="59"/>
      <c r="N123" s="55">
        <v>15453.74</v>
      </c>
      <c r="R123" t="str">
        <f t="shared" si="9"/>
        <v>Cliente 23</v>
      </c>
      <c r="S123" s="74">
        <f t="shared" si="10"/>
        <v>705.82</v>
      </c>
    </row>
    <row r="124" spans="2:19" x14ac:dyDescent="0.3">
      <c r="B124" s="11" t="s">
        <v>260</v>
      </c>
      <c r="C124" s="136">
        <v>565.9</v>
      </c>
      <c r="G124" s="57" t="s">
        <v>183</v>
      </c>
      <c r="H124" s="54"/>
      <c r="I124" s="59">
        <v>14092.12</v>
      </c>
      <c r="J124" s="59"/>
      <c r="K124" s="59"/>
      <c r="L124" s="59">
        <v>1405.27</v>
      </c>
      <c r="M124" s="59"/>
      <c r="N124" s="55">
        <v>15497.39</v>
      </c>
      <c r="R124" t="str">
        <f t="shared" si="9"/>
        <v>Cliente 57</v>
      </c>
      <c r="S124" s="74">
        <f t="shared" si="10"/>
        <v>565.9</v>
      </c>
    </row>
    <row r="125" spans="2:19" x14ac:dyDescent="0.3">
      <c r="B125" s="11" t="s">
        <v>193</v>
      </c>
      <c r="C125" s="136">
        <v>206.18</v>
      </c>
      <c r="G125" s="57" t="s">
        <v>188</v>
      </c>
      <c r="H125" s="54"/>
      <c r="I125" s="59">
        <v>16187.59</v>
      </c>
      <c r="J125" s="59">
        <v>203.41</v>
      </c>
      <c r="K125" s="59"/>
      <c r="L125" s="59"/>
      <c r="M125" s="59"/>
      <c r="N125" s="55">
        <v>16391</v>
      </c>
      <c r="R125" t="str">
        <f t="shared" si="9"/>
        <v>Cliente 32</v>
      </c>
      <c r="S125" s="74">
        <f t="shared" si="10"/>
        <v>206.18</v>
      </c>
    </row>
    <row r="126" spans="2:19" x14ac:dyDescent="0.3">
      <c r="B126" s="11" t="s">
        <v>281</v>
      </c>
      <c r="C126" s="136">
        <v>195.66</v>
      </c>
      <c r="G126" s="57" t="s">
        <v>196</v>
      </c>
      <c r="H126" s="54"/>
      <c r="I126" s="59">
        <v>16014.59</v>
      </c>
      <c r="J126" s="59"/>
      <c r="K126" s="59"/>
      <c r="L126" s="59">
        <v>471.4</v>
      </c>
      <c r="M126" s="59"/>
      <c r="N126" s="55">
        <v>16485.990000000002</v>
      </c>
      <c r="R126" t="str">
        <f t="shared" si="9"/>
        <v>Cliente 47</v>
      </c>
      <c r="S126" s="74">
        <f t="shared" si="10"/>
        <v>195.66</v>
      </c>
    </row>
    <row r="127" spans="2:19" x14ac:dyDescent="0.3">
      <c r="B127" s="11" t="s">
        <v>166</v>
      </c>
      <c r="C127" s="136">
        <v>161.27000000000001</v>
      </c>
      <c r="G127" s="57" t="s">
        <v>163</v>
      </c>
      <c r="H127" s="54"/>
      <c r="I127" s="59">
        <v>17045.830000000002</v>
      </c>
      <c r="J127" s="59"/>
      <c r="K127" s="59"/>
      <c r="L127" s="59"/>
      <c r="M127" s="59"/>
      <c r="N127" s="55">
        <v>17045.830000000002</v>
      </c>
      <c r="R127" t="str">
        <f t="shared" si="9"/>
        <v>Cliente 5</v>
      </c>
      <c r="S127" s="74">
        <f t="shared" si="10"/>
        <v>161.27000000000001</v>
      </c>
    </row>
    <row r="128" spans="2:19" x14ac:dyDescent="0.3">
      <c r="B128" s="11" t="s">
        <v>261</v>
      </c>
      <c r="C128" s="136">
        <v>156.47</v>
      </c>
      <c r="G128" s="57" t="s">
        <v>172</v>
      </c>
      <c r="H128" s="54"/>
      <c r="I128" s="59">
        <v>16930.22</v>
      </c>
      <c r="J128" s="59"/>
      <c r="K128" s="59"/>
      <c r="L128" s="59">
        <v>438.15</v>
      </c>
      <c r="M128" s="59"/>
      <c r="N128" s="55">
        <v>17368.37</v>
      </c>
      <c r="R128" t="str">
        <f t="shared" si="9"/>
        <v>Cliente 44</v>
      </c>
      <c r="S128" s="74">
        <f t="shared" si="10"/>
        <v>156.47</v>
      </c>
    </row>
    <row r="129" spans="2:19" x14ac:dyDescent="0.3">
      <c r="B129" s="11" t="s">
        <v>165</v>
      </c>
      <c r="C129" s="136">
        <v>128.88999999999999</v>
      </c>
      <c r="G129" s="57" t="s">
        <v>178</v>
      </c>
      <c r="H129" s="54">
        <v>248.46</v>
      </c>
      <c r="I129" s="59">
        <v>17386.830000000002</v>
      </c>
      <c r="J129" s="59"/>
      <c r="K129" s="59"/>
      <c r="L129" s="59"/>
      <c r="M129" s="59"/>
      <c r="N129" s="55">
        <v>17635.29</v>
      </c>
      <c r="R129" t="str">
        <f t="shared" si="9"/>
        <v>Cliente 4</v>
      </c>
      <c r="S129" s="74">
        <f t="shared" si="10"/>
        <v>128.88999999999999</v>
      </c>
    </row>
    <row r="130" spans="2:19" x14ac:dyDescent="0.3">
      <c r="B130" s="11" t="s">
        <v>271</v>
      </c>
      <c r="C130" s="136">
        <v>36.14</v>
      </c>
      <c r="G130" s="57" t="s">
        <v>195</v>
      </c>
      <c r="H130" s="54"/>
      <c r="I130" s="59">
        <v>16897.2</v>
      </c>
      <c r="J130" s="59"/>
      <c r="K130" s="59"/>
      <c r="L130" s="59">
        <v>1870.43</v>
      </c>
      <c r="M130" s="59"/>
      <c r="N130" s="55">
        <v>18767.63</v>
      </c>
      <c r="R130" t="str">
        <f t="shared" si="9"/>
        <v>Cliente 46</v>
      </c>
      <c r="S130" s="74">
        <f t="shared" si="10"/>
        <v>36.14</v>
      </c>
    </row>
    <row r="131" spans="2:19" x14ac:dyDescent="0.3">
      <c r="B131" s="11" t="s">
        <v>44</v>
      </c>
      <c r="C131" s="72">
        <v>299652.32</v>
      </c>
      <c r="G131" s="56" t="s">
        <v>262</v>
      </c>
      <c r="H131" s="54">
        <v>9880.43</v>
      </c>
      <c r="I131" s="59">
        <v>31349.18</v>
      </c>
      <c r="J131" s="59"/>
      <c r="K131" s="59"/>
      <c r="L131" s="59"/>
      <c r="M131" s="59"/>
      <c r="N131" s="55">
        <v>41229.61</v>
      </c>
      <c r="R131" t="str">
        <f t="shared" si="9"/>
        <v/>
      </c>
      <c r="S131" s="74" t="str">
        <f t="shared" si="10"/>
        <v/>
      </c>
    </row>
    <row r="132" spans="2:19" x14ac:dyDescent="0.3">
      <c r="G132" s="53" t="s">
        <v>44</v>
      </c>
      <c r="H132" s="52">
        <v>53819.99</v>
      </c>
      <c r="I132" s="60">
        <v>229959.36</v>
      </c>
      <c r="J132" s="60">
        <v>2414.9899999999998</v>
      </c>
      <c r="K132" s="60">
        <v>828</v>
      </c>
      <c r="L132" s="60">
        <v>11729.98</v>
      </c>
      <c r="M132" s="60">
        <v>900</v>
      </c>
      <c r="N132" s="50">
        <v>299652.32</v>
      </c>
      <c r="R132" t="str">
        <f t="shared" si="9"/>
        <v/>
      </c>
      <c r="S132" s="74" t="str">
        <f t="shared" si="10"/>
        <v/>
      </c>
    </row>
    <row r="133" spans="2:19" x14ac:dyDescent="0.3">
      <c r="R133" t="str">
        <f t="shared" si="9"/>
        <v/>
      </c>
      <c r="S133" s="74" t="str">
        <f t="shared" si="10"/>
        <v/>
      </c>
    </row>
    <row r="134" spans="2:19" x14ac:dyDescent="0.3">
      <c r="R134" t="str">
        <f t="shared" si="9"/>
        <v/>
      </c>
      <c r="S134" s="74" t="str">
        <f t="shared" si="10"/>
        <v/>
      </c>
    </row>
    <row r="135" spans="2:19" x14ac:dyDescent="0.3">
      <c r="R135" t="str">
        <f t="shared" si="9"/>
        <v/>
      </c>
      <c r="S135" s="74" t="str">
        <f t="shared" si="10"/>
        <v/>
      </c>
    </row>
    <row r="136" spans="2:19" x14ac:dyDescent="0.3">
      <c r="R136" t="str">
        <f t="shared" si="9"/>
        <v/>
      </c>
      <c r="S136" s="74" t="str">
        <f t="shared" si="10"/>
        <v/>
      </c>
    </row>
    <row r="137" spans="2:19" x14ac:dyDescent="0.3">
      <c r="R137" t="str">
        <f t="shared" si="9"/>
        <v/>
      </c>
      <c r="S137" s="74" t="str">
        <f t="shared" si="10"/>
        <v/>
      </c>
    </row>
    <row r="138" spans="2:19" x14ac:dyDescent="0.3">
      <c r="R138" t="str">
        <f t="shared" si="9"/>
        <v/>
      </c>
      <c r="S138" s="74" t="str">
        <f t="shared" si="10"/>
        <v/>
      </c>
    </row>
    <row r="139" spans="2:19" x14ac:dyDescent="0.3">
      <c r="R139" t="str">
        <f t="shared" si="9"/>
        <v/>
      </c>
      <c r="S139" s="74" t="str">
        <f t="shared" si="10"/>
        <v/>
      </c>
    </row>
    <row r="140" spans="2:19" x14ac:dyDescent="0.3">
      <c r="R140" t="str">
        <f t="shared" si="9"/>
        <v/>
      </c>
      <c r="S140" s="74" t="str">
        <f t="shared" si="10"/>
        <v/>
      </c>
    </row>
    <row r="141" spans="2:19" x14ac:dyDescent="0.3">
      <c r="R141" t="str">
        <f t="shared" si="9"/>
        <v/>
      </c>
      <c r="S141" s="74" t="str">
        <f t="shared" si="10"/>
        <v/>
      </c>
    </row>
    <row r="142" spans="2:19" x14ac:dyDescent="0.3">
      <c r="R142" t="str">
        <f t="shared" si="9"/>
        <v/>
      </c>
      <c r="S142" s="74" t="str">
        <f t="shared" si="10"/>
        <v/>
      </c>
    </row>
    <row r="143" spans="2:19" x14ac:dyDescent="0.3">
      <c r="R143" t="str">
        <f t="shared" si="9"/>
        <v/>
      </c>
      <c r="S143" s="74" t="str">
        <f t="shared" si="10"/>
        <v/>
      </c>
    </row>
    <row r="144" spans="2:19" x14ac:dyDescent="0.3">
      <c r="R144" t="str">
        <f t="shared" si="9"/>
        <v/>
      </c>
      <c r="S144" s="74" t="str">
        <f t="shared" si="10"/>
        <v/>
      </c>
    </row>
    <row r="145" spans="18:19" x14ac:dyDescent="0.3">
      <c r="R145" t="str">
        <f t="shared" si="9"/>
        <v/>
      </c>
      <c r="S145" s="74" t="str">
        <f t="shared" si="10"/>
        <v/>
      </c>
    </row>
    <row r="146" spans="18:19" x14ac:dyDescent="0.3">
      <c r="S146" s="74" t="str">
        <f t="shared" si="10"/>
        <v/>
      </c>
    </row>
    <row r="147" spans="18:19" x14ac:dyDescent="0.3">
      <c r="S147" s="74" t="str">
        <f t="shared" si="10"/>
        <v/>
      </c>
    </row>
    <row r="148" spans="18:19" x14ac:dyDescent="0.3">
      <c r="S148" s="74" t="str">
        <f t="shared" si="10"/>
        <v/>
      </c>
    </row>
    <row r="149" spans="18:19" x14ac:dyDescent="0.3">
      <c r="S149" s="74" t="str">
        <f t="shared" si="10"/>
        <v/>
      </c>
    </row>
    <row r="150" spans="18:19" x14ac:dyDescent="0.3">
      <c r="S150" s="74" t="str">
        <f t="shared" si="10"/>
        <v/>
      </c>
    </row>
    <row r="151" spans="18:19" x14ac:dyDescent="0.3">
      <c r="S151" s="74" t="str">
        <f t="shared" si="10"/>
        <v/>
      </c>
    </row>
    <row r="152" spans="18:19" x14ac:dyDescent="0.3">
      <c r="S152" s="74" t="str">
        <f t="shared" si="10"/>
        <v/>
      </c>
    </row>
    <row r="153" spans="18:19" x14ac:dyDescent="0.3">
      <c r="S153" s="74" t="str">
        <f t="shared" si="10"/>
        <v/>
      </c>
    </row>
    <row r="154" spans="18:19" x14ac:dyDescent="0.3">
      <c r="S154" s="74" t="str">
        <f t="shared" si="10"/>
        <v/>
      </c>
    </row>
    <row r="155" spans="18:19" x14ac:dyDescent="0.3">
      <c r="S155" s="74" t="str">
        <f t="shared" si="10"/>
        <v/>
      </c>
    </row>
    <row r="156" spans="18:19" x14ac:dyDescent="0.3">
      <c r="S156" s="74" t="str">
        <f t="shared" si="10"/>
        <v/>
      </c>
    </row>
    <row r="157" spans="18:19" x14ac:dyDescent="0.3">
      <c r="S157" s="74" t="str">
        <f t="shared" si="10"/>
        <v/>
      </c>
    </row>
    <row r="158" spans="18:19" x14ac:dyDescent="0.3">
      <c r="S158" s="74" t="str">
        <f t="shared" si="10"/>
        <v/>
      </c>
    </row>
    <row r="159" spans="18:19" x14ac:dyDescent="0.3">
      <c r="S159" s="74" t="str">
        <f t="shared" si="10"/>
        <v/>
      </c>
    </row>
    <row r="160" spans="18:19" x14ac:dyDescent="0.3">
      <c r="S160" s="74" t="str">
        <f t="shared" ref="S160:S164" si="13">IFERROR(IF($R160="","",$C160),"")</f>
        <v/>
      </c>
    </row>
    <row r="161" spans="19:19" x14ac:dyDescent="0.3">
      <c r="S161" s="74" t="str">
        <f t="shared" si="13"/>
        <v/>
      </c>
    </row>
    <row r="162" spans="19:19" x14ac:dyDescent="0.3">
      <c r="S162" s="74" t="str">
        <f t="shared" si="13"/>
        <v/>
      </c>
    </row>
    <row r="163" spans="19:19" x14ac:dyDescent="0.3">
      <c r="S163" s="74" t="str">
        <f t="shared" si="13"/>
        <v/>
      </c>
    </row>
    <row r="164" spans="19:19" x14ac:dyDescent="0.3">
      <c r="S164" s="74" t="str">
        <f t="shared" si="13"/>
        <v/>
      </c>
    </row>
    <row r="165" spans="19:19" x14ac:dyDescent="0.3">
      <c r="S165" t="str">
        <f t="shared" ref="S165:S171" si="14">IFERROR(IF($R165="","",$C165),"")</f>
        <v/>
      </c>
    </row>
    <row r="166" spans="19:19" x14ac:dyDescent="0.3">
      <c r="S166" t="str">
        <f t="shared" si="14"/>
        <v/>
      </c>
    </row>
    <row r="167" spans="19:19" x14ac:dyDescent="0.3">
      <c r="S167" t="str">
        <f t="shared" si="14"/>
        <v/>
      </c>
    </row>
    <row r="168" spans="19:19" x14ac:dyDescent="0.3">
      <c r="S168" t="str">
        <f t="shared" si="14"/>
        <v/>
      </c>
    </row>
    <row r="169" spans="19:19" x14ac:dyDescent="0.3">
      <c r="S169" t="str">
        <f t="shared" si="14"/>
        <v/>
      </c>
    </row>
    <row r="170" spans="19:19" x14ac:dyDescent="0.3">
      <c r="S170" t="str">
        <f t="shared" si="14"/>
        <v/>
      </c>
    </row>
    <row r="171" spans="19:19" x14ac:dyDescent="0.3">
      <c r="S171" t="str">
        <f t="shared" si="14"/>
        <v/>
      </c>
    </row>
  </sheetData>
  <dataConsolidate/>
  <mergeCells count="6">
    <mergeCell ref="A69:H69"/>
    <mergeCell ref="A1:N1"/>
    <mergeCell ref="A13:N13"/>
    <mergeCell ref="A31:H31"/>
    <mergeCell ref="A43:H43"/>
    <mergeCell ref="A53:G53"/>
  </mergeCells>
  <phoneticPr fontId="10" type="noConversion"/>
  <conditionalFormatting sqref="B76">
    <cfRule type="containsText" dxfId="66" priority="15" operator="containsText" text="Revisar Mora">
      <formula>NOT(ISERROR(SEARCH("Revisar Mora",B76)))</formula>
    </cfRule>
    <cfRule type="containsText" dxfId="65" priority="16" operator="containsText" text="Gestion Sana">
      <formula>NOT(ISERROR(SEARCH("Gestion Sana",B76)))</formula>
    </cfRule>
  </conditionalFormatting>
  <conditionalFormatting sqref="B87">
    <cfRule type="cellIs" dxfId="64" priority="13" operator="lessThan">
      <formula>30</formula>
    </cfRule>
    <cfRule type="cellIs" dxfId="63" priority="14" operator="greaterThan">
      <formula>30</formula>
    </cfRule>
  </conditionalFormatting>
  <conditionalFormatting pivot="1">
    <cfRule type="cellIs" dxfId="62" priority="12" operator="greaterThan">
      <formula>0</formula>
    </cfRule>
  </conditionalFormatting>
  <conditionalFormatting pivot="1">
    <cfRule type="cellIs" dxfId="61" priority="11" operator="greaterThan">
      <formula>0</formula>
    </cfRule>
  </conditionalFormatting>
  <conditionalFormatting pivot="1">
    <cfRule type="cellIs" dxfId="60" priority="10" operator="greaterThan">
      <formula>0</formula>
    </cfRule>
  </conditionalFormatting>
  <conditionalFormatting pivot="1" sqref="H96:H132">
    <cfRule type="cellIs" dxfId="59" priority="9" operator="greaterThan">
      <formula>0</formula>
    </cfRule>
  </conditionalFormatting>
  <conditionalFormatting pivot="1" sqref="I96:I132">
    <cfRule type="cellIs" dxfId="58" priority="8" operator="greaterThan">
      <formula>0</formula>
    </cfRule>
  </conditionalFormatting>
  <conditionalFormatting pivot="1">
    <cfRule type="cellIs" dxfId="57" priority="6" operator="greaterThan">
      <formula>0</formula>
    </cfRule>
  </conditionalFormatting>
  <conditionalFormatting pivot="1">
    <cfRule type="cellIs" dxfId="56" priority="4" operator="greaterThan">
      <formula>0</formula>
    </cfRule>
  </conditionalFormatting>
  <pageMargins left="0.7" right="0.7" top="0.75" bottom="0.75" header="0.3" footer="0.3"/>
  <pageSetup orientation="portrait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DADF-8E45-43DD-B8C0-70AA25BE4DDC}">
  <dimension ref="A1:T64"/>
  <sheetViews>
    <sheetView topLeftCell="B1" workbookViewId="0">
      <pane ySplit="2" topLeftCell="A27" activePane="bottomLeft" state="frozen"/>
      <selection activeCell="G1" sqref="G1"/>
      <selection pane="bottomLeft" activeCell="L2" sqref="L2"/>
    </sheetView>
  </sheetViews>
  <sheetFormatPr baseColWidth="10" defaultColWidth="11.44140625" defaultRowHeight="14.4" x14ac:dyDescent="0.3"/>
  <cols>
    <col min="1" max="1" width="18.21875" bestFit="1" customWidth="1"/>
    <col min="2" max="2" width="12.21875" customWidth="1"/>
    <col min="3" max="3" width="21.33203125" customWidth="1"/>
    <col min="4" max="4" width="20.88671875" style="7" customWidth="1"/>
    <col min="5" max="5" width="14.88671875" customWidth="1"/>
    <col min="6" max="6" width="22.33203125" bestFit="1" customWidth="1"/>
    <col min="7" max="7" width="13.6640625" style="14" bestFit="1" customWidth="1"/>
    <col min="8" max="8" width="19.21875" style="14" bestFit="1" customWidth="1"/>
    <col min="9" max="9" width="21.5546875" style="14" bestFit="1" customWidth="1"/>
    <col min="10" max="10" width="17.44140625" style="14" customWidth="1"/>
    <col min="11" max="11" width="14.88671875" style="7" customWidth="1"/>
    <col min="12" max="12" width="17.44140625" bestFit="1" customWidth="1"/>
    <col min="15" max="15" width="23.44140625" bestFit="1" customWidth="1"/>
    <col min="16" max="16" width="11.6640625" bestFit="1" customWidth="1"/>
    <col min="17" max="17" width="12.6640625" bestFit="1" customWidth="1"/>
    <col min="18" max="18" width="14.44140625" bestFit="1" customWidth="1"/>
    <col min="19" max="19" width="14.44140625" customWidth="1"/>
  </cols>
  <sheetData>
    <row r="1" spans="1:20" x14ac:dyDescent="0.3">
      <c r="A1" s="43">
        <f ca="1">+TODAY()</f>
        <v>46206</v>
      </c>
    </row>
    <row r="2" spans="1:20" ht="15.6" customHeight="1" x14ac:dyDescent="0.3">
      <c r="A2" s="2" t="s">
        <v>118</v>
      </c>
      <c r="B2" s="2" t="s">
        <v>15</v>
      </c>
      <c r="C2" s="2" t="s">
        <v>16</v>
      </c>
      <c r="D2" s="64" t="s">
        <v>17</v>
      </c>
      <c r="E2" s="2" t="s">
        <v>18</v>
      </c>
      <c r="F2" s="2" t="s">
        <v>122</v>
      </c>
      <c r="G2" s="3" t="s">
        <v>19</v>
      </c>
      <c r="H2" s="3" t="s">
        <v>20</v>
      </c>
      <c r="I2" s="3" t="s">
        <v>21</v>
      </c>
      <c r="J2" s="3" t="s">
        <v>22</v>
      </c>
      <c r="K2" s="64" t="s">
        <v>23</v>
      </c>
      <c r="L2" s="6" t="s">
        <v>24</v>
      </c>
      <c r="M2" s="6" t="s">
        <v>25</v>
      </c>
      <c r="N2" s="6" t="s">
        <v>26</v>
      </c>
      <c r="O2" s="2" t="s">
        <v>27</v>
      </c>
      <c r="P2" s="2" t="s">
        <v>28</v>
      </c>
      <c r="Q2" s="2" t="s">
        <v>29</v>
      </c>
      <c r="R2" s="2" t="s">
        <v>9</v>
      </c>
      <c r="S2" s="2" t="s">
        <v>1</v>
      </c>
      <c r="T2" s="2" t="s">
        <v>86</v>
      </c>
    </row>
    <row r="3" spans="1:20" x14ac:dyDescent="0.3">
      <c r="A3" t="s">
        <v>104</v>
      </c>
      <c r="B3" s="7">
        <v>46239</v>
      </c>
      <c r="C3" t="s">
        <v>163</v>
      </c>
      <c r="D3" t="s">
        <v>202</v>
      </c>
      <c r="E3" t="s">
        <v>208</v>
      </c>
      <c r="F3" t="s">
        <v>82</v>
      </c>
      <c r="G3" s="14">
        <v>4611.79</v>
      </c>
      <c r="H3" s="14">
        <v>1</v>
      </c>
      <c r="I3" s="14">
        <v>4611.79</v>
      </c>
      <c r="J3" s="14">
        <v>4611.79</v>
      </c>
      <c r="K3" s="7">
        <v>46259</v>
      </c>
      <c r="L3" s="5">
        <f ca="1">IF(COMPOSICIONSALDOneo[[#This Row],[IMP. PRINCIPAL]] &gt; 0, MAX(0, $A$1-COMPOSICIONSALDOneo[[#This Row],[FECHA VTO.]]), 0)</f>
        <v>0</v>
      </c>
      <c r="M3" s="6" t="str">
        <f>UPPER(TEXT(COMPOSICIONSALDOneo[[#This Row],[FECHA VTO.]],"MMM"))</f>
        <v>AGO</v>
      </c>
      <c r="N3" s="62" t="str">
        <f>TEXT(MONTH(COMPOSICIONSALDOneo[[#This Row],[FECHA VTO.]]),"00")</f>
        <v>08</v>
      </c>
      <c r="O3" s="2" t="str">
        <f>+CONCATENATE(COMPOSICIONSALDOneo[[#This Row],[FECH]],"-",COMPOSICIONSALDOneo[[#This Row],[MES2]])</f>
        <v>AGO-08</v>
      </c>
      <c r="P3" s="61" t="str">
        <f ca="1">IF(L3=0,"NO VENCIDO",IF(L3&lt;30,"VENCIDO&lt;30",IF(L3&lt;60,"VENCIDO 30",IF(L3&lt;90,"VENCIDO 60",IF(L3&lt;150,"VENCIDO 90","VENCIDO&gt;150")))))</f>
        <v>NO VENCIDO</v>
      </c>
      <c r="Q3" s="61" t="str">
        <f ca="1">IF(COMPOSICIONSALDOneo[[#This Row],[DIAS DE MORA]]&lt;1,"NO VENCIDO",IF(COMPOSICIONSALDOneo[[#This Row],[DIAS DE MORA]]&gt;=1,"VENCIDO","INCOBRABLE"))</f>
        <v>NO VENCIDO</v>
      </c>
      <c r="R3" s="61" t="str">
        <f>+VLOOKUP(COMPOSICIONSALDOneo[[#This Row],[Documento tipo]],Tabla7[#All],2,0)</f>
        <v>COBRANZAS</v>
      </c>
      <c r="S3" s="1" t="str">
        <f>+VLOOKUP(COMPOSICIONSALDOneo[[#This Row],[CLIENTE]],Tabla5[],3,FALSE)</f>
        <v>Santiago del Estero</v>
      </c>
      <c r="T3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" spans="1:20" x14ac:dyDescent="0.3">
      <c r="A4" t="s">
        <v>102</v>
      </c>
      <c r="B4" s="7">
        <v>46011</v>
      </c>
      <c r="C4" t="s">
        <v>184</v>
      </c>
      <c r="D4" t="s">
        <v>204</v>
      </c>
      <c r="E4" t="s">
        <v>216</v>
      </c>
      <c r="F4" t="s">
        <v>30</v>
      </c>
      <c r="G4" s="14">
        <v>192.17</v>
      </c>
      <c r="H4" s="14">
        <v>1</v>
      </c>
      <c r="I4" s="14">
        <v>192.17</v>
      </c>
      <c r="J4" s="14">
        <v>192.17</v>
      </c>
      <c r="K4" s="7">
        <v>46044</v>
      </c>
      <c r="L4" s="5">
        <f ca="1">IF(COMPOSICIONSALDOneo[[#This Row],[IMP. PRINCIPAL]] &gt; 0, MAX(0, $A$1-COMPOSICIONSALDOneo[[#This Row],[FECHA VTO.]]), 0)</f>
        <v>162</v>
      </c>
      <c r="M4" s="6" t="str">
        <f>UPPER(TEXT(COMPOSICIONSALDOneo[[#This Row],[FECHA VTO.]],"MMM"))</f>
        <v>ENE</v>
      </c>
      <c r="N4" s="62" t="str">
        <f>TEXT(MONTH(COMPOSICIONSALDOneo[[#This Row],[FECHA VTO.]]),"00")</f>
        <v>01</v>
      </c>
      <c r="O4" s="2" t="str">
        <f>+CONCATENATE(COMPOSICIONSALDOneo[[#This Row],[FECH]],"-",COMPOSICIONSALDOneo[[#This Row],[MES2]])</f>
        <v>ENE-01</v>
      </c>
      <c r="P4" s="61" t="str">
        <f t="shared" ref="P4:P5" ca="1" si="0">IF(L4=0,"NO VENCIDO",IF(L4&lt;30,"VENCIDO&lt;30",IF(L4&lt;60,"VENCIDO 30",IF(L4&lt;90,"VENCIDO 60",IF(L4&lt;150,"VENCIDO 90","VENCIDO&gt;150")))))</f>
        <v>VENCIDO&gt;150</v>
      </c>
      <c r="Q4" s="61" t="str">
        <f ca="1">IF(COMPOSICIONSALDOneo[[#This Row],[DIAS DE MORA]]&lt;1,"NO VENCIDO",IF(COMPOSICIONSALDOneo[[#This Row],[DIAS DE MORA]]&gt;=1,"VENCIDO","INCOBRABLE"))</f>
        <v>VENCIDO</v>
      </c>
      <c r="R4" s="61" t="str">
        <f>+VLOOKUP(COMPOSICIONSALDOneo[[#This Row],[Documento tipo]],Tabla7[#All],2,0)</f>
        <v>REPUESTOS</v>
      </c>
      <c r="S4" s="1" t="str">
        <f>+VLOOKUP(COMPOSICIONSALDOneo[[#This Row],[CLIENTE]],Tabla5[],3,FALSE)</f>
        <v>Tucuman</v>
      </c>
      <c r="T4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" spans="1:20" x14ac:dyDescent="0.3">
      <c r="A5" t="s">
        <v>112</v>
      </c>
      <c r="B5" s="7">
        <v>46197</v>
      </c>
      <c r="C5" t="s">
        <v>176</v>
      </c>
      <c r="D5" t="s">
        <v>206</v>
      </c>
      <c r="E5" t="s">
        <v>208</v>
      </c>
      <c r="F5" t="s">
        <v>31</v>
      </c>
      <c r="G5" s="14">
        <v>8681.59</v>
      </c>
      <c r="H5" s="14">
        <v>1095.0999999999999</v>
      </c>
      <c r="I5" s="14">
        <v>8681.59</v>
      </c>
      <c r="J5" s="14">
        <v>8681.59</v>
      </c>
      <c r="K5" s="7">
        <v>46234</v>
      </c>
      <c r="L5" s="5">
        <f ca="1">IF(COMPOSICIONSALDOneo[[#This Row],[IMP. PRINCIPAL]] &gt; 0, MAX(0, $A$1-COMPOSICIONSALDOneo[[#This Row],[FECHA VTO.]]), 0)</f>
        <v>0</v>
      </c>
      <c r="M5" s="6" t="str">
        <f>UPPER(TEXT(COMPOSICIONSALDOneo[[#This Row],[FECHA VTO.]],"MMM"))</f>
        <v>JUL</v>
      </c>
      <c r="N5" s="62" t="str">
        <f>TEXT(MONTH(COMPOSICIONSALDOneo[[#This Row],[FECHA VTO.]]),"00")</f>
        <v>07</v>
      </c>
      <c r="O5" s="2" t="str">
        <f>+CONCATENATE(COMPOSICIONSALDOneo[[#This Row],[FECH]],"-",COMPOSICIONSALDOneo[[#This Row],[MES2]])</f>
        <v>JUL-07</v>
      </c>
      <c r="P5" s="61" t="str">
        <f t="shared" ca="1" si="0"/>
        <v>NO VENCIDO</v>
      </c>
      <c r="Q5" s="61" t="str">
        <f ca="1">IF(COMPOSICIONSALDOneo[[#This Row],[DIAS DE MORA]]&lt;1,"NO VENCIDO",IF(COMPOSICIONSALDOneo[[#This Row],[DIAS DE MORA]]&gt;=1,"VENCIDO","INCOBRABLE"))</f>
        <v>NO VENCIDO</v>
      </c>
      <c r="R5" s="61" t="str">
        <f>+VLOOKUP(COMPOSICIONSALDOneo[[#This Row],[Documento tipo]],Tabla7[#All],2,0)</f>
        <v>COBRANZAS</v>
      </c>
      <c r="S5" s="1" t="str">
        <f>+VLOOKUP(COMPOSICIONSALDOneo[[#This Row],[CLIENTE]],Tabla5[],3,FALSE)</f>
        <v>Tucuman</v>
      </c>
      <c r="T5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6" spans="1:20" x14ac:dyDescent="0.3">
      <c r="A6" t="s">
        <v>104</v>
      </c>
      <c r="B6" s="7">
        <v>46118</v>
      </c>
      <c r="C6" t="s">
        <v>260</v>
      </c>
      <c r="D6" t="s">
        <v>207</v>
      </c>
      <c r="E6" t="s">
        <v>205</v>
      </c>
      <c r="F6" t="s">
        <v>30</v>
      </c>
      <c r="G6" s="14">
        <v>415.31</v>
      </c>
      <c r="H6" s="14">
        <v>1</v>
      </c>
      <c r="I6" s="14">
        <v>415.31</v>
      </c>
      <c r="J6" s="14">
        <v>415.31</v>
      </c>
      <c r="K6" s="7">
        <v>46133</v>
      </c>
      <c r="L6" s="5">
        <f ca="1">IF(COMPOSICIONSALDOneo[[#This Row],[IMP. PRINCIPAL]] &gt; 0, MAX(0, $A$1-COMPOSICIONSALDOneo[[#This Row],[FECHA VTO.]]), 0)</f>
        <v>73</v>
      </c>
      <c r="M6" s="6" t="str">
        <f>UPPER(TEXT(COMPOSICIONSALDOneo[[#This Row],[FECHA VTO.]],"MMM"))</f>
        <v>ABR</v>
      </c>
      <c r="N6" s="62" t="str">
        <f>TEXT(MONTH(COMPOSICIONSALDOneo[[#This Row],[FECHA VTO.]]),"00")</f>
        <v>04</v>
      </c>
      <c r="O6" s="2" t="str">
        <f>+CONCATENATE(COMPOSICIONSALDOneo[[#This Row],[FECH]],"-",COMPOSICIONSALDOneo[[#This Row],[MES2]])</f>
        <v>ABR-04</v>
      </c>
      <c r="P6" s="61" t="str">
        <f t="shared" ref="P6" ca="1" si="1">IF(L6=0,"NO VENCIDO",IF(L6&lt;30,"VENCIDO&lt;30",IF(L6&lt;60,"VENCIDO 30",IF(L6&lt;90,"VENCIDO 60",IF(L6&lt;150,"VENCIDO 90","VENCIDO&gt;150")))))</f>
        <v>VENCIDO 60</v>
      </c>
      <c r="Q6" s="61" t="str">
        <f ca="1">IF(COMPOSICIONSALDOneo[[#This Row],[DIAS DE MORA]]&lt;1,"NO VENCIDO",IF(COMPOSICIONSALDOneo[[#This Row],[DIAS DE MORA]]&gt;=1,"VENCIDO","INCOBRABLE"))</f>
        <v>VENCIDO</v>
      </c>
      <c r="R6" s="61" t="str">
        <f>+VLOOKUP(COMPOSICIONSALDOneo[[#This Row],[Documento tipo]],Tabla7[#All],2,0)</f>
        <v>COBRANZAS</v>
      </c>
      <c r="S6" s="1" t="str">
        <f>+VLOOKUP(COMPOSICIONSALDOneo[[#This Row],[CLIENTE]],Tabla5[],3,FALSE)</f>
        <v>Catamarca</v>
      </c>
      <c r="T6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7" spans="1:20" x14ac:dyDescent="0.3">
      <c r="A7" t="s">
        <v>87</v>
      </c>
      <c r="B7" s="7">
        <v>46031</v>
      </c>
      <c r="C7" t="s">
        <v>184</v>
      </c>
      <c r="D7" t="s">
        <v>209</v>
      </c>
      <c r="F7" t="s">
        <v>82</v>
      </c>
      <c r="G7" s="14">
        <v>148.63999999999999</v>
      </c>
      <c r="H7" s="14">
        <v>1</v>
      </c>
      <c r="I7" s="14">
        <v>148.63999999999999</v>
      </c>
      <c r="J7" s="14">
        <v>148.63999999999999</v>
      </c>
      <c r="K7" s="7">
        <v>46050</v>
      </c>
      <c r="L7" s="5">
        <f ca="1">IF(COMPOSICIONSALDOneo[[#This Row],[IMP. PRINCIPAL]] &gt; 0, MAX(0, $A$1-COMPOSICIONSALDOneo[[#This Row],[FECHA VTO.]]), 0)</f>
        <v>156</v>
      </c>
      <c r="M7" s="6" t="str">
        <f>UPPER(TEXT(COMPOSICIONSALDOneo[[#This Row],[FECHA VTO.]],"MMM"))</f>
        <v>ENE</v>
      </c>
      <c r="N7" s="62" t="str">
        <f>TEXT(MONTH(COMPOSICIONSALDOneo[[#This Row],[FECHA VTO.]]),"00")</f>
        <v>01</v>
      </c>
      <c r="O7" s="2" t="str">
        <f>+CONCATENATE(COMPOSICIONSALDOneo[[#This Row],[FECH]],"-",COMPOSICIONSALDOneo[[#This Row],[MES2]])</f>
        <v>ENE-01</v>
      </c>
      <c r="P7" s="61" t="str">
        <f t="shared" ref="P7" ca="1" si="2">IF(L7=0,"NO VENCIDO",IF(L7&lt;30,"VENCIDO&lt;30",IF(L7&lt;60,"VENCIDO 30",IF(L7&lt;90,"VENCIDO 60",IF(L7&lt;150,"VENCIDO 90","VENCIDO&gt;150")))))</f>
        <v>VENCIDO&gt;150</v>
      </c>
      <c r="Q7" s="61" t="str">
        <f ca="1">IF(COMPOSICIONSALDOneo[[#This Row],[DIAS DE MORA]]&lt;1,"NO VENCIDO",IF(COMPOSICIONSALDOneo[[#This Row],[DIAS DE MORA]]&gt;=1,"VENCIDO","INCOBRABLE"))</f>
        <v>VENCIDO</v>
      </c>
      <c r="R7" s="61" t="str">
        <f>+VLOOKUP(COMPOSICIONSALDOneo[[#This Row],[Documento tipo]],Tabla7[#All],2,0)</f>
        <v>REPUESTOS</v>
      </c>
      <c r="S7" s="1" t="str">
        <f>+VLOOKUP(COMPOSICIONSALDOneo[[#This Row],[CLIENTE]],Tabla5[],3,FALSE)</f>
        <v>Tucuman</v>
      </c>
      <c r="T7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8" spans="1:20" ht="13.8" customHeight="1" x14ac:dyDescent="0.3">
      <c r="A8" t="s">
        <v>108</v>
      </c>
      <c r="B8" s="7">
        <v>46240</v>
      </c>
      <c r="C8" t="s">
        <v>199</v>
      </c>
      <c r="D8" t="s">
        <v>211</v>
      </c>
      <c r="E8" t="s">
        <v>235</v>
      </c>
      <c r="F8" t="s">
        <v>82</v>
      </c>
      <c r="G8" s="14">
        <v>9924.24</v>
      </c>
      <c r="H8" s="14">
        <v>1</v>
      </c>
      <c r="I8" s="14">
        <v>9924.24</v>
      </c>
      <c r="J8" s="14">
        <v>9924.24</v>
      </c>
      <c r="K8" s="7">
        <v>46259</v>
      </c>
      <c r="L8" s="5">
        <f ca="1">IF(COMPOSICIONSALDOneo[[#This Row],[IMP. PRINCIPAL]] &gt; 0, MAX(0, $A$1-COMPOSICIONSALDOneo[[#This Row],[FECHA VTO.]]), 0)</f>
        <v>0</v>
      </c>
      <c r="M8" s="6" t="str">
        <f>UPPER(TEXT(COMPOSICIONSALDOneo[[#This Row],[FECHA VTO.]],"MMM"))</f>
        <v>AGO</v>
      </c>
      <c r="N8" s="62" t="str">
        <f>TEXT(MONTH(COMPOSICIONSALDOneo[[#This Row],[FECHA VTO.]]),"00")</f>
        <v>08</v>
      </c>
      <c r="O8" s="2" t="str">
        <f>+CONCATENATE(COMPOSICIONSALDOneo[[#This Row],[FECH]],"-",COMPOSICIONSALDOneo[[#This Row],[MES2]])</f>
        <v>AGO-08</v>
      </c>
      <c r="P8" s="61" t="str">
        <f ca="1">IF(L8=0,"NO VENCIDO",IF(L8&lt;30,"VENCIDO&lt;30",IF(L8&lt;60,"VENCIDO 30",IF(L8&lt;90,"VENCIDO 60",IF(L8&lt;150,"VENCIDO 90","VENCIDO&gt;150")))))</f>
        <v>NO VENCIDO</v>
      </c>
      <c r="Q8" s="61" t="str">
        <f ca="1">IF(COMPOSICIONSALDOneo[[#This Row],[DIAS DE MORA]]&lt;1,"NO VENCIDO",IF(COMPOSICIONSALDOneo[[#This Row],[DIAS DE MORA]]&gt;=1,"VENCIDO","INCOBRABLE"))</f>
        <v>NO VENCIDO</v>
      </c>
      <c r="R8" s="61" t="str">
        <f>+VLOOKUP(COMPOSICIONSALDOneo[[#This Row],[Documento tipo]],Tabla7[#All],2,0)</f>
        <v>MAQUINAS</v>
      </c>
      <c r="S8" s="1" t="str">
        <f>+VLOOKUP(COMPOSICIONSALDOneo[[#This Row],[CLIENTE]],Tabla5[],3,FALSE)</f>
        <v>Catamarca</v>
      </c>
      <c r="T8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9" spans="1:20" x14ac:dyDescent="0.3">
      <c r="A9" t="s">
        <v>92</v>
      </c>
      <c r="B9" s="7">
        <v>46095</v>
      </c>
      <c r="C9" t="s">
        <v>261</v>
      </c>
      <c r="D9" t="s">
        <v>213</v>
      </c>
      <c r="E9" t="s">
        <v>208</v>
      </c>
      <c r="F9" t="s">
        <v>31</v>
      </c>
      <c r="G9" s="14">
        <v>156.47</v>
      </c>
      <c r="H9" s="14">
        <v>1012.3</v>
      </c>
      <c r="I9" s="14">
        <v>156.47</v>
      </c>
      <c r="J9" s="14">
        <v>156.47</v>
      </c>
      <c r="K9" s="7">
        <v>46110</v>
      </c>
      <c r="L9" s="5">
        <f ca="1">IF(COMPOSICIONSALDOneo[[#This Row],[IMP. PRINCIPAL]] &gt; 0, MAX(0, $A$1-COMPOSICIONSALDOneo[[#This Row],[FECHA VTO.]]), 0)</f>
        <v>96</v>
      </c>
      <c r="M9" s="6" t="str">
        <f>UPPER(TEXT(COMPOSICIONSALDOneo[[#This Row],[FECHA VTO.]],"MMM"))</f>
        <v>MAR</v>
      </c>
      <c r="N9" s="62" t="str">
        <f>TEXT(MONTH(COMPOSICIONSALDOneo[[#This Row],[FECHA VTO.]]),"00")</f>
        <v>03</v>
      </c>
      <c r="O9" s="2" t="str">
        <f>+CONCATENATE(COMPOSICIONSALDOneo[[#This Row],[FECH]],"-",COMPOSICIONSALDOneo[[#This Row],[MES2]])</f>
        <v>MAR-03</v>
      </c>
      <c r="P9" s="61" t="str">
        <f t="shared" ref="P9" ca="1" si="3">IF(L9=0,"NO VENCIDO",IF(L9&lt;30,"VENCIDO&lt;30",IF(L9&lt;60,"VENCIDO 30",IF(L9&lt;90,"VENCIDO 60",IF(L9&lt;150,"VENCIDO 90","VENCIDO&gt;150")))))</f>
        <v>VENCIDO 90</v>
      </c>
      <c r="Q9" s="61" t="str">
        <f ca="1">IF(COMPOSICIONSALDOneo[[#This Row],[DIAS DE MORA]]&lt;1,"NO VENCIDO",IF(COMPOSICIONSALDOneo[[#This Row],[DIAS DE MORA]]&gt;=1,"VENCIDO","INCOBRABLE"))</f>
        <v>VENCIDO</v>
      </c>
      <c r="R9" s="61" t="str">
        <f>+VLOOKUP(COMPOSICIONSALDOneo[[#This Row],[Documento tipo]],Tabla7[#All],2,0)</f>
        <v>REPUESTOS</v>
      </c>
      <c r="S9" s="1" t="str">
        <f>+VLOOKUP(COMPOSICIONSALDOneo[[#This Row],[CLIENTE]],Tabla5[],3,FALSE)</f>
        <v>Santiago del Estero</v>
      </c>
      <c r="T9" s="6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0" spans="1:20" x14ac:dyDescent="0.3">
      <c r="A10" t="s">
        <v>94</v>
      </c>
      <c r="B10" s="7">
        <v>46254</v>
      </c>
      <c r="C10" t="s">
        <v>196</v>
      </c>
      <c r="D10" t="s">
        <v>215</v>
      </c>
      <c r="E10" t="s">
        <v>214</v>
      </c>
      <c r="F10" t="s">
        <v>31</v>
      </c>
      <c r="G10" s="14">
        <v>16014.59</v>
      </c>
      <c r="H10" s="14">
        <v>1030.26</v>
      </c>
      <c r="I10" s="14">
        <v>16014.59</v>
      </c>
      <c r="J10" s="14">
        <v>16014.59</v>
      </c>
      <c r="K10" s="7">
        <v>46271</v>
      </c>
      <c r="L10" s="5">
        <f ca="1">IF(COMPOSICIONSALDOneo[[#This Row],[IMP. PRINCIPAL]] &gt; 0, MAX(0, $A$1-COMPOSICIONSALDOneo[[#This Row],[FECHA VTO.]]), 0)</f>
        <v>0</v>
      </c>
      <c r="M10" s="6" t="str">
        <f>UPPER(TEXT(COMPOSICIONSALDOneo[[#This Row],[FECHA VTO.]],"MMM"))</f>
        <v>SEPT</v>
      </c>
      <c r="N10" s="6" t="str">
        <f>TEXT(MONTH(COMPOSICIONSALDOneo[[#This Row],[FECHA VTO.]]),"00")</f>
        <v>09</v>
      </c>
      <c r="O10" s="2" t="str">
        <f>+CONCATENATE(COMPOSICIONSALDOneo[[#This Row],[FECH]],"-",COMPOSICIONSALDOneo[[#This Row],[MES2]])</f>
        <v>SEPT-09</v>
      </c>
      <c r="P10" s="4" t="str">
        <f t="shared" ref="P10" ca="1" si="4">IF(L10=0,"NO VENCIDO",IF(L10&lt;30,"VENCIDO&lt;30",IF(L10&lt;60,"VENCIDO 30",IF(L10&lt;90,"VENCIDO 60",IF(L10&lt;150,"VENCIDO 90","VENCIDO&gt;150")))))</f>
        <v>NO VENCIDO</v>
      </c>
      <c r="Q10" s="4" t="str">
        <f ca="1">IF(COMPOSICIONSALDOneo[[#This Row],[DIAS DE MORA]]&lt;1,"NO VENCIDO",IF(COMPOSICIONSALDOneo[[#This Row],[DIAS DE MORA]]&gt;=1,"VENCIDO","INCOBRABLE"))</f>
        <v>NO VENCIDO</v>
      </c>
      <c r="R10" s="61" t="str">
        <f>+VLOOKUP(COMPOSICIONSALDOneo[[#This Row],[Documento tipo]],Tabla7[#All],2,0)</f>
        <v>REPUESTOS</v>
      </c>
      <c r="S10" s="1" t="str">
        <f>+VLOOKUP(COMPOSICIONSALDOneo[[#This Row],[CLIENTE]],Tabla5[],3,FALSE)</f>
        <v>Santiago del Estero</v>
      </c>
      <c r="T1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11" spans="1:20" x14ac:dyDescent="0.3">
      <c r="A11" t="s">
        <v>103</v>
      </c>
      <c r="B11" s="7">
        <v>46168</v>
      </c>
      <c r="C11" t="s">
        <v>180</v>
      </c>
      <c r="D11" t="s">
        <v>217</v>
      </c>
      <c r="E11" t="s">
        <v>210</v>
      </c>
      <c r="F11" t="s">
        <v>30</v>
      </c>
      <c r="G11" s="14">
        <v>8639.1</v>
      </c>
      <c r="H11" s="14">
        <v>1</v>
      </c>
      <c r="I11" s="14">
        <v>8639.1</v>
      </c>
      <c r="J11" s="14">
        <v>8639.1</v>
      </c>
      <c r="K11" s="7">
        <v>46196</v>
      </c>
      <c r="L11" s="5">
        <f ca="1">IF(COMPOSICIONSALDOneo[[#This Row],[IMP. PRINCIPAL]] &gt; 0, MAX(0, $A$1-COMPOSICIONSALDOneo[[#This Row],[FECHA VTO.]]), 0)</f>
        <v>10</v>
      </c>
      <c r="M11" s="6" t="str">
        <f>UPPER(TEXT(COMPOSICIONSALDOneo[[#This Row],[FECHA VTO.]],"MMM"))</f>
        <v>JUN</v>
      </c>
      <c r="N11" s="6" t="str">
        <f>TEXT(MONTH(COMPOSICIONSALDOneo[[#This Row],[FECHA VTO.]]),"00")</f>
        <v>06</v>
      </c>
      <c r="O11" s="2" t="str">
        <f>+CONCATENATE(COMPOSICIONSALDOneo[[#This Row],[FECH]],"-",COMPOSICIONSALDOneo[[#This Row],[MES2]])</f>
        <v>JUN-06</v>
      </c>
      <c r="P11" s="4" t="str">
        <f t="shared" ref="P11:P14" ca="1" si="5">IF(L11=0,"NO VENCIDO",IF(L11&lt;30,"VENCIDO&lt;30",IF(L11&lt;60,"VENCIDO 30",IF(L11&lt;90,"VENCIDO 60",IF(L11&lt;150,"VENCIDO 90","VENCIDO&gt;150")))))</f>
        <v>VENCIDO&lt;30</v>
      </c>
      <c r="Q11" s="4" t="str">
        <f ca="1">IF(COMPOSICIONSALDOneo[[#This Row],[DIAS DE MORA]]&lt;1,"NO VENCIDO",IF(COMPOSICIONSALDOneo[[#This Row],[DIAS DE MORA]]&gt;=1,"VENCIDO","INCOBRABLE"))</f>
        <v>VENCIDO</v>
      </c>
      <c r="R11" s="61" t="str">
        <f>+VLOOKUP(COMPOSICIONSALDOneo[[#This Row],[Documento tipo]],Tabla7[#All],2,0)</f>
        <v>SERVICIOS</v>
      </c>
      <c r="S11" s="1" t="str">
        <f>+VLOOKUP(COMPOSICIONSALDOneo[[#This Row],[CLIENTE]],Tabla5[],3,FALSE)</f>
        <v>Jujuy</v>
      </c>
      <c r="T1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2" spans="1:20" x14ac:dyDescent="0.3">
      <c r="A12" t="s">
        <v>97</v>
      </c>
      <c r="B12" s="7">
        <v>46139</v>
      </c>
      <c r="C12" t="s">
        <v>192</v>
      </c>
      <c r="D12" t="s">
        <v>218</v>
      </c>
      <c r="F12" t="s">
        <v>30</v>
      </c>
      <c r="G12" s="14">
        <v>489.85</v>
      </c>
      <c r="H12" s="14">
        <v>1</v>
      </c>
      <c r="I12" s="14">
        <v>489.85</v>
      </c>
      <c r="J12" s="14">
        <v>489.85</v>
      </c>
      <c r="K12" s="7">
        <v>46171</v>
      </c>
      <c r="L12" s="5">
        <f ca="1">IF(COMPOSICIONSALDOneo[[#This Row],[IMP. PRINCIPAL]] &gt; 0, MAX(0, $A$1-COMPOSICIONSALDOneo[[#This Row],[FECHA VTO.]]), 0)</f>
        <v>35</v>
      </c>
      <c r="M12" s="6" t="str">
        <f>UPPER(TEXT(COMPOSICIONSALDOneo[[#This Row],[FECHA VTO.]],"MMM"))</f>
        <v>MAY</v>
      </c>
      <c r="N12" s="6" t="str">
        <f>TEXT(MONTH(COMPOSICIONSALDOneo[[#This Row],[FECHA VTO.]]),"00")</f>
        <v>05</v>
      </c>
      <c r="O12" s="2" t="str">
        <f>+CONCATENATE(COMPOSICIONSALDOneo[[#This Row],[FECH]],"-",COMPOSICIONSALDOneo[[#This Row],[MES2]])</f>
        <v>MAY-05</v>
      </c>
      <c r="P12" s="4" t="str">
        <f t="shared" ca="1" si="5"/>
        <v>VENCIDO 30</v>
      </c>
      <c r="Q12" s="4" t="str">
        <f ca="1">IF(COMPOSICIONSALDOneo[[#This Row],[DIAS DE MORA]]&lt;1,"NO VENCIDO",IF(COMPOSICIONSALDOneo[[#This Row],[DIAS DE MORA]]&gt;=1,"VENCIDO","INCOBRABLE"))</f>
        <v>VENCIDO</v>
      </c>
      <c r="R12" s="61" t="str">
        <f>+VLOOKUP(COMPOSICIONSALDOneo[[#This Row],[Documento tipo]],Tabla7[#All],2,0)</f>
        <v>SERVICIOS</v>
      </c>
      <c r="S12" s="1" t="str">
        <f>+VLOOKUP(COMPOSICIONSALDOneo[[#This Row],[CLIENTE]],Tabla5[],3,FALSE)</f>
        <v>Santiago del Estero</v>
      </c>
      <c r="T1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3" spans="1:20" x14ac:dyDescent="0.3">
      <c r="A13" t="s">
        <v>88</v>
      </c>
      <c r="B13" s="7">
        <v>46166</v>
      </c>
      <c r="C13" t="s">
        <v>191</v>
      </c>
      <c r="D13" t="s">
        <v>220</v>
      </c>
      <c r="E13" t="s">
        <v>205</v>
      </c>
      <c r="F13" t="s">
        <v>82</v>
      </c>
      <c r="G13" s="14">
        <v>4707.75</v>
      </c>
      <c r="H13" s="14">
        <v>1</v>
      </c>
      <c r="I13" s="14">
        <v>4707.75</v>
      </c>
      <c r="J13" s="14">
        <v>4707.75</v>
      </c>
      <c r="K13" s="7">
        <v>46201</v>
      </c>
      <c r="L13" s="5">
        <f ca="1">IF(COMPOSICIONSALDOneo[[#This Row],[IMP. PRINCIPAL]] &gt; 0, MAX(0, $A$1-COMPOSICIONSALDOneo[[#This Row],[FECHA VTO.]]), 0)</f>
        <v>5</v>
      </c>
      <c r="M13" s="6" t="str">
        <f>UPPER(TEXT(COMPOSICIONSALDOneo[[#This Row],[FECHA VTO.]],"MMM"))</f>
        <v>JUN</v>
      </c>
      <c r="N13" s="6" t="str">
        <f>TEXT(MONTH(COMPOSICIONSALDOneo[[#This Row],[FECHA VTO.]]),"00")</f>
        <v>06</v>
      </c>
      <c r="O13" s="2" t="str">
        <f>+CONCATENATE(COMPOSICIONSALDOneo[[#This Row],[FECH]],"-",COMPOSICIONSALDOneo[[#This Row],[MES2]])</f>
        <v>JUN-06</v>
      </c>
      <c r="P13" s="4" t="str">
        <f t="shared" ca="1" si="5"/>
        <v>VENCIDO&lt;30</v>
      </c>
      <c r="Q13" s="4" t="str">
        <f ca="1">IF(COMPOSICIONSALDOneo[[#This Row],[DIAS DE MORA]]&lt;1,"NO VENCIDO",IF(COMPOSICIONSALDOneo[[#This Row],[DIAS DE MORA]]&gt;=1,"VENCIDO","INCOBRABLE"))</f>
        <v>VENCIDO</v>
      </c>
      <c r="R13" s="61" t="str">
        <f>+VLOOKUP(COMPOSICIONSALDOneo[[#This Row],[Documento tipo]],Tabla7[#All],2,0)</f>
        <v>COBRANZAS</v>
      </c>
      <c r="S13" s="1" t="str">
        <f>+VLOOKUP(COMPOSICIONSALDOneo[[#This Row],[CLIENTE]],Tabla5[],3,FALSE)</f>
        <v>Santiago del Estero</v>
      </c>
      <c r="T1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4" spans="1:20" x14ac:dyDescent="0.3">
      <c r="A14" t="s">
        <v>105</v>
      </c>
      <c r="B14" s="7">
        <v>46126</v>
      </c>
      <c r="C14" t="s">
        <v>174</v>
      </c>
      <c r="D14" t="s">
        <v>221</v>
      </c>
      <c r="E14" t="s">
        <v>205</v>
      </c>
      <c r="F14" t="s">
        <v>82</v>
      </c>
      <c r="G14" s="14">
        <v>249.34</v>
      </c>
      <c r="H14" s="14">
        <v>1</v>
      </c>
      <c r="I14" s="14">
        <v>249.34</v>
      </c>
      <c r="J14" s="14">
        <v>249.34</v>
      </c>
      <c r="K14" s="7">
        <v>46168</v>
      </c>
      <c r="L14" s="5">
        <f ca="1">IF(COMPOSICIONSALDOneo[[#This Row],[IMP. PRINCIPAL]] &gt; 0, MAX(0, $A$1-COMPOSICIONSALDOneo[[#This Row],[FECHA VTO.]]), 0)</f>
        <v>38</v>
      </c>
      <c r="M14" s="6" t="str">
        <f>UPPER(TEXT(COMPOSICIONSALDOneo[[#This Row],[FECHA VTO.]],"MMM"))</f>
        <v>MAY</v>
      </c>
      <c r="N14" s="6" t="str">
        <f>TEXT(MONTH(COMPOSICIONSALDOneo[[#This Row],[FECHA VTO.]]),"00")</f>
        <v>05</v>
      </c>
      <c r="O14" s="2" t="str">
        <f>+CONCATENATE(COMPOSICIONSALDOneo[[#This Row],[FECH]],"-",COMPOSICIONSALDOneo[[#This Row],[MES2]])</f>
        <v>MAY-05</v>
      </c>
      <c r="P14" s="4" t="str">
        <f t="shared" ca="1" si="5"/>
        <v>VENCIDO 30</v>
      </c>
      <c r="Q14" s="4" t="str">
        <f ca="1">IF(COMPOSICIONSALDOneo[[#This Row],[DIAS DE MORA]]&lt;1,"NO VENCIDO",IF(COMPOSICIONSALDOneo[[#This Row],[DIAS DE MORA]]&gt;=1,"VENCIDO","INCOBRABLE"))</f>
        <v>VENCIDO</v>
      </c>
      <c r="R14" s="61" t="str">
        <f>+VLOOKUP(COMPOSICIONSALDOneo[[#This Row],[Documento tipo]],Tabla7[#All],2,0)</f>
        <v>REPUESTOS</v>
      </c>
      <c r="S14" s="1" t="str">
        <f>+VLOOKUP(COMPOSICIONSALDOneo[[#This Row],[CLIENTE]],Tabla5[],3,FALSE)</f>
        <v>Tucuman</v>
      </c>
      <c r="T14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5" spans="1:20" x14ac:dyDescent="0.3">
      <c r="A15" t="s">
        <v>103</v>
      </c>
      <c r="B15" s="7">
        <v>46168</v>
      </c>
      <c r="C15" t="s">
        <v>262</v>
      </c>
      <c r="D15" t="s">
        <v>222</v>
      </c>
      <c r="E15" t="s">
        <v>212</v>
      </c>
      <c r="F15" t="s">
        <v>82</v>
      </c>
      <c r="G15" s="14">
        <v>9880.43</v>
      </c>
      <c r="H15" s="14">
        <v>1</v>
      </c>
      <c r="I15" s="14">
        <v>9880.43</v>
      </c>
      <c r="J15" s="14">
        <v>9880.43</v>
      </c>
      <c r="K15" s="7">
        <v>46199</v>
      </c>
      <c r="L15" s="5">
        <f ca="1">IF(COMPOSICIONSALDOneo[[#This Row],[IMP. PRINCIPAL]] &gt; 0, MAX(0, $A$1-COMPOSICIONSALDOneo[[#This Row],[FECHA VTO.]]), 0)</f>
        <v>7</v>
      </c>
      <c r="M15" s="6" t="str">
        <f>UPPER(TEXT(COMPOSICIONSALDOneo[[#This Row],[FECHA VTO.]],"MMM"))</f>
        <v>JUN</v>
      </c>
      <c r="N15" s="6" t="str">
        <f>TEXT(MONTH(COMPOSICIONSALDOneo[[#This Row],[FECHA VTO.]]),"00")</f>
        <v>06</v>
      </c>
      <c r="O15" s="2" t="str">
        <f>+CONCATENATE(COMPOSICIONSALDOneo[[#This Row],[FECH]],"-",COMPOSICIONSALDOneo[[#This Row],[MES2]])</f>
        <v>JUN-06</v>
      </c>
      <c r="P15" s="4" t="str">
        <f t="shared" ref="P15:P16" ca="1" si="6">IF(L15=0,"NO VENCIDO",IF(L15&lt;30,"VENCIDO&lt;30",IF(L15&lt;60,"VENCIDO 30",IF(L15&lt;90,"VENCIDO 60",IF(L15&lt;150,"VENCIDO 90","VENCIDO&gt;150")))))</f>
        <v>VENCIDO&lt;30</v>
      </c>
      <c r="Q15" s="4" t="str">
        <f ca="1">IF(COMPOSICIONSALDOneo[[#This Row],[DIAS DE MORA]]&lt;1,"NO VENCIDO",IF(COMPOSICIONSALDOneo[[#This Row],[DIAS DE MORA]]&gt;=1,"VENCIDO","INCOBRABLE"))</f>
        <v>VENCIDO</v>
      </c>
      <c r="R15" s="61" t="str">
        <f>+VLOOKUP(COMPOSICIONSALDOneo[[#This Row],[Documento tipo]],Tabla7[#All],2,0)</f>
        <v>SERVICIOS</v>
      </c>
      <c r="S15" s="1" t="str">
        <f>+VLOOKUP(COMPOSICIONSALDOneo[[#This Row],[CLIENTE]],Tabla5[],3,FALSE)</f>
        <v>Catamarca</v>
      </c>
      <c r="T15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6" spans="1:20" x14ac:dyDescent="0.3">
      <c r="A16" t="s">
        <v>103</v>
      </c>
      <c r="B16" s="7">
        <v>46175</v>
      </c>
      <c r="C16" t="s">
        <v>178</v>
      </c>
      <c r="D16" t="s">
        <v>223</v>
      </c>
      <c r="E16" t="s">
        <v>205</v>
      </c>
      <c r="F16" t="s">
        <v>30</v>
      </c>
      <c r="G16" s="14">
        <v>248.46</v>
      </c>
      <c r="H16" s="14">
        <v>1</v>
      </c>
      <c r="I16" s="14">
        <v>248.46</v>
      </c>
      <c r="J16" s="14">
        <v>248.46</v>
      </c>
      <c r="K16" s="7">
        <v>46201</v>
      </c>
      <c r="L16" s="5">
        <f ca="1">IF(COMPOSICIONSALDOneo[[#This Row],[IMP. PRINCIPAL]] &gt; 0, MAX(0, $A$1-COMPOSICIONSALDOneo[[#This Row],[FECHA VTO.]]), 0)</f>
        <v>5</v>
      </c>
      <c r="M16" s="6" t="str">
        <f>UPPER(TEXT(COMPOSICIONSALDOneo[[#This Row],[FECHA VTO.]],"MMM"))</f>
        <v>JUN</v>
      </c>
      <c r="N16" s="6" t="str">
        <f>TEXT(MONTH(COMPOSICIONSALDOneo[[#This Row],[FECHA VTO.]]),"00")</f>
        <v>06</v>
      </c>
      <c r="O16" s="2" t="str">
        <f>+CONCATENATE(COMPOSICIONSALDOneo[[#This Row],[FECH]],"-",COMPOSICIONSALDOneo[[#This Row],[MES2]])</f>
        <v>JUN-06</v>
      </c>
      <c r="P16" s="4" t="str">
        <f t="shared" ca="1" si="6"/>
        <v>VENCIDO&lt;30</v>
      </c>
      <c r="Q16" s="4" t="str">
        <f ca="1">IF(COMPOSICIONSALDOneo[[#This Row],[DIAS DE MORA]]&lt;1,"NO VENCIDO",IF(COMPOSICIONSALDOneo[[#This Row],[DIAS DE MORA]]&gt;=1,"VENCIDO","INCOBRABLE"))</f>
        <v>VENCIDO</v>
      </c>
      <c r="R16" s="61" t="str">
        <f>+VLOOKUP(COMPOSICIONSALDOneo[[#This Row],[Documento tipo]],Tabla7[#All],2,0)</f>
        <v>SERVICIOS</v>
      </c>
      <c r="S16" s="1" t="str">
        <f>+VLOOKUP(COMPOSICIONSALDOneo[[#This Row],[CLIENTE]],Tabla5[],3,FALSE)</f>
        <v>Jujuy</v>
      </c>
      <c r="T16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7" spans="1:20" x14ac:dyDescent="0.3">
      <c r="A17" t="s">
        <v>108</v>
      </c>
      <c r="B17" s="7">
        <v>46045</v>
      </c>
      <c r="C17" t="s">
        <v>263</v>
      </c>
      <c r="D17" t="s">
        <v>224</v>
      </c>
      <c r="F17" t="s">
        <v>31</v>
      </c>
      <c r="G17" s="14">
        <v>158.99</v>
      </c>
      <c r="H17" s="14">
        <v>1060.73</v>
      </c>
      <c r="I17" s="14">
        <v>158.99</v>
      </c>
      <c r="J17" s="14">
        <v>158.99</v>
      </c>
      <c r="K17" s="7">
        <v>46084</v>
      </c>
      <c r="L17" s="5">
        <f ca="1">IF(COMPOSICIONSALDOneo[[#This Row],[IMP. PRINCIPAL]] &gt; 0, MAX(0, $A$1-COMPOSICIONSALDOneo[[#This Row],[FECHA VTO.]]), 0)</f>
        <v>122</v>
      </c>
      <c r="M17" s="6" t="str">
        <f>UPPER(TEXT(COMPOSICIONSALDOneo[[#This Row],[FECHA VTO.]],"MMM"))</f>
        <v>MAR</v>
      </c>
      <c r="N17" s="6" t="str">
        <f>TEXT(MONTH(COMPOSICIONSALDOneo[[#This Row],[FECHA VTO.]]),"00")</f>
        <v>03</v>
      </c>
      <c r="O17" s="2" t="str">
        <f>+CONCATENATE(COMPOSICIONSALDOneo[[#This Row],[FECH]],"-",COMPOSICIONSALDOneo[[#This Row],[MES2]])</f>
        <v>MAR-03</v>
      </c>
      <c r="P17" s="4" t="str">
        <f t="shared" ref="P17:P22" ca="1" si="7">IF(L17=0,"NO VENCIDO",IF(L17&lt;30,"VENCIDO&lt;30",IF(L17&lt;60,"VENCIDO 30",IF(L17&lt;90,"VENCIDO 60",IF(L17&lt;150,"VENCIDO 90","VENCIDO&gt;150")))))</f>
        <v>VENCIDO 90</v>
      </c>
      <c r="Q17" s="4" t="str">
        <f ca="1">IF(COMPOSICIONSALDOneo[[#This Row],[DIAS DE MORA]]&lt;1,"NO VENCIDO",IF(COMPOSICIONSALDOneo[[#This Row],[DIAS DE MORA]]&gt;=1,"VENCIDO","INCOBRABLE"))</f>
        <v>VENCIDO</v>
      </c>
      <c r="R17" s="61" t="str">
        <f>+VLOOKUP(COMPOSICIONSALDOneo[[#This Row],[Documento tipo]],Tabla7[#All],2,0)</f>
        <v>MAQUINAS</v>
      </c>
      <c r="S17" s="1" t="str">
        <f>+VLOOKUP(COMPOSICIONSALDOneo[[#This Row],[CLIENTE]],Tabla5[],3,FALSE)</f>
        <v>Salta</v>
      </c>
      <c r="T17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8" spans="1:20" x14ac:dyDescent="0.3">
      <c r="A18" t="s">
        <v>107</v>
      </c>
      <c r="B18" s="7">
        <v>46157</v>
      </c>
      <c r="C18" t="s">
        <v>179</v>
      </c>
      <c r="D18" t="s">
        <v>225</v>
      </c>
      <c r="E18" t="s">
        <v>219</v>
      </c>
      <c r="F18" t="s">
        <v>82</v>
      </c>
      <c r="G18" s="14">
        <v>1489.85</v>
      </c>
      <c r="H18" s="14">
        <v>1</v>
      </c>
      <c r="I18" s="14">
        <v>1489.85</v>
      </c>
      <c r="J18" s="14">
        <v>1489.85</v>
      </c>
      <c r="K18" s="7">
        <v>46173</v>
      </c>
      <c r="L18" s="5">
        <f ca="1">IF(COMPOSICIONSALDOneo[[#This Row],[IMP. PRINCIPAL]] &gt; 0, MAX(0, $A$1-COMPOSICIONSALDOneo[[#This Row],[FECHA VTO.]]), 0)</f>
        <v>33</v>
      </c>
      <c r="M18" s="6" t="str">
        <f>UPPER(TEXT(COMPOSICIONSALDOneo[[#This Row],[FECHA VTO.]],"MMM"))</f>
        <v>MAY</v>
      </c>
      <c r="N18" s="6" t="str">
        <f>TEXT(MONTH(COMPOSICIONSALDOneo[[#This Row],[FECHA VTO.]]),"00")</f>
        <v>05</v>
      </c>
      <c r="O18" s="2" t="str">
        <f>+CONCATENATE(COMPOSICIONSALDOneo[[#This Row],[FECH]],"-",COMPOSICIONSALDOneo[[#This Row],[MES2]])</f>
        <v>MAY-05</v>
      </c>
      <c r="P18" s="4" t="str">
        <f t="shared" ca="1" si="7"/>
        <v>VENCIDO 30</v>
      </c>
      <c r="Q18" s="4" t="str">
        <f ca="1">IF(COMPOSICIONSALDOneo[[#This Row],[DIAS DE MORA]]&lt;1,"NO VENCIDO",IF(COMPOSICIONSALDOneo[[#This Row],[DIAS DE MORA]]&gt;=1,"VENCIDO","INCOBRABLE"))</f>
        <v>VENCIDO</v>
      </c>
      <c r="R18" s="61" t="str">
        <f>+VLOOKUP(COMPOSICIONSALDOneo[[#This Row],[Documento tipo]],Tabla7[#All],2,0)</f>
        <v>REPUESTOS</v>
      </c>
      <c r="S18" s="1" t="str">
        <f>+VLOOKUP(COMPOSICIONSALDOneo[[#This Row],[CLIENTE]],Tabla5[],3,FALSE)</f>
        <v>Catamarca</v>
      </c>
      <c r="T18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19" spans="1:20" x14ac:dyDescent="0.3">
      <c r="A19" t="s">
        <v>88</v>
      </c>
      <c r="B19" s="7">
        <v>46100</v>
      </c>
      <c r="C19" t="s">
        <v>179</v>
      </c>
      <c r="D19" t="s">
        <v>226</v>
      </c>
      <c r="E19" t="s">
        <v>208</v>
      </c>
      <c r="F19" t="s">
        <v>82</v>
      </c>
      <c r="G19" s="14">
        <v>378.82</v>
      </c>
      <c r="H19" s="14">
        <v>1</v>
      </c>
      <c r="I19" s="14">
        <v>378.82</v>
      </c>
      <c r="J19" s="14">
        <v>378.82</v>
      </c>
      <c r="K19" s="7">
        <v>46134</v>
      </c>
      <c r="L19" s="5">
        <f ca="1">IF(COMPOSICIONSALDOneo[[#This Row],[IMP. PRINCIPAL]] &gt; 0, MAX(0, $A$1-COMPOSICIONSALDOneo[[#This Row],[FECHA VTO.]]), 0)</f>
        <v>72</v>
      </c>
      <c r="M19" s="6" t="str">
        <f>UPPER(TEXT(COMPOSICIONSALDOneo[[#This Row],[FECHA VTO.]],"MMM"))</f>
        <v>ABR</v>
      </c>
      <c r="N19" s="6" t="str">
        <f>TEXT(MONTH(COMPOSICIONSALDOneo[[#This Row],[FECHA VTO.]]),"00")</f>
        <v>04</v>
      </c>
      <c r="O19" s="2" t="str">
        <f>+CONCATENATE(COMPOSICIONSALDOneo[[#This Row],[FECH]],"-",COMPOSICIONSALDOneo[[#This Row],[MES2]])</f>
        <v>ABR-04</v>
      </c>
      <c r="P19" s="4" t="str">
        <f t="shared" ca="1" si="7"/>
        <v>VENCIDO 60</v>
      </c>
      <c r="Q19" s="4" t="str">
        <f ca="1">IF(COMPOSICIONSALDOneo[[#This Row],[DIAS DE MORA]]&lt;1,"NO VENCIDO",IF(COMPOSICIONSALDOneo[[#This Row],[DIAS DE MORA]]&gt;=1,"VENCIDO","INCOBRABLE"))</f>
        <v>VENCIDO</v>
      </c>
      <c r="R19" s="61" t="str">
        <f>+VLOOKUP(COMPOSICIONSALDOneo[[#This Row],[Documento tipo]],Tabla7[#All],2,0)</f>
        <v>COBRANZAS</v>
      </c>
      <c r="S19" s="1" t="str">
        <f>+VLOOKUP(COMPOSICIONSALDOneo[[#This Row],[CLIENTE]],Tabla5[],3,FALSE)</f>
        <v>Catamarca</v>
      </c>
      <c r="T19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0" spans="1:20" x14ac:dyDescent="0.3">
      <c r="A20" s="1" t="s">
        <v>103</v>
      </c>
      <c r="B20" s="69">
        <v>46159</v>
      </c>
      <c r="C20" s="1" t="s">
        <v>264</v>
      </c>
      <c r="D20" s="65" t="s">
        <v>227</v>
      </c>
      <c r="E20" s="1" t="s">
        <v>212</v>
      </c>
      <c r="F20" s="1" t="s">
        <v>82</v>
      </c>
      <c r="G20" s="66">
        <v>5103.09</v>
      </c>
      <c r="H20" s="67">
        <v>1</v>
      </c>
      <c r="I20" s="67">
        <v>5103.09</v>
      </c>
      <c r="J20" s="67">
        <v>5103.09</v>
      </c>
      <c r="K20" s="68">
        <v>46191</v>
      </c>
      <c r="L20" s="5">
        <f ca="1">IF(COMPOSICIONSALDOneo[[#This Row],[IMP. PRINCIPAL]] &gt; 0, MAX(0, $A$1-COMPOSICIONSALDOneo[[#This Row],[FECHA VTO.]]), 0)</f>
        <v>15</v>
      </c>
      <c r="M20" s="6" t="str">
        <f>UPPER(TEXT(COMPOSICIONSALDOneo[[#This Row],[FECHA VTO.]],"MMM"))</f>
        <v>JUN</v>
      </c>
      <c r="N20" s="6" t="str">
        <f>TEXT(MONTH(COMPOSICIONSALDOneo[[#This Row],[FECHA VTO.]]),"00")</f>
        <v>06</v>
      </c>
      <c r="O20" s="2" t="str">
        <f>+CONCATENATE(COMPOSICIONSALDOneo[[#This Row],[FECH]],"-",COMPOSICIONSALDOneo[[#This Row],[MES2]])</f>
        <v>JUN-06</v>
      </c>
      <c r="P20" s="4" t="str">
        <f t="shared" ca="1" si="7"/>
        <v>VENCIDO&lt;30</v>
      </c>
      <c r="Q20" s="4" t="str">
        <f ca="1">IF(COMPOSICIONSALDOneo[[#This Row],[DIAS DE MORA]]&lt;1,"NO VENCIDO",IF(COMPOSICIONSALDOneo[[#This Row],[DIAS DE MORA]]&gt;=1,"VENCIDO","INCOBRABLE"))</f>
        <v>VENCIDO</v>
      </c>
      <c r="R20" s="61" t="str">
        <f>+VLOOKUP(COMPOSICIONSALDOneo[[#This Row],[Documento tipo]],Tabla7[#All],2,0)</f>
        <v>SERVICIOS</v>
      </c>
      <c r="S20" s="1" t="str">
        <f>+VLOOKUP(COMPOSICIONSALDOneo[[#This Row],[CLIENTE]],Tabla5[],3,FALSE)</f>
        <v>Tucuman</v>
      </c>
      <c r="T2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1" spans="1:20" x14ac:dyDescent="0.3">
      <c r="A21" s="1" t="s">
        <v>100</v>
      </c>
      <c r="B21" s="69">
        <v>46260</v>
      </c>
      <c r="C21" s="1" t="s">
        <v>188</v>
      </c>
      <c r="D21" s="65" t="s">
        <v>228</v>
      </c>
      <c r="E21" s="1" t="s">
        <v>214</v>
      </c>
      <c r="F21" s="1" t="s">
        <v>82</v>
      </c>
      <c r="G21" s="66">
        <v>16187.59</v>
      </c>
      <c r="H21" s="67">
        <v>1</v>
      </c>
      <c r="I21" s="67">
        <v>16187.59</v>
      </c>
      <c r="J21" s="67">
        <v>16187.59</v>
      </c>
      <c r="K21" s="68">
        <v>46280</v>
      </c>
      <c r="L21" s="5">
        <f ca="1">IF(COMPOSICIONSALDOneo[[#This Row],[IMP. PRINCIPAL]] &gt; 0, MAX(0, $A$1-COMPOSICIONSALDOneo[[#This Row],[FECHA VTO.]]), 0)</f>
        <v>0</v>
      </c>
      <c r="M21" s="6" t="str">
        <f>UPPER(TEXT(COMPOSICIONSALDOneo[[#This Row],[FECHA VTO.]],"MMM"))</f>
        <v>SEPT</v>
      </c>
      <c r="N21" s="6" t="str">
        <f>TEXT(MONTH(COMPOSICIONSALDOneo[[#This Row],[FECHA VTO.]]),"00")</f>
        <v>09</v>
      </c>
      <c r="O21" s="2" t="str">
        <f>+CONCATENATE(COMPOSICIONSALDOneo[[#This Row],[FECH]],"-",COMPOSICIONSALDOneo[[#This Row],[MES2]])</f>
        <v>SEPT-09</v>
      </c>
      <c r="P21" s="4" t="str">
        <f t="shared" ca="1" si="7"/>
        <v>NO VENCIDO</v>
      </c>
      <c r="Q21" s="4" t="str">
        <f ca="1">IF(COMPOSICIONSALDOneo[[#This Row],[DIAS DE MORA]]&lt;1,"NO VENCIDO",IF(COMPOSICIONSALDOneo[[#This Row],[DIAS DE MORA]]&gt;=1,"VENCIDO","INCOBRABLE"))</f>
        <v>NO VENCIDO</v>
      </c>
      <c r="R21" s="61" t="str">
        <f>+VLOOKUP(COMPOSICIONSALDOneo[[#This Row],[Documento tipo]],Tabla7[#All],2,0)</f>
        <v>MAQUINAS</v>
      </c>
      <c r="S21" s="1" t="str">
        <f>+VLOOKUP(COMPOSICIONSALDOneo[[#This Row],[CLIENTE]],Tabla5[],3,FALSE)</f>
        <v>Salta</v>
      </c>
      <c r="T2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22" spans="1:20" x14ac:dyDescent="0.3">
      <c r="A22" s="1" t="s">
        <v>95</v>
      </c>
      <c r="B22" s="69">
        <v>46093</v>
      </c>
      <c r="C22" s="1" t="s">
        <v>265</v>
      </c>
      <c r="D22" s="65" t="s">
        <v>229</v>
      </c>
      <c r="E22" s="1" t="s">
        <v>210</v>
      </c>
      <c r="F22" s="1" t="s">
        <v>31</v>
      </c>
      <c r="G22" s="66">
        <v>164.54</v>
      </c>
      <c r="H22" s="67">
        <v>1086.6500000000001</v>
      </c>
      <c r="I22" s="67">
        <v>164.54</v>
      </c>
      <c r="J22" s="67">
        <v>164.54</v>
      </c>
      <c r="K22" s="68">
        <v>46108</v>
      </c>
      <c r="L22" s="5">
        <f ca="1">IF(COMPOSICIONSALDOneo[[#This Row],[IMP. PRINCIPAL]] &gt; 0, MAX(0, $A$1-COMPOSICIONSALDOneo[[#This Row],[FECHA VTO.]]), 0)</f>
        <v>98</v>
      </c>
      <c r="M22" s="6" t="str">
        <f>UPPER(TEXT(COMPOSICIONSALDOneo[[#This Row],[FECHA VTO.]],"MMM"))</f>
        <v>MAR</v>
      </c>
      <c r="N22" s="6" t="str">
        <f>TEXT(MONTH(COMPOSICIONSALDOneo[[#This Row],[FECHA VTO.]]),"00")</f>
        <v>03</v>
      </c>
      <c r="O22" s="2" t="str">
        <f>+CONCATENATE(COMPOSICIONSALDOneo[[#This Row],[FECH]],"-",COMPOSICIONSALDOneo[[#This Row],[MES2]])</f>
        <v>MAR-03</v>
      </c>
      <c r="P22" s="4" t="str">
        <f t="shared" ca="1" si="7"/>
        <v>VENCIDO 90</v>
      </c>
      <c r="Q22" s="4" t="str">
        <f ca="1">IF(COMPOSICIONSALDOneo[[#This Row],[DIAS DE MORA]]&lt;1,"NO VENCIDO",IF(COMPOSICIONSALDOneo[[#This Row],[DIAS DE MORA]]&gt;=1,"VENCIDO","INCOBRABLE"))</f>
        <v>VENCIDO</v>
      </c>
      <c r="R22" s="61" t="str">
        <f>+VLOOKUP(COMPOSICIONSALDOneo[[#This Row],[Documento tipo]],Tabla7[#All],2,0)</f>
        <v>MAQUINAS</v>
      </c>
      <c r="S22" s="1" t="str">
        <f>+VLOOKUP(COMPOSICIONSALDOneo[[#This Row],[CLIENTE]],Tabla5[],3,FALSE)</f>
        <v>Catamarca</v>
      </c>
      <c r="T2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3" spans="1:20" x14ac:dyDescent="0.3">
      <c r="A23" s="1" t="s">
        <v>116</v>
      </c>
      <c r="B23" s="69">
        <v>46264</v>
      </c>
      <c r="C23" s="1" t="s">
        <v>195</v>
      </c>
      <c r="D23" s="65" t="s">
        <v>230</v>
      </c>
      <c r="E23" s="1" t="s">
        <v>214</v>
      </c>
      <c r="F23" s="1" t="s">
        <v>31</v>
      </c>
      <c r="G23" s="66">
        <v>9788.11</v>
      </c>
      <c r="H23" s="67">
        <v>1038.06</v>
      </c>
      <c r="I23" s="67">
        <v>9788.11</v>
      </c>
      <c r="J23" s="67">
        <v>9788.11</v>
      </c>
      <c r="K23" s="68">
        <v>46280</v>
      </c>
      <c r="L23" s="5">
        <f ca="1">IF(COMPOSICIONSALDOneo[[#This Row],[IMP. PRINCIPAL]] &gt; 0, MAX(0, $A$1-COMPOSICIONSALDOneo[[#This Row],[FECHA VTO.]]), 0)</f>
        <v>0</v>
      </c>
      <c r="M23" s="6" t="str">
        <f>UPPER(TEXT(COMPOSICIONSALDOneo[[#This Row],[FECHA VTO.]],"MMM"))</f>
        <v>SEPT</v>
      </c>
      <c r="N23" s="6" t="str">
        <f>TEXT(MONTH(COMPOSICIONSALDOneo[[#This Row],[FECHA VTO.]]),"00")</f>
        <v>09</v>
      </c>
      <c r="O23" s="2" t="str">
        <f>+CONCATENATE(COMPOSICIONSALDOneo[[#This Row],[FECH]],"-",COMPOSICIONSALDOneo[[#This Row],[MES2]])</f>
        <v>SEPT-09</v>
      </c>
      <c r="P23" s="4" t="str">
        <f t="shared" ref="P23:P26" ca="1" si="8">IF(L23=0,"NO VENCIDO",IF(L23&lt;30,"VENCIDO&lt;30",IF(L23&lt;60,"VENCIDO 30",IF(L23&lt;90,"VENCIDO 60",IF(L23&lt;150,"VENCIDO 90","VENCIDO&gt;150")))))</f>
        <v>NO VENCIDO</v>
      </c>
      <c r="Q23" s="4" t="str">
        <f ca="1">IF(COMPOSICIONSALDOneo[[#This Row],[DIAS DE MORA]]&lt;1,"NO VENCIDO",IF(COMPOSICIONSALDOneo[[#This Row],[DIAS DE MORA]]&gt;=1,"VENCIDO","INCOBRABLE"))</f>
        <v>NO VENCIDO</v>
      </c>
      <c r="R23" s="61" t="str">
        <f>+VLOOKUP(COMPOSICIONSALDOneo[[#This Row],[Documento tipo]],Tabla7[#All],2,0)</f>
        <v>MAQUINAS</v>
      </c>
      <c r="S23" s="1" t="str">
        <f>+VLOOKUP(COMPOSICIONSALDOneo[[#This Row],[CLIENTE]],Tabla5[],3,FALSE)</f>
        <v>Jujuy</v>
      </c>
      <c r="T2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24" spans="1:20" x14ac:dyDescent="0.3">
      <c r="A24" s="1" t="s">
        <v>103</v>
      </c>
      <c r="B24" s="69">
        <v>46124</v>
      </c>
      <c r="C24" s="1" t="s">
        <v>266</v>
      </c>
      <c r="D24" s="65" t="s">
        <v>231</v>
      </c>
      <c r="E24" s="1" t="s">
        <v>208</v>
      </c>
      <c r="F24" s="1" t="s">
        <v>82</v>
      </c>
      <c r="G24" s="66">
        <v>245.79</v>
      </c>
      <c r="H24" s="67">
        <v>1</v>
      </c>
      <c r="I24" s="67">
        <v>245.79</v>
      </c>
      <c r="J24" s="67">
        <v>245.79</v>
      </c>
      <c r="K24" s="68">
        <v>46142</v>
      </c>
      <c r="L24" s="5">
        <f ca="1">IF(COMPOSICIONSALDOneo[[#This Row],[IMP. PRINCIPAL]] &gt; 0, MAX(0, $A$1-COMPOSICIONSALDOneo[[#This Row],[FECHA VTO.]]), 0)</f>
        <v>64</v>
      </c>
      <c r="M24" s="6" t="str">
        <f>UPPER(TEXT(COMPOSICIONSALDOneo[[#This Row],[FECHA VTO.]],"MMM"))</f>
        <v>ABR</v>
      </c>
      <c r="N24" s="6" t="str">
        <f>TEXT(MONTH(COMPOSICIONSALDOneo[[#This Row],[FECHA VTO.]]),"00")</f>
        <v>04</v>
      </c>
      <c r="O24" s="2" t="str">
        <f>+CONCATENATE(COMPOSICIONSALDOneo[[#This Row],[FECH]],"-",COMPOSICIONSALDOneo[[#This Row],[MES2]])</f>
        <v>ABR-04</v>
      </c>
      <c r="P24" s="4" t="str">
        <f t="shared" ca="1" si="8"/>
        <v>VENCIDO 60</v>
      </c>
      <c r="Q24" s="4" t="str">
        <f ca="1">IF(COMPOSICIONSALDOneo[[#This Row],[DIAS DE MORA]]&lt;1,"NO VENCIDO",IF(COMPOSICIONSALDOneo[[#This Row],[DIAS DE MORA]]&gt;=1,"VENCIDO","INCOBRABLE"))</f>
        <v>VENCIDO</v>
      </c>
      <c r="R24" s="61" t="str">
        <f>+VLOOKUP(COMPOSICIONSALDOneo[[#This Row],[Documento tipo]],Tabla7[#All],2,0)</f>
        <v>SERVICIOS</v>
      </c>
      <c r="S24" s="1" t="str">
        <f>+VLOOKUP(COMPOSICIONSALDOneo[[#This Row],[CLIENTE]],Tabla5[],3,FALSE)</f>
        <v>Tucuman</v>
      </c>
      <c r="T24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5" spans="1:20" x14ac:dyDescent="0.3">
      <c r="A25" s="1" t="s">
        <v>96</v>
      </c>
      <c r="B25" s="69">
        <v>46143</v>
      </c>
      <c r="C25" s="1" t="s">
        <v>267</v>
      </c>
      <c r="D25" s="65" t="s">
        <v>232</v>
      </c>
      <c r="E25" s="1" t="s">
        <v>212</v>
      </c>
      <c r="F25" s="1" t="s">
        <v>31</v>
      </c>
      <c r="G25" s="66">
        <v>975.71</v>
      </c>
      <c r="H25" s="67">
        <v>1064.6300000000001</v>
      </c>
      <c r="I25" s="67">
        <v>975.71</v>
      </c>
      <c r="J25" s="67">
        <v>975.71</v>
      </c>
      <c r="K25" s="68">
        <v>46159</v>
      </c>
      <c r="L25" s="5">
        <f ca="1">IF(COMPOSICIONSALDOneo[[#This Row],[IMP. PRINCIPAL]] &gt; 0, MAX(0, $A$1-COMPOSICIONSALDOneo[[#This Row],[FECHA VTO.]]), 0)</f>
        <v>47</v>
      </c>
      <c r="M25" s="6" t="str">
        <f>UPPER(TEXT(COMPOSICIONSALDOneo[[#This Row],[FECHA VTO.]],"MMM"))</f>
        <v>MAY</v>
      </c>
      <c r="N25" s="6" t="str">
        <f>TEXT(MONTH(COMPOSICIONSALDOneo[[#This Row],[FECHA VTO.]]),"00")</f>
        <v>05</v>
      </c>
      <c r="O25" s="2" t="str">
        <f>+CONCATENATE(COMPOSICIONSALDOneo[[#This Row],[FECH]],"-",COMPOSICIONSALDOneo[[#This Row],[MES2]])</f>
        <v>MAY-05</v>
      </c>
      <c r="P25" s="4" t="str">
        <f t="shared" ca="1" si="8"/>
        <v>VENCIDO 30</v>
      </c>
      <c r="Q25" s="4" t="str">
        <f ca="1">IF(COMPOSICIONSALDOneo[[#This Row],[DIAS DE MORA]]&lt;1,"NO VENCIDO",IF(COMPOSICIONSALDOneo[[#This Row],[DIAS DE MORA]]&gt;=1,"VENCIDO","INCOBRABLE"))</f>
        <v>VENCIDO</v>
      </c>
      <c r="R25" s="61" t="str">
        <f>+VLOOKUP(COMPOSICIONSALDOneo[[#This Row],[Documento tipo]],Tabla7[#All],2,0)</f>
        <v>SERVICIOS</v>
      </c>
      <c r="S25" s="1" t="str">
        <f>+VLOOKUP(COMPOSICIONSALDOneo[[#This Row],[CLIENTE]],Tabla5[],3,FALSE)</f>
        <v>Tucuman</v>
      </c>
      <c r="T25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6" spans="1:20" x14ac:dyDescent="0.3">
      <c r="A26" s="1" t="s">
        <v>88</v>
      </c>
      <c r="B26" s="69">
        <v>46231</v>
      </c>
      <c r="C26" s="1" t="s">
        <v>172</v>
      </c>
      <c r="D26" s="65" t="s">
        <v>233</v>
      </c>
      <c r="E26" s="1" t="s">
        <v>212</v>
      </c>
      <c r="F26" s="1" t="s">
        <v>31</v>
      </c>
      <c r="G26" s="66">
        <v>16930.22</v>
      </c>
      <c r="H26" s="67">
        <v>1053.9100000000001</v>
      </c>
      <c r="I26" s="67">
        <v>16930.22</v>
      </c>
      <c r="J26" s="67">
        <v>16930.22</v>
      </c>
      <c r="K26" s="68">
        <v>46251</v>
      </c>
      <c r="L26" s="5">
        <f ca="1">IF(COMPOSICIONSALDOneo[[#This Row],[IMP. PRINCIPAL]] &gt; 0, MAX(0, $A$1-COMPOSICIONSALDOneo[[#This Row],[FECHA VTO.]]), 0)</f>
        <v>0</v>
      </c>
      <c r="M26" s="6" t="str">
        <f>UPPER(TEXT(COMPOSICIONSALDOneo[[#This Row],[FECHA VTO.]],"MMM"))</f>
        <v>AGO</v>
      </c>
      <c r="N26" s="6" t="str">
        <f>TEXT(MONTH(COMPOSICIONSALDOneo[[#This Row],[FECHA VTO.]]),"00")</f>
        <v>08</v>
      </c>
      <c r="O26" s="2" t="str">
        <f>+CONCATENATE(COMPOSICIONSALDOneo[[#This Row],[FECH]],"-",COMPOSICIONSALDOneo[[#This Row],[MES2]])</f>
        <v>AGO-08</v>
      </c>
      <c r="P26" s="4" t="str">
        <f t="shared" ca="1" si="8"/>
        <v>NO VENCIDO</v>
      </c>
      <c r="Q26" s="4" t="str">
        <f ca="1">IF(COMPOSICIONSALDOneo[[#This Row],[DIAS DE MORA]]&lt;1,"NO VENCIDO",IF(COMPOSICIONSALDOneo[[#This Row],[DIAS DE MORA]]&gt;=1,"VENCIDO","INCOBRABLE"))</f>
        <v>NO VENCIDO</v>
      </c>
      <c r="R26" s="61" t="str">
        <f>+VLOOKUP(COMPOSICIONSALDOneo[[#This Row],[Documento tipo]],Tabla7[#All],2,0)</f>
        <v>COBRANZAS</v>
      </c>
      <c r="S26" s="1" t="str">
        <f>+VLOOKUP(COMPOSICIONSALDOneo[[#This Row],[CLIENTE]],Tabla5[],3,FALSE)</f>
        <v>Catamarca</v>
      </c>
      <c r="T26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27" spans="1:20" x14ac:dyDescent="0.3">
      <c r="A27" s="1" t="s">
        <v>115</v>
      </c>
      <c r="B27" s="64">
        <v>46158</v>
      </c>
      <c r="C27" s="1" t="s">
        <v>181</v>
      </c>
      <c r="D27" s="65" t="s">
        <v>234</v>
      </c>
      <c r="E27" s="1" t="s">
        <v>208</v>
      </c>
      <c r="F27" s="1" t="s">
        <v>82</v>
      </c>
      <c r="G27" s="66">
        <v>7733.95</v>
      </c>
      <c r="H27" s="67">
        <v>1</v>
      </c>
      <c r="I27" s="67">
        <v>7733.95</v>
      </c>
      <c r="J27" s="67">
        <v>7733.95</v>
      </c>
      <c r="K27" s="68">
        <v>46185</v>
      </c>
      <c r="L27" s="5">
        <f ca="1">IF(COMPOSICIONSALDOneo[[#This Row],[IMP. PRINCIPAL]] &gt; 0, MAX(0, $A$1-COMPOSICIONSALDOneo[[#This Row],[FECHA VTO.]]), 0)</f>
        <v>21</v>
      </c>
      <c r="M27" s="6" t="str">
        <f>UPPER(TEXT(COMPOSICIONSALDOneo[[#This Row],[FECHA VTO.]],"MMM"))</f>
        <v>JUN</v>
      </c>
      <c r="N27" s="6" t="str">
        <f>TEXT(MONTH(COMPOSICIONSALDOneo[[#This Row],[FECHA VTO.]]),"00")</f>
        <v>06</v>
      </c>
      <c r="O27" s="2" t="str">
        <f>+CONCATENATE(COMPOSICIONSALDOneo[[#This Row],[FECH]],"-",COMPOSICIONSALDOneo[[#This Row],[MES2]])</f>
        <v>JUN-06</v>
      </c>
      <c r="P27" s="4" t="str">
        <f t="shared" ref="P27:P29" ca="1" si="9">IF(L27=0,"NO VENCIDO",IF(L27&lt;30,"VENCIDO&lt;30",IF(L27&lt;60,"VENCIDO 30",IF(L27&lt;90,"VENCIDO 60",IF(L27&lt;150,"VENCIDO 90","VENCIDO&gt;150")))))</f>
        <v>VENCIDO&lt;30</v>
      </c>
      <c r="Q27" s="4" t="str">
        <f ca="1">IF(COMPOSICIONSALDOneo[[#This Row],[DIAS DE MORA]]&lt;1,"NO VENCIDO",IF(COMPOSICIONSALDOneo[[#This Row],[DIAS DE MORA]]&gt;=1,"VENCIDO","INCOBRABLE"))</f>
        <v>VENCIDO</v>
      </c>
      <c r="R27" s="61" t="str">
        <f>+VLOOKUP(COMPOSICIONSALDOneo[[#This Row],[Documento tipo]],Tabla7[#All],2,0)</f>
        <v>MAQUINAS</v>
      </c>
      <c r="S27" s="1" t="str">
        <f>+VLOOKUP(COMPOSICIONSALDOneo[[#This Row],[CLIENTE]],Tabla5[],3,FALSE)</f>
        <v>Jujuy</v>
      </c>
      <c r="T27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28" spans="1:20" x14ac:dyDescent="0.3">
      <c r="A28" s="1" t="s">
        <v>88</v>
      </c>
      <c r="B28" s="64">
        <v>46212</v>
      </c>
      <c r="C28" s="1" t="s">
        <v>268</v>
      </c>
      <c r="D28" s="65" t="s">
        <v>236</v>
      </c>
      <c r="E28" s="1" t="s">
        <v>235</v>
      </c>
      <c r="F28" s="1" t="s">
        <v>31</v>
      </c>
      <c r="G28" s="66">
        <v>10951.14</v>
      </c>
      <c r="H28" s="67">
        <v>1010.74</v>
      </c>
      <c r="I28" s="67">
        <v>10951.14</v>
      </c>
      <c r="J28" s="67">
        <v>10951.14</v>
      </c>
      <c r="K28" s="68">
        <v>46237</v>
      </c>
      <c r="L28" s="5">
        <f ca="1">IF(COMPOSICIONSALDOneo[[#This Row],[IMP. PRINCIPAL]] &gt; 0, MAX(0, $A$1-COMPOSICIONSALDOneo[[#This Row],[FECHA VTO.]]), 0)</f>
        <v>0</v>
      </c>
      <c r="M28" s="6" t="str">
        <f>UPPER(TEXT(COMPOSICIONSALDOneo[[#This Row],[FECHA VTO.]],"MMM"))</f>
        <v>AGO</v>
      </c>
      <c r="N28" s="6" t="str">
        <f>TEXT(MONTH(COMPOSICIONSALDOneo[[#This Row],[FECHA VTO.]]),"00")</f>
        <v>08</v>
      </c>
      <c r="O28" s="2" t="str">
        <f>+CONCATENATE(COMPOSICIONSALDOneo[[#This Row],[FECH]],"-",COMPOSICIONSALDOneo[[#This Row],[MES2]])</f>
        <v>AGO-08</v>
      </c>
      <c r="P28" s="4" t="str">
        <f t="shared" ca="1" si="9"/>
        <v>NO VENCIDO</v>
      </c>
      <c r="Q28" s="4" t="str">
        <f ca="1">IF(COMPOSICIONSALDOneo[[#This Row],[DIAS DE MORA]]&lt;1,"NO VENCIDO",IF(COMPOSICIONSALDOneo[[#This Row],[DIAS DE MORA]]&gt;=1,"VENCIDO","INCOBRABLE"))</f>
        <v>NO VENCIDO</v>
      </c>
      <c r="R28" s="61" t="str">
        <f>+VLOOKUP(COMPOSICIONSALDOneo[[#This Row],[Documento tipo]],Tabla7[#All],2,0)</f>
        <v>COBRANZAS</v>
      </c>
      <c r="S28" s="1" t="str">
        <f>+VLOOKUP(COMPOSICIONSALDOneo[[#This Row],[CLIENTE]],Tabla5[],3,FALSE)</f>
        <v>Tucuman</v>
      </c>
      <c r="T28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29" spans="1:20" x14ac:dyDescent="0.3">
      <c r="A29" s="1" t="s">
        <v>95</v>
      </c>
      <c r="B29" s="64">
        <v>46140</v>
      </c>
      <c r="C29" s="1" t="s">
        <v>172</v>
      </c>
      <c r="D29" s="65" t="s">
        <v>237</v>
      </c>
      <c r="E29" s="1" t="s">
        <v>214</v>
      </c>
      <c r="F29" s="1" t="s">
        <v>82</v>
      </c>
      <c r="G29" s="66">
        <v>438.15</v>
      </c>
      <c r="H29" s="67">
        <v>1</v>
      </c>
      <c r="I29" s="67">
        <v>438.15</v>
      </c>
      <c r="J29" s="67">
        <v>438.15</v>
      </c>
      <c r="K29" s="68">
        <v>46168</v>
      </c>
      <c r="L29" s="5">
        <f ca="1">IF(COMPOSICIONSALDOneo[[#This Row],[IMP. PRINCIPAL]] &gt; 0, MAX(0, $A$1-COMPOSICIONSALDOneo[[#This Row],[FECHA VTO.]]), 0)</f>
        <v>38</v>
      </c>
      <c r="M29" s="6" t="str">
        <f>UPPER(TEXT(COMPOSICIONSALDOneo[[#This Row],[FECHA VTO.]],"MMM"))</f>
        <v>MAY</v>
      </c>
      <c r="N29" s="6" t="str">
        <f>TEXT(MONTH(COMPOSICIONSALDOneo[[#This Row],[FECHA VTO.]]),"00")</f>
        <v>05</v>
      </c>
      <c r="O29" s="2" t="str">
        <f>+CONCATENATE(COMPOSICIONSALDOneo[[#This Row],[FECH]],"-",COMPOSICIONSALDOneo[[#This Row],[MES2]])</f>
        <v>MAY-05</v>
      </c>
      <c r="P29" s="4" t="str">
        <f t="shared" ca="1" si="9"/>
        <v>VENCIDO 30</v>
      </c>
      <c r="Q29" s="4" t="str">
        <f ca="1">IF(COMPOSICIONSALDOneo[[#This Row],[DIAS DE MORA]]&lt;1,"NO VENCIDO",IF(COMPOSICIONSALDOneo[[#This Row],[DIAS DE MORA]]&gt;=1,"VENCIDO","INCOBRABLE"))</f>
        <v>VENCIDO</v>
      </c>
      <c r="R29" s="61" t="str">
        <f>+VLOOKUP(COMPOSICIONSALDOneo[[#This Row],[Documento tipo]],Tabla7[#All],2,0)</f>
        <v>MAQUINAS</v>
      </c>
      <c r="S29" s="1" t="str">
        <f>+VLOOKUP(COMPOSICIONSALDOneo[[#This Row],[CLIENTE]],Tabla5[],3,FALSE)</f>
        <v>Catamarca</v>
      </c>
      <c r="T29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0" spans="1:20" x14ac:dyDescent="0.3">
      <c r="A30" s="1" t="s">
        <v>89</v>
      </c>
      <c r="B30" s="64">
        <v>46236</v>
      </c>
      <c r="C30" s="1" t="s">
        <v>269</v>
      </c>
      <c r="D30" s="65" t="s">
        <v>238</v>
      </c>
      <c r="E30" s="1" t="s">
        <v>203</v>
      </c>
      <c r="F30" s="1" t="s">
        <v>30</v>
      </c>
      <c r="G30" s="66">
        <v>6396.55</v>
      </c>
      <c r="H30" s="67">
        <v>1</v>
      </c>
      <c r="I30" s="67">
        <v>6396.55</v>
      </c>
      <c r="J30" s="67">
        <v>6396.55</v>
      </c>
      <c r="K30" s="68">
        <v>46272</v>
      </c>
      <c r="L30" s="5">
        <f ca="1">IF(COMPOSICIONSALDOneo[[#This Row],[IMP. PRINCIPAL]] &gt; 0, MAX(0, $A$1-COMPOSICIONSALDOneo[[#This Row],[FECHA VTO.]]), 0)</f>
        <v>0</v>
      </c>
      <c r="M30" s="6" t="str">
        <f>UPPER(TEXT(COMPOSICIONSALDOneo[[#This Row],[FECHA VTO.]],"MMM"))</f>
        <v>SEPT</v>
      </c>
      <c r="N30" s="6" t="str">
        <f>TEXT(MONTH(COMPOSICIONSALDOneo[[#This Row],[FECHA VTO.]]),"00")</f>
        <v>09</v>
      </c>
      <c r="O30" s="2" t="str">
        <f>+CONCATENATE(COMPOSICIONSALDOneo[[#This Row],[FECH]],"-",COMPOSICIONSALDOneo[[#This Row],[MES2]])</f>
        <v>SEPT-09</v>
      </c>
      <c r="P30" s="4" t="str">
        <f t="shared" ref="P30:P31" ca="1" si="10">IF(L30=0,"NO VENCIDO",IF(L30&lt;30,"VENCIDO&lt;30",IF(L30&lt;60,"VENCIDO 30",IF(L30&lt;90,"VENCIDO 60",IF(L30&lt;150,"VENCIDO 90","VENCIDO&gt;150")))))</f>
        <v>NO VENCIDO</v>
      </c>
      <c r="Q30" s="4" t="str">
        <f ca="1">IF(COMPOSICIONSALDOneo[[#This Row],[DIAS DE MORA]]&lt;1,"NO VENCIDO",IF(COMPOSICIONSALDOneo[[#This Row],[DIAS DE MORA]]&gt;=1,"VENCIDO","INCOBRABLE"))</f>
        <v>NO VENCIDO</v>
      </c>
      <c r="R30" s="61" t="str">
        <f>+VLOOKUP(COMPOSICIONSALDOneo[[#This Row],[Documento tipo]],Tabla7[#All],2,0)</f>
        <v>MAQUINAS</v>
      </c>
      <c r="S30" s="1" t="str">
        <f>+VLOOKUP(COMPOSICIONSALDOneo[[#This Row],[CLIENTE]],Tabla5[],3,FALSE)</f>
        <v>Tucuman</v>
      </c>
      <c r="T3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31" spans="1:20" x14ac:dyDescent="0.3">
      <c r="A31" s="1" t="s">
        <v>87</v>
      </c>
      <c r="B31" s="64">
        <v>46132</v>
      </c>
      <c r="C31" s="1" t="s">
        <v>196</v>
      </c>
      <c r="D31" s="65" t="s">
        <v>239</v>
      </c>
      <c r="E31" s="1" t="s">
        <v>235</v>
      </c>
      <c r="F31" s="1" t="s">
        <v>82</v>
      </c>
      <c r="G31" s="66">
        <v>471.4</v>
      </c>
      <c r="H31" s="67">
        <v>1</v>
      </c>
      <c r="I31" s="67">
        <v>471.4</v>
      </c>
      <c r="J31" s="67">
        <v>471.4</v>
      </c>
      <c r="K31" s="68">
        <v>46161</v>
      </c>
      <c r="L31" s="5">
        <f ca="1">IF(COMPOSICIONSALDOneo[[#This Row],[IMP. PRINCIPAL]] &gt; 0, MAX(0, $A$1-COMPOSICIONSALDOneo[[#This Row],[FECHA VTO.]]), 0)</f>
        <v>45</v>
      </c>
      <c r="M31" s="6" t="str">
        <f>UPPER(TEXT(COMPOSICIONSALDOneo[[#This Row],[FECHA VTO.]],"MMM"))</f>
        <v>MAY</v>
      </c>
      <c r="N31" s="6" t="str">
        <f>TEXT(MONTH(COMPOSICIONSALDOneo[[#This Row],[FECHA VTO.]]),"00")</f>
        <v>05</v>
      </c>
      <c r="O31" s="2" t="str">
        <f>+CONCATENATE(COMPOSICIONSALDOneo[[#This Row],[FECH]],"-",COMPOSICIONSALDOneo[[#This Row],[MES2]])</f>
        <v>MAY-05</v>
      </c>
      <c r="P31" s="4" t="str">
        <f t="shared" ca="1" si="10"/>
        <v>VENCIDO 30</v>
      </c>
      <c r="Q31" s="4" t="str">
        <f ca="1">IF(COMPOSICIONSALDOneo[[#This Row],[DIAS DE MORA]]&lt;1,"NO VENCIDO",IF(COMPOSICIONSALDOneo[[#This Row],[DIAS DE MORA]]&gt;=1,"VENCIDO","INCOBRABLE"))</f>
        <v>VENCIDO</v>
      </c>
      <c r="R31" s="61" t="str">
        <f>+VLOOKUP(COMPOSICIONSALDOneo[[#This Row],[Documento tipo]],Tabla7[#All],2,0)</f>
        <v>REPUESTOS</v>
      </c>
      <c r="S31" s="1" t="str">
        <f>+VLOOKUP(COMPOSICIONSALDOneo[[#This Row],[CLIENTE]],Tabla5[],3,FALSE)</f>
        <v>Santiago del Estero</v>
      </c>
      <c r="T3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2" spans="1:20" x14ac:dyDescent="0.3">
      <c r="A32" s="1" t="s">
        <v>111</v>
      </c>
      <c r="B32" s="64">
        <v>46113</v>
      </c>
      <c r="C32" s="1" t="s">
        <v>270</v>
      </c>
      <c r="D32" s="65" t="s">
        <v>240</v>
      </c>
      <c r="E32" s="1" t="s">
        <v>216</v>
      </c>
      <c r="F32" s="1" t="s">
        <v>31</v>
      </c>
      <c r="G32" s="66">
        <v>277.60000000000002</v>
      </c>
      <c r="H32" s="67">
        <v>1099.92</v>
      </c>
      <c r="I32" s="67">
        <v>277.60000000000002</v>
      </c>
      <c r="J32" s="67">
        <v>277.60000000000002</v>
      </c>
      <c r="K32" s="68">
        <v>46142</v>
      </c>
      <c r="L32" s="5">
        <f ca="1">IF(COMPOSICIONSALDOneo[[#This Row],[IMP. PRINCIPAL]] &gt; 0, MAX(0, $A$1-COMPOSICIONSALDOneo[[#This Row],[FECHA VTO.]]), 0)</f>
        <v>64</v>
      </c>
      <c r="M32" s="6" t="str">
        <f>UPPER(TEXT(COMPOSICIONSALDOneo[[#This Row],[FECHA VTO.]],"MMM"))</f>
        <v>ABR</v>
      </c>
      <c r="N32" s="6" t="str">
        <f>TEXT(MONTH(COMPOSICIONSALDOneo[[#This Row],[FECHA VTO.]]),"00")</f>
        <v>04</v>
      </c>
      <c r="O32" s="2" t="str">
        <f>+CONCATENATE(COMPOSICIONSALDOneo[[#This Row],[FECH]],"-",COMPOSICIONSALDOneo[[#This Row],[MES2]])</f>
        <v>ABR-04</v>
      </c>
      <c r="P32" s="4" t="str">
        <f t="shared" ref="P32:P33" ca="1" si="11">IF(L32=0,"NO VENCIDO",IF(L32&lt;30,"VENCIDO&lt;30",IF(L32&lt;60,"VENCIDO 30",IF(L32&lt;90,"VENCIDO 60",IF(L32&lt;150,"VENCIDO 90","VENCIDO&gt;150")))))</f>
        <v>VENCIDO 60</v>
      </c>
      <c r="Q32" s="4" t="str">
        <f ca="1">IF(COMPOSICIONSALDOneo[[#This Row],[DIAS DE MORA]]&lt;1,"NO VENCIDO",IF(COMPOSICIONSALDOneo[[#This Row],[DIAS DE MORA]]&gt;=1,"VENCIDO","INCOBRABLE"))</f>
        <v>VENCIDO</v>
      </c>
      <c r="R32" s="61" t="str">
        <f>+VLOOKUP(COMPOSICIONSALDOneo[[#This Row],[Documento tipo]],Tabla7[#All],2,0)</f>
        <v>COBRANZAS</v>
      </c>
      <c r="S32" s="1" t="str">
        <f>+VLOOKUP(COMPOSICIONSALDOneo[[#This Row],[CLIENTE]],Tabla5[],3,FALSE)</f>
        <v>Catamarca</v>
      </c>
      <c r="T3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3" spans="1:20" x14ac:dyDescent="0.3">
      <c r="A33" s="1" t="s">
        <v>95</v>
      </c>
      <c r="B33" s="64">
        <v>46247</v>
      </c>
      <c r="C33" s="1" t="s">
        <v>262</v>
      </c>
      <c r="D33" s="65" t="s">
        <v>241</v>
      </c>
      <c r="E33" s="1" t="s">
        <v>205</v>
      </c>
      <c r="F33" s="1" t="s">
        <v>30</v>
      </c>
      <c r="G33" s="66">
        <v>14984.12</v>
      </c>
      <c r="H33" s="67">
        <v>1</v>
      </c>
      <c r="I33" s="67">
        <v>14984.12</v>
      </c>
      <c r="J33" s="67">
        <v>14984.12</v>
      </c>
      <c r="K33" s="68">
        <v>46264</v>
      </c>
      <c r="L33" s="5">
        <f ca="1">IF(COMPOSICIONSALDOneo[[#This Row],[IMP. PRINCIPAL]] &gt; 0, MAX(0, $A$1-COMPOSICIONSALDOneo[[#This Row],[FECHA VTO.]]), 0)</f>
        <v>0</v>
      </c>
      <c r="M33" s="6" t="str">
        <f>UPPER(TEXT(COMPOSICIONSALDOneo[[#This Row],[FECHA VTO.]],"MMM"))</f>
        <v>AGO</v>
      </c>
      <c r="N33" s="6" t="str">
        <f>TEXT(MONTH(COMPOSICIONSALDOneo[[#This Row],[FECHA VTO.]]),"00")</f>
        <v>08</v>
      </c>
      <c r="O33" s="2" t="str">
        <f>+CONCATENATE(COMPOSICIONSALDOneo[[#This Row],[FECH]],"-",COMPOSICIONSALDOneo[[#This Row],[MES2]])</f>
        <v>AGO-08</v>
      </c>
      <c r="P33" s="4" t="str">
        <f t="shared" ca="1" si="11"/>
        <v>NO VENCIDO</v>
      </c>
      <c r="Q33" s="4" t="str">
        <f ca="1">IF(COMPOSICIONSALDOneo[[#This Row],[DIAS DE MORA]]&lt;1,"NO VENCIDO",IF(COMPOSICIONSALDOneo[[#This Row],[DIAS DE MORA]]&gt;=1,"VENCIDO","INCOBRABLE"))</f>
        <v>NO VENCIDO</v>
      </c>
      <c r="R33" s="61" t="str">
        <f>+VLOOKUP(COMPOSICIONSALDOneo[[#This Row],[Documento tipo]],Tabla7[#All],2,0)</f>
        <v>MAQUINAS</v>
      </c>
      <c r="S33" s="1" t="str">
        <f>+VLOOKUP(COMPOSICIONSALDOneo[[#This Row],[CLIENTE]],Tabla5[],3,FALSE)</f>
        <v>Catamarca</v>
      </c>
      <c r="T3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34" spans="1:20" x14ac:dyDescent="0.3">
      <c r="A34" s="1" t="s">
        <v>114</v>
      </c>
      <c r="B34" s="64">
        <v>46160</v>
      </c>
      <c r="C34" s="1" t="s">
        <v>168</v>
      </c>
      <c r="D34" s="65" t="s">
        <v>242</v>
      </c>
      <c r="E34" s="1"/>
      <c r="F34" s="1" t="s">
        <v>82</v>
      </c>
      <c r="G34" s="66">
        <v>6258.53</v>
      </c>
      <c r="H34" s="67">
        <v>1</v>
      </c>
      <c r="I34" s="67">
        <v>6258.53</v>
      </c>
      <c r="J34" s="67">
        <v>6258.53</v>
      </c>
      <c r="K34" s="68">
        <v>46191</v>
      </c>
      <c r="L34" s="5">
        <f ca="1">IF(COMPOSICIONSALDOneo[[#This Row],[IMP. PRINCIPAL]] &gt; 0, MAX(0, $A$1-COMPOSICIONSALDOneo[[#This Row],[FECHA VTO.]]), 0)</f>
        <v>15</v>
      </c>
      <c r="M34" s="6" t="str">
        <f>UPPER(TEXT(COMPOSICIONSALDOneo[[#This Row],[FECHA VTO.]],"MMM"))</f>
        <v>JUN</v>
      </c>
      <c r="N34" s="6" t="str">
        <f>TEXT(MONTH(COMPOSICIONSALDOneo[[#This Row],[FECHA VTO.]]),"00")</f>
        <v>06</v>
      </c>
      <c r="O34" s="2" t="str">
        <f>+CONCATENATE(COMPOSICIONSALDOneo[[#This Row],[FECH]],"-",COMPOSICIONSALDOneo[[#This Row],[MES2]])</f>
        <v>JUN-06</v>
      </c>
      <c r="P34" s="4" t="str">
        <f t="shared" ref="P34:P36" ca="1" si="12">IF(L34=0,"NO VENCIDO",IF(L34&lt;30,"VENCIDO&lt;30",IF(L34&lt;60,"VENCIDO 30",IF(L34&lt;90,"VENCIDO 60",IF(L34&lt;150,"VENCIDO 90","VENCIDO&gt;150")))))</f>
        <v>VENCIDO&lt;30</v>
      </c>
      <c r="Q34" s="4" t="str">
        <f ca="1">IF(COMPOSICIONSALDOneo[[#This Row],[DIAS DE MORA]]&lt;1,"NO VENCIDO",IF(COMPOSICIONSALDOneo[[#This Row],[DIAS DE MORA]]&gt;=1,"VENCIDO","INCOBRABLE"))</f>
        <v>VENCIDO</v>
      </c>
      <c r="R34" s="61" t="str">
        <f>+VLOOKUP(COMPOSICIONSALDOneo[[#This Row],[Documento tipo]],Tabla7[#All],2,0)</f>
        <v>REPUESTOS</v>
      </c>
      <c r="S34" s="1" t="str">
        <f>+VLOOKUP(COMPOSICIONSALDOneo[[#This Row],[CLIENTE]],Tabla5[],3,FALSE)</f>
        <v>Catamarca</v>
      </c>
      <c r="T34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5" spans="1:20" x14ac:dyDescent="0.3">
      <c r="A35" s="1" t="s">
        <v>112</v>
      </c>
      <c r="B35" s="64">
        <v>46075</v>
      </c>
      <c r="C35" s="1" t="s">
        <v>260</v>
      </c>
      <c r="D35" s="65" t="s">
        <v>243</v>
      </c>
      <c r="E35" s="1" t="s">
        <v>235</v>
      </c>
      <c r="F35" s="1" t="s">
        <v>82</v>
      </c>
      <c r="G35" s="66">
        <v>150.59</v>
      </c>
      <c r="H35" s="67">
        <v>1</v>
      </c>
      <c r="I35" s="67">
        <v>150.59</v>
      </c>
      <c r="J35" s="67">
        <v>150.59</v>
      </c>
      <c r="K35" s="68">
        <v>46103</v>
      </c>
      <c r="L35" s="5">
        <f ca="1">IF(COMPOSICIONSALDOneo[[#This Row],[IMP. PRINCIPAL]] &gt; 0, MAX(0, $A$1-COMPOSICIONSALDOneo[[#This Row],[FECHA VTO.]]), 0)</f>
        <v>103</v>
      </c>
      <c r="M35" s="6" t="str">
        <f>UPPER(TEXT(COMPOSICIONSALDOneo[[#This Row],[FECHA VTO.]],"MMM"))</f>
        <v>MAR</v>
      </c>
      <c r="N35" s="6" t="str">
        <f>TEXT(MONTH(COMPOSICIONSALDOneo[[#This Row],[FECHA VTO.]]),"00")</f>
        <v>03</v>
      </c>
      <c r="O35" s="2" t="str">
        <f>+CONCATENATE(COMPOSICIONSALDOneo[[#This Row],[FECH]],"-",COMPOSICIONSALDOneo[[#This Row],[MES2]])</f>
        <v>MAR-03</v>
      </c>
      <c r="P35" s="4" t="str">
        <f t="shared" ca="1" si="12"/>
        <v>VENCIDO 90</v>
      </c>
      <c r="Q35" s="4" t="str">
        <f ca="1">IF(COMPOSICIONSALDOneo[[#This Row],[DIAS DE MORA]]&lt;1,"NO VENCIDO",IF(COMPOSICIONSALDOneo[[#This Row],[DIAS DE MORA]]&gt;=1,"VENCIDO","INCOBRABLE"))</f>
        <v>VENCIDO</v>
      </c>
      <c r="R35" s="61" t="str">
        <f>+VLOOKUP(COMPOSICIONSALDOneo[[#This Row],[Documento tipo]],Tabla7[#All],2,0)</f>
        <v>COBRANZAS</v>
      </c>
      <c r="S35" s="1" t="str">
        <f>+VLOOKUP(COMPOSICIONSALDOneo[[#This Row],[CLIENTE]],Tabla5[],3,FALSE)</f>
        <v>Catamarca</v>
      </c>
      <c r="T35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6" spans="1:20" x14ac:dyDescent="0.3">
      <c r="A36" s="1" t="s">
        <v>88</v>
      </c>
      <c r="B36" s="64">
        <v>46113</v>
      </c>
      <c r="C36" s="1" t="s">
        <v>184</v>
      </c>
      <c r="D36" s="65" t="s">
        <v>244</v>
      </c>
      <c r="E36" s="1" t="s">
        <v>208</v>
      </c>
      <c r="F36" s="1" t="s">
        <v>30</v>
      </c>
      <c r="G36" s="66">
        <v>365.01</v>
      </c>
      <c r="H36" s="67">
        <v>1</v>
      </c>
      <c r="I36" s="67">
        <v>365.01</v>
      </c>
      <c r="J36" s="67">
        <v>365.01</v>
      </c>
      <c r="K36" s="68">
        <v>46139</v>
      </c>
      <c r="L36" s="5">
        <f ca="1">IF(COMPOSICIONSALDOneo[[#This Row],[IMP. PRINCIPAL]] &gt; 0, MAX(0, $A$1-COMPOSICIONSALDOneo[[#This Row],[FECHA VTO.]]), 0)</f>
        <v>67</v>
      </c>
      <c r="M36" s="6" t="str">
        <f>UPPER(TEXT(COMPOSICIONSALDOneo[[#This Row],[FECHA VTO.]],"MMM"))</f>
        <v>ABR</v>
      </c>
      <c r="N36" s="6" t="str">
        <f>TEXT(MONTH(COMPOSICIONSALDOneo[[#This Row],[FECHA VTO.]]),"00")</f>
        <v>04</v>
      </c>
      <c r="O36" s="2" t="str">
        <f>+CONCATENATE(COMPOSICIONSALDOneo[[#This Row],[FECH]],"-",COMPOSICIONSALDOneo[[#This Row],[MES2]])</f>
        <v>ABR-04</v>
      </c>
      <c r="P36" s="4" t="str">
        <f t="shared" ca="1" si="12"/>
        <v>VENCIDO 60</v>
      </c>
      <c r="Q36" s="4" t="str">
        <f ca="1">IF(COMPOSICIONSALDOneo[[#This Row],[DIAS DE MORA]]&lt;1,"NO VENCIDO",IF(COMPOSICIONSALDOneo[[#This Row],[DIAS DE MORA]]&gt;=1,"VENCIDO","INCOBRABLE"))</f>
        <v>VENCIDO</v>
      </c>
      <c r="R36" s="61" t="str">
        <f>+VLOOKUP(COMPOSICIONSALDOneo[[#This Row],[Documento tipo]],Tabla7[#All],2,0)</f>
        <v>COBRANZAS</v>
      </c>
      <c r="S36" s="1" t="str">
        <f>+VLOOKUP(COMPOSICIONSALDOneo[[#This Row],[CLIENTE]],Tabla5[],3,FALSE)</f>
        <v>Tucuman</v>
      </c>
      <c r="T36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7" spans="1:20" x14ac:dyDescent="0.3">
      <c r="A37" s="1" t="s">
        <v>106</v>
      </c>
      <c r="B37" s="64">
        <v>46082</v>
      </c>
      <c r="C37" s="1" t="s">
        <v>166</v>
      </c>
      <c r="D37" s="65" t="s">
        <v>245</v>
      </c>
      <c r="E37" s="1" t="s">
        <v>210</v>
      </c>
      <c r="F37" s="1" t="s">
        <v>31</v>
      </c>
      <c r="G37" s="66">
        <v>161.27000000000001</v>
      </c>
      <c r="H37" s="67">
        <v>1058.81</v>
      </c>
      <c r="I37" s="67">
        <v>161.27000000000001</v>
      </c>
      <c r="J37" s="67">
        <v>161.27000000000001</v>
      </c>
      <c r="K37" s="68">
        <v>46107</v>
      </c>
      <c r="L37" s="5">
        <f ca="1">IF(COMPOSICIONSALDOneo[[#This Row],[IMP. PRINCIPAL]] &gt; 0, MAX(0, $A$1-COMPOSICIONSALDOneo[[#This Row],[FECHA VTO.]]), 0)</f>
        <v>99</v>
      </c>
      <c r="M37" s="6" t="str">
        <f>UPPER(TEXT(COMPOSICIONSALDOneo[[#This Row],[FECHA VTO.]],"MMM"))</f>
        <v>MAR</v>
      </c>
      <c r="N37" s="6" t="str">
        <f>TEXT(MONTH(COMPOSICIONSALDOneo[[#This Row],[FECHA VTO.]]),"00")</f>
        <v>03</v>
      </c>
      <c r="O37" s="2" t="str">
        <f>+CONCATENATE(COMPOSICIONSALDOneo[[#This Row],[FECH]],"-",COMPOSICIONSALDOneo[[#This Row],[MES2]])</f>
        <v>MAR-03</v>
      </c>
      <c r="P37" s="4" t="str">
        <f t="shared" ref="P37:P40" ca="1" si="13">IF(L37=0,"NO VENCIDO",IF(L37&lt;30,"VENCIDO&lt;30",IF(L37&lt;60,"VENCIDO 30",IF(L37&lt;90,"VENCIDO 60",IF(L37&lt;150,"VENCIDO 90","VENCIDO&gt;150")))))</f>
        <v>VENCIDO 90</v>
      </c>
      <c r="Q37" s="4" t="str">
        <f ca="1">IF(COMPOSICIONSALDOneo[[#This Row],[DIAS DE MORA]]&lt;1,"NO VENCIDO",IF(COMPOSICIONSALDOneo[[#This Row],[DIAS DE MORA]]&gt;=1,"VENCIDO","INCOBRABLE"))</f>
        <v>VENCIDO</v>
      </c>
      <c r="R37" s="61" t="str">
        <f>+VLOOKUP(COMPOSICIONSALDOneo[[#This Row],[Documento tipo]],Tabla7[#All],2,0)</f>
        <v>REPUESTOS</v>
      </c>
      <c r="S37" s="1" t="str">
        <f>+VLOOKUP(COMPOSICIONSALDOneo[[#This Row],[CLIENTE]],Tabla5[],3,FALSE)</f>
        <v>Jujuy</v>
      </c>
      <c r="T37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8" spans="1:20" x14ac:dyDescent="0.3">
      <c r="A38" s="1" t="s">
        <v>106</v>
      </c>
      <c r="B38" s="64">
        <v>46139</v>
      </c>
      <c r="C38" s="1" t="s">
        <v>174</v>
      </c>
      <c r="D38" s="65" t="s">
        <v>246</v>
      </c>
      <c r="E38" s="1" t="s">
        <v>214</v>
      </c>
      <c r="F38" s="1" t="s">
        <v>30</v>
      </c>
      <c r="G38" s="66">
        <v>1463.69</v>
      </c>
      <c r="H38" s="67">
        <v>1</v>
      </c>
      <c r="I38" s="67">
        <v>1463.69</v>
      </c>
      <c r="J38" s="67">
        <v>1463.69</v>
      </c>
      <c r="K38" s="68">
        <v>46166</v>
      </c>
      <c r="L38" s="5">
        <f ca="1">IF(COMPOSICIONSALDOneo[[#This Row],[IMP. PRINCIPAL]] &gt; 0, MAX(0, $A$1-COMPOSICIONSALDOneo[[#This Row],[FECHA VTO.]]), 0)</f>
        <v>40</v>
      </c>
      <c r="M38" s="6" t="str">
        <f>UPPER(TEXT(COMPOSICIONSALDOneo[[#This Row],[FECHA VTO.]],"MMM"))</f>
        <v>MAY</v>
      </c>
      <c r="N38" s="6" t="str">
        <f>TEXT(MONTH(COMPOSICIONSALDOneo[[#This Row],[FECHA VTO.]]),"00")</f>
        <v>05</v>
      </c>
      <c r="O38" s="2" t="str">
        <f>+CONCATENATE(COMPOSICIONSALDOneo[[#This Row],[FECH]],"-",COMPOSICIONSALDOneo[[#This Row],[MES2]])</f>
        <v>MAY-05</v>
      </c>
      <c r="P38" s="4" t="str">
        <f t="shared" ca="1" si="13"/>
        <v>VENCIDO 30</v>
      </c>
      <c r="Q38" s="4" t="str">
        <f ca="1">IF(COMPOSICIONSALDOneo[[#This Row],[DIAS DE MORA]]&lt;1,"NO VENCIDO",IF(COMPOSICIONSALDOneo[[#This Row],[DIAS DE MORA]]&gt;=1,"VENCIDO","INCOBRABLE"))</f>
        <v>VENCIDO</v>
      </c>
      <c r="R38" s="61" t="str">
        <f>+VLOOKUP(COMPOSICIONSALDOneo[[#This Row],[Documento tipo]],Tabla7[#All],2,0)</f>
        <v>REPUESTOS</v>
      </c>
      <c r="S38" s="1" t="str">
        <f>+VLOOKUP(COMPOSICIONSALDOneo[[#This Row],[CLIENTE]],Tabla5[],3,FALSE)</f>
        <v>Tucuman</v>
      </c>
      <c r="T38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39" spans="1:20" x14ac:dyDescent="0.3">
      <c r="A39" s="1" t="s">
        <v>94</v>
      </c>
      <c r="B39" s="64">
        <v>46214</v>
      </c>
      <c r="C39" s="1" t="s">
        <v>195</v>
      </c>
      <c r="D39" s="65" t="s">
        <v>247</v>
      </c>
      <c r="E39" s="1" t="s">
        <v>203</v>
      </c>
      <c r="F39" s="1" t="s">
        <v>31</v>
      </c>
      <c r="G39" s="66">
        <v>7109.09</v>
      </c>
      <c r="H39" s="67">
        <v>1012.09</v>
      </c>
      <c r="I39" s="67">
        <v>7109.09</v>
      </c>
      <c r="J39" s="67">
        <v>7109.09</v>
      </c>
      <c r="K39" s="68">
        <v>46244</v>
      </c>
      <c r="L39" s="5">
        <f ca="1">IF(COMPOSICIONSALDOneo[[#This Row],[IMP. PRINCIPAL]] &gt; 0, MAX(0, $A$1-COMPOSICIONSALDOneo[[#This Row],[FECHA VTO.]]), 0)</f>
        <v>0</v>
      </c>
      <c r="M39" s="6" t="str">
        <f>UPPER(TEXT(COMPOSICIONSALDOneo[[#This Row],[FECHA VTO.]],"MMM"))</f>
        <v>AGO</v>
      </c>
      <c r="N39" s="6" t="str">
        <f>TEXT(MONTH(COMPOSICIONSALDOneo[[#This Row],[FECHA VTO.]]),"00")</f>
        <v>08</v>
      </c>
      <c r="O39" s="2" t="str">
        <f>+CONCATENATE(COMPOSICIONSALDOneo[[#This Row],[FECH]],"-",COMPOSICIONSALDOneo[[#This Row],[MES2]])</f>
        <v>AGO-08</v>
      </c>
      <c r="P39" s="4" t="str">
        <f t="shared" ca="1" si="13"/>
        <v>NO VENCIDO</v>
      </c>
      <c r="Q39" s="4" t="str">
        <f ca="1">IF(COMPOSICIONSALDOneo[[#This Row],[DIAS DE MORA]]&lt;1,"NO VENCIDO",IF(COMPOSICIONSALDOneo[[#This Row],[DIAS DE MORA]]&gt;=1,"VENCIDO","INCOBRABLE"))</f>
        <v>NO VENCIDO</v>
      </c>
      <c r="R39" s="61" t="str">
        <f>+VLOOKUP(COMPOSICIONSALDOneo[[#This Row],[Documento tipo]],Tabla7[#All],2,0)</f>
        <v>REPUESTOS</v>
      </c>
      <c r="S39" s="1" t="str">
        <f>+VLOOKUP(COMPOSICIONSALDOneo[[#This Row],[CLIENTE]],Tabla5[],3,FALSE)</f>
        <v>Jujuy</v>
      </c>
      <c r="T39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0" spans="1:20" x14ac:dyDescent="0.3">
      <c r="A40" s="1" t="s">
        <v>91</v>
      </c>
      <c r="B40" s="64">
        <v>46181</v>
      </c>
      <c r="C40" s="1" t="s">
        <v>178</v>
      </c>
      <c r="D40" s="65" t="s">
        <v>248</v>
      </c>
      <c r="E40" s="1" t="s">
        <v>210</v>
      </c>
      <c r="F40" s="1" t="s">
        <v>31</v>
      </c>
      <c r="G40" s="66">
        <v>17386.830000000002</v>
      </c>
      <c r="H40" s="67">
        <v>1033.3599999999999</v>
      </c>
      <c r="I40" s="67">
        <v>17386.830000000002</v>
      </c>
      <c r="J40" s="67">
        <v>17386.830000000002</v>
      </c>
      <c r="K40" s="68">
        <v>46219</v>
      </c>
      <c r="L40" s="5">
        <f ca="1">IF(COMPOSICIONSALDOneo[[#This Row],[IMP. PRINCIPAL]] &gt; 0, MAX(0, $A$1-COMPOSICIONSALDOneo[[#This Row],[FECHA VTO.]]), 0)</f>
        <v>0</v>
      </c>
      <c r="M40" s="6" t="str">
        <f>UPPER(TEXT(COMPOSICIONSALDOneo[[#This Row],[FECHA VTO.]],"MMM"))</f>
        <v>JUL</v>
      </c>
      <c r="N40" s="6" t="str">
        <f>TEXT(MONTH(COMPOSICIONSALDOneo[[#This Row],[FECHA VTO.]]),"00")</f>
        <v>07</v>
      </c>
      <c r="O40" s="2" t="str">
        <f>+CONCATENATE(COMPOSICIONSALDOneo[[#This Row],[FECH]],"-",COMPOSICIONSALDOneo[[#This Row],[MES2]])</f>
        <v>JUL-07</v>
      </c>
      <c r="P40" s="4" t="str">
        <f t="shared" ca="1" si="13"/>
        <v>NO VENCIDO</v>
      </c>
      <c r="Q40" s="4" t="str">
        <f ca="1">IF(COMPOSICIONSALDOneo[[#This Row],[DIAS DE MORA]]&lt;1,"NO VENCIDO",IF(COMPOSICIONSALDOneo[[#This Row],[DIAS DE MORA]]&gt;=1,"VENCIDO","INCOBRABLE"))</f>
        <v>NO VENCIDO</v>
      </c>
      <c r="R40" s="61" t="str">
        <f>+VLOOKUP(COMPOSICIONSALDOneo[[#This Row],[Documento tipo]],Tabla7[#All],2,0)</f>
        <v>REPUESTOS</v>
      </c>
      <c r="S40" s="1" t="str">
        <f>+VLOOKUP(COMPOSICIONSALDOneo[[#This Row],[CLIENTE]],Tabla5[],3,FALSE)</f>
        <v>Jujuy</v>
      </c>
      <c r="T4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1" spans="1:20" x14ac:dyDescent="0.3">
      <c r="A41" s="1" t="s">
        <v>101</v>
      </c>
      <c r="B41" s="64">
        <v>46006</v>
      </c>
      <c r="C41" s="1" t="s">
        <v>181</v>
      </c>
      <c r="D41" s="65" t="s">
        <v>249</v>
      </c>
      <c r="E41" s="1" t="s">
        <v>216</v>
      </c>
      <c r="F41" s="1" t="s">
        <v>30</v>
      </c>
      <c r="G41" s="66">
        <v>363.53</v>
      </c>
      <c r="H41" s="67">
        <v>1</v>
      </c>
      <c r="I41" s="67">
        <v>363.53</v>
      </c>
      <c r="J41" s="67">
        <v>363.53</v>
      </c>
      <c r="K41" s="68">
        <v>46044</v>
      </c>
      <c r="L41" s="5">
        <f ca="1">IF(COMPOSICIONSALDOneo[[#This Row],[IMP. PRINCIPAL]] &gt; 0, MAX(0, $A$1-COMPOSICIONSALDOneo[[#This Row],[FECHA VTO.]]), 0)</f>
        <v>162</v>
      </c>
      <c r="M41" s="6" t="str">
        <f>UPPER(TEXT(COMPOSICIONSALDOneo[[#This Row],[FECHA VTO.]],"MMM"))</f>
        <v>ENE</v>
      </c>
      <c r="N41" s="6" t="str">
        <f>TEXT(MONTH(COMPOSICIONSALDOneo[[#This Row],[FECHA VTO.]]),"00")</f>
        <v>01</v>
      </c>
      <c r="O41" s="2" t="str">
        <f>+CONCATENATE(COMPOSICIONSALDOneo[[#This Row],[FECH]],"-",COMPOSICIONSALDOneo[[#This Row],[MES2]])</f>
        <v>ENE-01</v>
      </c>
      <c r="P41" s="4" t="str">
        <f t="shared" ref="P41:P50" ca="1" si="14">IF(L41=0,"NO VENCIDO",IF(L41&lt;30,"VENCIDO&lt;30",IF(L41&lt;60,"VENCIDO 30",IF(L41&lt;90,"VENCIDO 60",IF(L41&lt;150,"VENCIDO 90","VENCIDO&gt;150")))))</f>
        <v>VENCIDO&gt;150</v>
      </c>
      <c r="Q41" s="4" t="str">
        <f ca="1">IF(COMPOSICIONSALDOneo[[#This Row],[DIAS DE MORA]]&lt;1,"NO VENCIDO",IF(COMPOSICIONSALDOneo[[#This Row],[DIAS DE MORA]]&gt;=1,"VENCIDO","INCOBRABLE"))</f>
        <v>VENCIDO</v>
      </c>
      <c r="R41" s="61" t="str">
        <f>+VLOOKUP(COMPOSICIONSALDOneo[[#This Row],[Documento tipo]],Tabla7[#All],2,0)</f>
        <v>MAQUINAS</v>
      </c>
      <c r="S41" s="1" t="str">
        <f>+VLOOKUP(COMPOSICIONSALDOneo[[#This Row],[CLIENTE]],Tabla5[],3,FALSE)</f>
        <v>Jujuy</v>
      </c>
      <c r="T4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42" spans="1:20" x14ac:dyDescent="0.3">
      <c r="A42" s="1" t="s">
        <v>111</v>
      </c>
      <c r="B42" s="64">
        <v>46223</v>
      </c>
      <c r="C42" s="1" t="s">
        <v>197</v>
      </c>
      <c r="D42" s="65" t="s">
        <v>250</v>
      </c>
      <c r="E42" s="1" t="s">
        <v>205</v>
      </c>
      <c r="F42" s="1" t="s">
        <v>31</v>
      </c>
      <c r="G42" s="66">
        <v>14991.32</v>
      </c>
      <c r="H42" s="67">
        <v>1063.7</v>
      </c>
      <c r="I42" s="67">
        <v>14991.32</v>
      </c>
      <c r="J42" s="67">
        <v>14991.32</v>
      </c>
      <c r="K42" s="68">
        <v>46249</v>
      </c>
      <c r="L42" s="5">
        <f ca="1">IF(COMPOSICIONSALDOneo[[#This Row],[IMP. PRINCIPAL]] &gt; 0, MAX(0, $A$1-COMPOSICIONSALDOneo[[#This Row],[FECHA VTO.]]), 0)</f>
        <v>0</v>
      </c>
      <c r="M42" s="6" t="str">
        <f>UPPER(TEXT(COMPOSICIONSALDOneo[[#This Row],[FECHA VTO.]],"MMM"))</f>
        <v>AGO</v>
      </c>
      <c r="N42" s="6" t="str">
        <f>TEXT(MONTH(COMPOSICIONSALDOneo[[#This Row],[FECHA VTO.]]),"00")</f>
        <v>08</v>
      </c>
      <c r="O42" s="2" t="str">
        <f>+CONCATENATE(COMPOSICIONSALDOneo[[#This Row],[FECH]],"-",COMPOSICIONSALDOneo[[#This Row],[MES2]])</f>
        <v>AGO-08</v>
      </c>
      <c r="P42" s="4" t="str">
        <f t="shared" ca="1" si="14"/>
        <v>NO VENCIDO</v>
      </c>
      <c r="Q42" s="4" t="str">
        <f ca="1">IF(COMPOSICIONSALDOneo[[#This Row],[DIAS DE MORA]]&lt;1,"NO VENCIDO",IF(COMPOSICIONSALDOneo[[#This Row],[DIAS DE MORA]]&gt;=1,"VENCIDO","INCOBRABLE"))</f>
        <v>NO VENCIDO</v>
      </c>
      <c r="R42" s="61" t="str">
        <f>+VLOOKUP(COMPOSICIONSALDOneo[[#This Row],[Documento tipo]],Tabla7[#All],2,0)</f>
        <v>COBRANZAS</v>
      </c>
      <c r="S42" s="1" t="str">
        <f>+VLOOKUP(COMPOSICIONSALDOneo[[#This Row],[CLIENTE]],Tabla5[],3,FALSE)</f>
        <v>Jujuy</v>
      </c>
      <c r="T4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3" spans="1:20" x14ac:dyDescent="0.3">
      <c r="A43" s="1" t="s">
        <v>111</v>
      </c>
      <c r="B43" s="64">
        <v>46206</v>
      </c>
      <c r="C43" s="1" t="s">
        <v>180</v>
      </c>
      <c r="D43" s="65" t="s">
        <v>251</v>
      </c>
      <c r="E43" s="1" t="s">
        <v>219</v>
      </c>
      <c r="F43" s="1" t="s">
        <v>82</v>
      </c>
      <c r="G43" s="66">
        <v>1131.96</v>
      </c>
      <c r="H43" s="67">
        <v>1</v>
      </c>
      <c r="I43" s="67">
        <v>1131.96</v>
      </c>
      <c r="J43" s="67">
        <v>1131.96</v>
      </c>
      <c r="K43" s="68">
        <v>46230</v>
      </c>
      <c r="L43" s="5">
        <f ca="1">IF(COMPOSICIONSALDOneo[[#This Row],[IMP. PRINCIPAL]] &gt; 0, MAX(0, $A$1-COMPOSICIONSALDOneo[[#This Row],[FECHA VTO.]]), 0)</f>
        <v>0</v>
      </c>
      <c r="M43" s="6" t="str">
        <f>UPPER(TEXT(COMPOSICIONSALDOneo[[#This Row],[FECHA VTO.]],"MMM"))</f>
        <v>JUL</v>
      </c>
      <c r="N43" s="6" t="str">
        <f>TEXT(MONTH(COMPOSICIONSALDOneo[[#This Row],[FECHA VTO.]]),"00")</f>
        <v>07</v>
      </c>
      <c r="O43" s="2" t="str">
        <f>+CONCATENATE(COMPOSICIONSALDOneo[[#This Row],[FECH]],"-",COMPOSICIONSALDOneo[[#This Row],[MES2]])</f>
        <v>JUL-07</v>
      </c>
      <c r="P43" s="4" t="str">
        <f t="shared" ca="1" si="14"/>
        <v>NO VENCIDO</v>
      </c>
      <c r="Q43" s="4" t="str">
        <f ca="1">IF(COMPOSICIONSALDOneo[[#This Row],[DIAS DE MORA]]&lt;1,"NO VENCIDO",IF(COMPOSICIONSALDOneo[[#This Row],[DIAS DE MORA]]&gt;=1,"VENCIDO","INCOBRABLE"))</f>
        <v>NO VENCIDO</v>
      </c>
      <c r="R43" s="61" t="str">
        <f>+VLOOKUP(COMPOSICIONSALDOneo[[#This Row],[Documento tipo]],Tabla7[#All],2,0)</f>
        <v>COBRANZAS</v>
      </c>
      <c r="S43" s="1" t="str">
        <f>+VLOOKUP(COMPOSICIONSALDOneo[[#This Row],[CLIENTE]],Tabla5[],3,FALSE)</f>
        <v>Jujuy</v>
      </c>
      <c r="T4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4" spans="1:20" x14ac:dyDescent="0.3">
      <c r="A44" s="1" t="s">
        <v>115</v>
      </c>
      <c r="B44" s="64">
        <v>46133</v>
      </c>
      <c r="C44" s="1" t="s">
        <v>195</v>
      </c>
      <c r="D44" s="65" t="s">
        <v>252</v>
      </c>
      <c r="E44" s="1" t="s">
        <v>203</v>
      </c>
      <c r="F44" s="1" t="s">
        <v>31</v>
      </c>
      <c r="G44" s="66">
        <v>1870.43</v>
      </c>
      <c r="H44" s="67">
        <v>1080.8</v>
      </c>
      <c r="I44" s="67">
        <v>1870.43</v>
      </c>
      <c r="J44" s="67">
        <v>1870.43</v>
      </c>
      <c r="K44" s="68">
        <v>46161</v>
      </c>
      <c r="L44" s="5">
        <f ca="1">IF(COMPOSICIONSALDOneo[[#This Row],[IMP. PRINCIPAL]] &gt; 0, MAX(0, $A$1-COMPOSICIONSALDOneo[[#This Row],[FECHA VTO.]]), 0)</f>
        <v>45</v>
      </c>
      <c r="M44" s="6" t="str">
        <f>UPPER(TEXT(COMPOSICIONSALDOneo[[#This Row],[FECHA VTO.]],"MMM"))</f>
        <v>MAY</v>
      </c>
      <c r="N44" s="6" t="str">
        <f>TEXT(MONTH(COMPOSICIONSALDOneo[[#This Row],[FECHA VTO.]]),"00")</f>
        <v>05</v>
      </c>
      <c r="O44" s="2" t="str">
        <f>+CONCATENATE(COMPOSICIONSALDOneo[[#This Row],[FECH]],"-",COMPOSICIONSALDOneo[[#This Row],[MES2]])</f>
        <v>MAY-05</v>
      </c>
      <c r="P44" s="4" t="str">
        <f t="shared" ca="1" si="14"/>
        <v>VENCIDO 30</v>
      </c>
      <c r="Q44" s="4" t="str">
        <f ca="1">IF(COMPOSICIONSALDOneo[[#This Row],[DIAS DE MORA]]&lt;1,"NO VENCIDO",IF(COMPOSICIONSALDOneo[[#This Row],[DIAS DE MORA]]&gt;=1,"VENCIDO","INCOBRABLE"))</f>
        <v>VENCIDO</v>
      </c>
      <c r="R44" s="61" t="str">
        <f>+VLOOKUP(COMPOSICIONSALDOneo[[#This Row],[Documento tipo]],Tabla7[#All],2,0)</f>
        <v>MAQUINAS</v>
      </c>
      <c r="S44" s="1" t="str">
        <f>+VLOOKUP(COMPOSICIONSALDOneo[[#This Row],[CLIENTE]],Tabla5[],3,FALSE)</f>
        <v>Jujuy</v>
      </c>
      <c r="T44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45" spans="1:20" x14ac:dyDescent="0.3">
      <c r="A45" s="1" t="s">
        <v>98</v>
      </c>
      <c r="B45" s="64">
        <v>46216</v>
      </c>
      <c r="C45" s="1" t="s">
        <v>168</v>
      </c>
      <c r="D45" s="65" t="s">
        <v>253</v>
      </c>
      <c r="E45" s="1" t="s">
        <v>212</v>
      </c>
      <c r="F45" s="1" t="s">
        <v>82</v>
      </c>
      <c r="G45" s="66">
        <v>1882.05</v>
      </c>
      <c r="H45" s="67">
        <v>1</v>
      </c>
      <c r="I45" s="67">
        <v>1882.05</v>
      </c>
      <c r="J45" s="67">
        <v>1882.05</v>
      </c>
      <c r="K45" s="68">
        <v>46253</v>
      </c>
      <c r="L45" s="5">
        <f ca="1">IF(COMPOSICIONSALDOneo[[#This Row],[IMP. PRINCIPAL]] &gt; 0, MAX(0, $A$1-COMPOSICIONSALDOneo[[#This Row],[FECHA VTO.]]), 0)</f>
        <v>0</v>
      </c>
      <c r="M45" s="6" t="str">
        <f>UPPER(TEXT(COMPOSICIONSALDOneo[[#This Row],[FECHA VTO.]],"MMM"))</f>
        <v>AGO</v>
      </c>
      <c r="N45" s="6" t="str">
        <f>TEXT(MONTH(COMPOSICIONSALDOneo[[#This Row],[FECHA VTO.]]),"00")</f>
        <v>08</v>
      </c>
      <c r="O45" s="2" t="str">
        <f>+CONCATENATE(COMPOSICIONSALDOneo[[#This Row],[FECH]],"-",COMPOSICIONSALDOneo[[#This Row],[MES2]])</f>
        <v>AGO-08</v>
      </c>
      <c r="P45" s="4" t="str">
        <f t="shared" ca="1" si="14"/>
        <v>NO VENCIDO</v>
      </c>
      <c r="Q45" s="4" t="str">
        <f ca="1">IF(COMPOSICIONSALDOneo[[#This Row],[DIAS DE MORA]]&lt;1,"NO VENCIDO",IF(COMPOSICIONSALDOneo[[#This Row],[DIAS DE MORA]]&gt;=1,"VENCIDO","INCOBRABLE"))</f>
        <v>NO VENCIDO</v>
      </c>
      <c r="R45" s="61" t="str">
        <f>+VLOOKUP(COMPOSICIONSALDOneo[[#This Row],[Documento tipo]],Tabla7[#All],2,0)</f>
        <v>MAQUINAS</v>
      </c>
      <c r="S45" s="1" t="str">
        <f>+VLOOKUP(COMPOSICIONSALDOneo[[#This Row],[CLIENTE]],Tabla5[],3,FALSE)</f>
        <v>Catamarca</v>
      </c>
      <c r="T45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6" spans="1:20" x14ac:dyDescent="0.3">
      <c r="A46" s="1" t="s">
        <v>98</v>
      </c>
      <c r="B46" s="64">
        <v>46234</v>
      </c>
      <c r="C46" s="1" t="s">
        <v>163</v>
      </c>
      <c r="D46" s="65" t="s">
        <v>254</v>
      </c>
      <c r="E46" s="1" t="s">
        <v>210</v>
      </c>
      <c r="F46" s="1" t="s">
        <v>30</v>
      </c>
      <c r="G46" s="66">
        <v>12434.04</v>
      </c>
      <c r="H46" s="67">
        <v>1</v>
      </c>
      <c r="I46" s="67">
        <v>12434.04</v>
      </c>
      <c r="J46" s="67">
        <v>12434.04</v>
      </c>
      <c r="K46" s="68">
        <v>46256</v>
      </c>
      <c r="L46" s="5">
        <f ca="1">IF(COMPOSICIONSALDOneo[[#This Row],[IMP. PRINCIPAL]] &gt; 0, MAX(0, $A$1-COMPOSICIONSALDOneo[[#This Row],[FECHA VTO.]]), 0)</f>
        <v>0</v>
      </c>
      <c r="M46" s="6" t="str">
        <f>UPPER(TEXT(COMPOSICIONSALDOneo[[#This Row],[FECHA VTO.]],"MMM"))</f>
        <v>AGO</v>
      </c>
      <c r="N46" s="6" t="str">
        <f>TEXT(MONTH(COMPOSICIONSALDOneo[[#This Row],[FECHA VTO.]]),"00")</f>
        <v>08</v>
      </c>
      <c r="O46" s="2" t="str">
        <f>+CONCATENATE(COMPOSICIONSALDOneo[[#This Row],[FECH]],"-",COMPOSICIONSALDOneo[[#This Row],[MES2]])</f>
        <v>AGO-08</v>
      </c>
      <c r="P46" s="4" t="str">
        <f t="shared" ca="1" si="14"/>
        <v>NO VENCIDO</v>
      </c>
      <c r="Q46" s="4" t="str">
        <f ca="1">IF(COMPOSICIONSALDOneo[[#This Row],[DIAS DE MORA]]&lt;1,"NO VENCIDO",IF(COMPOSICIONSALDOneo[[#This Row],[DIAS DE MORA]]&gt;=1,"VENCIDO","INCOBRABLE"))</f>
        <v>NO VENCIDO</v>
      </c>
      <c r="R46" s="61" t="str">
        <f>+VLOOKUP(COMPOSICIONSALDOneo[[#This Row],[Documento tipo]],Tabla7[#All],2,0)</f>
        <v>MAQUINAS</v>
      </c>
      <c r="S46" s="1" t="str">
        <f>+VLOOKUP(COMPOSICIONSALDOneo[[#This Row],[CLIENTE]],Tabla5[],3,FALSE)</f>
        <v>Santiago del Estero</v>
      </c>
      <c r="T46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7" spans="1:20" x14ac:dyDescent="0.3">
      <c r="A47" s="1" t="s">
        <v>109</v>
      </c>
      <c r="B47" s="64">
        <v>46065</v>
      </c>
      <c r="C47" s="1" t="s">
        <v>271</v>
      </c>
      <c r="D47" s="65" t="s">
        <v>255</v>
      </c>
      <c r="E47" s="1" t="s">
        <v>216</v>
      </c>
      <c r="F47" s="1" t="s">
        <v>31</v>
      </c>
      <c r="G47" s="66">
        <v>36.14</v>
      </c>
      <c r="H47" s="67">
        <v>1005.76</v>
      </c>
      <c r="I47" s="67">
        <v>36.14</v>
      </c>
      <c r="J47" s="67">
        <v>36.14</v>
      </c>
      <c r="K47" s="68">
        <v>46089</v>
      </c>
      <c r="L47" s="5">
        <f ca="1">IF(COMPOSICIONSALDOneo[[#This Row],[IMP. PRINCIPAL]] &gt; 0, MAX(0, $A$1-COMPOSICIONSALDOneo[[#This Row],[FECHA VTO.]]), 0)</f>
        <v>117</v>
      </c>
      <c r="M47" s="6" t="str">
        <f>UPPER(TEXT(COMPOSICIONSALDOneo[[#This Row],[FECHA VTO.]],"MMM"))</f>
        <v>MAR</v>
      </c>
      <c r="N47" s="6" t="str">
        <f>TEXT(MONTH(COMPOSICIONSALDOneo[[#This Row],[FECHA VTO.]]),"00")</f>
        <v>03</v>
      </c>
      <c r="O47" s="2" t="str">
        <f>+CONCATENATE(COMPOSICIONSALDOneo[[#This Row],[FECH]],"-",COMPOSICIONSALDOneo[[#This Row],[MES2]])</f>
        <v>MAR-03</v>
      </c>
      <c r="P47" s="4" t="str">
        <f t="shared" ca="1" si="14"/>
        <v>VENCIDO 90</v>
      </c>
      <c r="Q47" s="4" t="str">
        <f ca="1">IF(COMPOSICIONSALDOneo[[#This Row],[DIAS DE MORA]]&lt;1,"NO VENCIDO",IF(COMPOSICIONSALDOneo[[#This Row],[DIAS DE MORA]]&gt;=1,"VENCIDO","INCOBRABLE"))</f>
        <v>VENCIDO</v>
      </c>
      <c r="R47" s="61" t="str">
        <f>+VLOOKUP(COMPOSICIONSALDOneo[[#This Row],[Documento tipo]],Tabla7[#All],2,0)</f>
        <v>MAQUINAS</v>
      </c>
      <c r="S47" s="1" t="str">
        <f>+VLOOKUP(COMPOSICIONSALDOneo[[#This Row],[CLIENTE]],Tabla5[],3,FALSE)</f>
        <v>Santiago del Estero</v>
      </c>
      <c r="T47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48" spans="1:20" x14ac:dyDescent="0.3">
      <c r="A48" s="1" t="s">
        <v>109</v>
      </c>
      <c r="B48" s="64">
        <v>46209</v>
      </c>
      <c r="C48" s="1" t="s">
        <v>186</v>
      </c>
      <c r="D48" s="65" t="s">
        <v>256</v>
      </c>
      <c r="E48" s="1" t="s">
        <v>203</v>
      </c>
      <c r="F48" s="1" t="s">
        <v>82</v>
      </c>
      <c r="G48" s="66">
        <v>3228.85</v>
      </c>
      <c r="H48" s="67">
        <v>1</v>
      </c>
      <c r="I48" s="67">
        <v>3228.85</v>
      </c>
      <c r="J48" s="67">
        <v>3228.85</v>
      </c>
      <c r="K48" s="68">
        <v>46250</v>
      </c>
      <c r="L48" s="5">
        <f ca="1">IF(COMPOSICIONSALDOneo[[#This Row],[IMP. PRINCIPAL]] &gt; 0, MAX(0, $A$1-COMPOSICIONSALDOneo[[#This Row],[FECHA VTO.]]), 0)</f>
        <v>0</v>
      </c>
      <c r="M48" s="6" t="str">
        <f>UPPER(TEXT(COMPOSICIONSALDOneo[[#This Row],[FECHA VTO.]],"MMM"))</f>
        <v>AGO</v>
      </c>
      <c r="N48" s="6" t="str">
        <f>TEXT(MONTH(COMPOSICIONSALDOneo[[#This Row],[FECHA VTO.]]),"00")</f>
        <v>08</v>
      </c>
      <c r="O48" s="2" t="str">
        <f>+CONCATENATE(COMPOSICIONSALDOneo[[#This Row],[FECH]],"-",COMPOSICIONSALDOneo[[#This Row],[MES2]])</f>
        <v>AGO-08</v>
      </c>
      <c r="P48" s="4" t="str">
        <f t="shared" ca="1" si="14"/>
        <v>NO VENCIDO</v>
      </c>
      <c r="Q48" s="4" t="str">
        <f ca="1">IF(COMPOSICIONSALDOneo[[#This Row],[DIAS DE MORA]]&lt;1,"NO VENCIDO",IF(COMPOSICIONSALDOneo[[#This Row],[DIAS DE MORA]]&gt;=1,"VENCIDO","INCOBRABLE"))</f>
        <v>NO VENCIDO</v>
      </c>
      <c r="R48" s="61" t="str">
        <f>+VLOOKUP(COMPOSICIONSALDOneo[[#This Row],[Documento tipo]],Tabla7[#All],2,0)</f>
        <v>MAQUINAS</v>
      </c>
      <c r="S48" s="1" t="str">
        <f>+VLOOKUP(COMPOSICIONSALDOneo[[#This Row],[CLIENTE]],Tabla5[],3,FALSE)</f>
        <v>Tucuman</v>
      </c>
      <c r="T48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49" spans="1:20" x14ac:dyDescent="0.3">
      <c r="A49" s="1" t="s">
        <v>113</v>
      </c>
      <c r="B49" s="64">
        <v>46144</v>
      </c>
      <c r="C49" s="1" t="s">
        <v>193</v>
      </c>
      <c r="D49" s="65" t="s">
        <v>257</v>
      </c>
      <c r="E49" s="1" t="s">
        <v>205</v>
      </c>
      <c r="F49" s="1" t="s">
        <v>30</v>
      </c>
      <c r="G49" s="66">
        <v>206.18</v>
      </c>
      <c r="H49" s="67">
        <v>1</v>
      </c>
      <c r="I49" s="67">
        <v>206.18</v>
      </c>
      <c r="J49" s="67">
        <v>206.18</v>
      </c>
      <c r="K49" s="68">
        <v>46169</v>
      </c>
      <c r="L49" s="5">
        <f ca="1">IF(COMPOSICIONSALDOneo[[#This Row],[IMP. PRINCIPAL]] &gt; 0, MAX(0, $A$1-COMPOSICIONSALDOneo[[#This Row],[FECHA VTO.]]), 0)</f>
        <v>37</v>
      </c>
      <c r="M49" s="6" t="str">
        <f>UPPER(TEXT(COMPOSICIONSALDOneo[[#This Row],[FECHA VTO.]],"MMM"))</f>
        <v>MAY</v>
      </c>
      <c r="N49" s="6" t="str">
        <f>TEXT(MONTH(COMPOSICIONSALDOneo[[#This Row],[FECHA VTO.]]),"00")</f>
        <v>05</v>
      </c>
      <c r="O49" s="2" t="str">
        <f>+CONCATENATE(COMPOSICIONSALDOneo[[#This Row],[FECH]],"-",COMPOSICIONSALDOneo[[#This Row],[MES2]])</f>
        <v>MAY-05</v>
      </c>
      <c r="P49" s="4" t="str">
        <f t="shared" ca="1" si="14"/>
        <v>VENCIDO 30</v>
      </c>
      <c r="Q49" s="4" t="str">
        <f ca="1">IF(COMPOSICIONSALDOneo[[#This Row],[DIAS DE MORA]]&lt;1,"NO VENCIDO",IF(COMPOSICIONSALDOneo[[#This Row],[DIAS DE MORA]]&gt;=1,"VENCIDO","INCOBRABLE"))</f>
        <v>VENCIDO</v>
      </c>
      <c r="R49" s="61" t="str">
        <f>+VLOOKUP(COMPOSICIONSALDOneo[[#This Row],[Documento tipo]],Tabla7[#All],2,0)</f>
        <v>MAQUINAS</v>
      </c>
      <c r="S49" s="1" t="str">
        <f>+VLOOKUP(COMPOSICIONSALDOneo[[#This Row],[CLIENTE]],Tabla5[],3,FALSE)</f>
        <v>Tucuman</v>
      </c>
      <c r="T49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0" spans="1:20" x14ac:dyDescent="0.3">
      <c r="A50" s="1" t="s">
        <v>99</v>
      </c>
      <c r="B50" s="64">
        <v>46249</v>
      </c>
      <c r="C50" s="1" t="s">
        <v>262</v>
      </c>
      <c r="D50" s="65" t="s">
        <v>258</v>
      </c>
      <c r="E50" s="1" t="s">
        <v>205</v>
      </c>
      <c r="F50" s="1" t="s">
        <v>30</v>
      </c>
      <c r="G50" s="66">
        <v>16365.06</v>
      </c>
      <c r="H50" s="67">
        <v>1</v>
      </c>
      <c r="I50" s="67">
        <v>16365.06</v>
      </c>
      <c r="J50" s="67">
        <v>16365.06</v>
      </c>
      <c r="K50" s="68">
        <v>46269</v>
      </c>
      <c r="L50" s="5">
        <f ca="1">IF(COMPOSICIONSALDOneo[[#This Row],[IMP. PRINCIPAL]] &gt; 0, MAX(0, $A$1-COMPOSICIONSALDOneo[[#This Row],[FECHA VTO.]]), 0)</f>
        <v>0</v>
      </c>
      <c r="M50" s="6" t="str">
        <f>UPPER(TEXT(COMPOSICIONSALDOneo[[#This Row],[FECHA VTO.]],"MMM"))</f>
        <v>SEPT</v>
      </c>
      <c r="N50" s="6" t="str">
        <f>TEXT(MONTH(COMPOSICIONSALDOneo[[#This Row],[FECHA VTO.]]),"00")</f>
        <v>09</v>
      </c>
      <c r="O50" s="2" t="str">
        <f>+CONCATENATE(COMPOSICIONSALDOneo[[#This Row],[FECH]],"-",COMPOSICIONSALDOneo[[#This Row],[MES2]])</f>
        <v>SEPT-09</v>
      </c>
      <c r="P50" s="4" t="str">
        <f t="shared" ca="1" si="14"/>
        <v>NO VENCIDO</v>
      </c>
      <c r="Q50" s="4" t="str">
        <f ca="1">IF(COMPOSICIONSALDOneo[[#This Row],[DIAS DE MORA]]&lt;1,"NO VENCIDO",IF(COMPOSICIONSALDOneo[[#This Row],[DIAS DE MORA]]&gt;=1,"VENCIDO","INCOBRABLE"))</f>
        <v>NO VENCIDO</v>
      </c>
      <c r="R50" s="61" t="str">
        <f>+VLOOKUP(COMPOSICIONSALDOneo[[#This Row],[Documento tipo]],Tabla7[#All],2,0)</f>
        <v>SERVICIOS</v>
      </c>
      <c r="S50" s="1" t="str">
        <f>+VLOOKUP(COMPOSICIONSALDOneo[[#This Row],[CLIENTE]],Tabla5[],3,FALSE)</f>
        <v>Catamarca</v>
      </c>
      <c r="T5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51" spans="1:20" x14ac:dyDescent="0.3">
      <c r="A51" s="1" t="s">
        <v>88</v>
      </c>
      <c r="B51" s="64">
        <v>46213</v>
      </c>
      <c r="C51" s="1" t="s">
        <v>263</v>
      </c>
      <c r="D51" s="65" t="s">
        <v>272</v>
      </c>
      <c r="E51" s="1" t="s">
        <v>205</v>
      </c>
      <c r="F51" s="1" t="s">
        <v>82</v>
      </c>
      <c r="G51" s="66">
        <v>2758.48</v>
      </c>
      <c r="H51" s="67">
        <v>1</v>
      </c>
      <c r="I51" s="67">
        <v>2758.48</v>
      </c>
      <c r="J51" s="67">
        <v>2758.48</v>
      </c>
      <c r="K51" s="68">
        <v>46255</v>
      </c>
      <c r="L51" s="5">
        <f ca="1">IF(COMPOSICIONSALDOneo[[#This Row],[IMP. PRINCIPAL]] &gt; 0, MAX(0, $A$1-COMPOSICIONSALDOneo[[#This Row],[FECHA VTO.]]), 0)</f>
        <v>0</v>
      </c>
      <c r="M51" s="6" t="str">
        <f>UPPER(TEXT(COMPOSICIONSALDOneo[[#This Row],[FECHA VTO.]],"MMM"))</f>
        <v>AGO</v>
      </c>
      <c r="N51" s="6" t="str">
        <f>TEXT(MONTH(COMPOSICIONSALDOneo[[#This Row],[FECHA VTO.]]),"00")</f>
        <v>08</v>
      </c>
      <c r="O51" s="2" t="str">
        <f>+CONCATENATE(COMPOSICIONSALDOneo[[#This Row],[FECH]],"-",COMPOSICIONSALDOneo[[#This Row],[MES2]])</f>
        <v>AGO-08</v>
      </c>
      <c r="P51" s="4" t="str">
        <f t="shared" ref="P51:P63" ca="1" si="15">IF(L51=0,"NO VENCIDO",IF(L51&lt;30,"VENCIDO&lt;30",IF(L51&lt;60,"VENCIDO 30",IF(L51&lt;90,"VENCIDO 60",IF(L51&lt;150,"VENCIDO 90","VENCIDO&gt;150")))))</f>
        <v>NO VENCIDO</v>
      </c>
      <c r="Q51" s="4" t="str">
        <f ca="1">IF(COMPOSICIONSALDOneo[[#This Row],[DIAS DE MORA]]&lt;1,"NO VENCIDO",IF(COMPOSICIONSALDOneo[[#This Row],[DIAS DE MORA]]&gt;=1,"VENCIDO","INCOBRABLE"))</f>
        <v>NO VENCIDO</v>
      </c>
      <c r="R51" s="61" t="str">
        <f>+VLOOKUP(COMPOSICIONSALDOneo[[#This Row],[Documento tipo]],Tabla7[#All],2,0)</f>
        <v>COBRANZAS</v>
      </c>
      <c r="S51" s="1" t="str">
        <f>+VLOOKUP(COMPOSICIONSALDOneo[[#This Row],[CLIENTE]],Tabla5[],3,FALSE)</f>
        <v>Salta</v>
      </c>
      <c r="T5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52" spans="1:20" x14ac:dyDescent="0.3">
      <c r="A52" s="1" t="s">
        <v>104</v>
      </c>
      <c r="B52" s="64">
        <v>46122</v>
      </c>
      <c r="C52" s="1" t="s">
        <v>265</v>
      </c>
      <c r="D52" s="65" t="s">
        <v>273</v>
      </c>
      <c r="E52" s="1" t="s">
        <v>214</v>
      </c>
      <c r="F52" s="1" t="s">
        <v>82</v>
      </c>
      <c r="G52" s="66">
        <v>1095.9000000000001</v>
      </c>
      <c r="H52" s="67">
        <v>1</v>
      </c>
      <c r="I52" s="67">
        <v>1095.9000000000001</v>
      </c>
      <c r="J52" s="67">
        <v>1095.9000000000001</v>
      </c>
      <c r="K52" s="68">
        <v>46162</v>
      </c>
      <c r="L52" s="5">
        <f ca="1">IF(COMPOSICIONSALDOneo[[#This Row],[IMP. PRINCIPAL]] &gt; 0, MAX(0, $A$1-COMPOSICIONSALDOneo[[#This Row],[FECHA VTO.]]), 0)</f>
        <v>44</v>
      </c>
      <c r="M52" s="6" t="str">
        <f>UPPER(TEXT(COMPOSICIONSALDOneo[[#This Row],[FECHA VTO.]],"MMM"))</f>
        <v>MAY</v>
      </c>
      <c r="N52" s="6" t="str">
        <f>TEXT(MONTH(COMPOSICIONSALDOneo[[#This Row],[FECHA VTO.]]),"00")</f>
        <v>05</v>
      </c>
      <c r="O52" s="2" t="str">
        <f>+CONCATENATE(COMPOSICIONSALDOneo[[#This Row],[FECH]],"-",COMPOSICIONSALDOneo[[#This Row],[MES2]])</f>
        <v>MAY-05</v>
      </c>
      <c r="P52" s="4" t="str">
        <f t="shared" ca="1" si="15"/>
        <v>VENCIDO 30</v>
      </c>
      <c r="Q52" s="4" t="str">
        <f ca="1">IF(COMPOSICIONSALDOneo[[#This Row],[DIAS DE MORA]]&lt;1,"NO VENCIDO",IF(COMPOSICIONSALDOneo[[#This Row],[DIAS DE MORA]]&gt;=1,"VENCIDO","INCOBRABLE"))</f>
        <v>VENCIDO</v>
      </c>
      <c r="R52" s="61" t="str">
        <f>+VLOOKUP(COMPOSICIONSALDOneo[[#This Row],[Documento tipo]],Tabla7[#All],2,0)</f>
        <v>COBRANZAS</v>
      </c>
      <c r="S52" s="1" t="str">
        <f>+VLOOKUP(COMPOSICIONSALDOneo[[#This Row],[CLIENTE]],Tabla5[],3,FALSE)</f>
        <v>Catamarca</v>
      </c>
      <c r="T5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3" spans="1:20" x14ac:dyDescent="0.3">
      <c r="A53" s="1" t="s">
        <v>105</v>
      </c>
      <c r="B53" s="64">
        <v>46162</v>
      </c>
      <c r="C53" s="1" t="s">
        <v>266</v>
      </c>
      <c r="D53" s="65" t="s">
        <v>274</v>
      </c>
      <c r="E53" s="1" t="s">
        <v>208</v>
      </c>
      <c r="F53" s="1" t="s">
        <v>82</v>
      </c>
      <c r="G53" s="66">
        <v>8974.51</v>
      </c>
      <c r="H53" s="67">
        <v>1</v>
      </c>
      <c r="I53" s="67">
        <v>8974.51</v>
      </c>
      <c r="J53" s="67">
        <v>8974.51</v>
      </c>
      <c r="K53" s="68">
        <v>46199</v>
      </c>
      <c r="L53" s="5">
        <f ca="1">IF(COMPOSICIONSALDOneo[[#This Row],[IMP. PRINCIPAL]] &gt; 0, MAX(0, $A$1-COMPOSICIONSALDOneo[[#This Row],[FECHA VTO.]]), 0)</f>
        <v>7</v>
      </c>
      <c r="M53" s="6" t="str">
        <f>UPPER(TEXT(COMPOSICIONSALDOneo[[#This Row],[FECHA VTO.]],"MMM"))</f>
        <v>JUN</v>
      </c>
      <c r="N53" s="6" t="str">
        <f>TEXT(MONTH(COMPOSICIONSALDOneo[[#This Row],[FECHA VTO.]]),"00")</f>
        <v>06</v>
      </c>
      <c r="O53" s="2" t="str">
        <f>+CONCATENATE(COMPOSICIONSALDOneo[[#This Row],[FECH]],"-",COMPOSICIONSALDOneo[[#This Row],[MES2]])</f>
        <v>JUN-06</v>
      </c>
      <c r="P53" s="4" t="str">
        <f t="shared" ca="1" si="15"/>
        <v>VENCIDO&lt;30</v>
      </c>
      <c r="Q53" s="4" t="str">
        <f ca="1">IF(COMPOSICIONSALDOneo[[#This Row],[DIAS DE MORA]]&lt;1,"NO VENCIDO",IF(COMPOSICIONSALDOneo[[#This Row],[DIAS DE MORA]]&gt;=1,"VENCIDO","INCOBRABLE"))</f>
        <v>VENCIDO</v>
      </c>
      <c r="R53" s="61" t="str">
        <f>+VLOOKUP(COMPOSICIONSALDOneo[[#This Row],[Documento tipo]],Tabla7[#All],2,0)</f>
        <v>REPUESTOS</v>
      </c>
      <c r="S53" s="1" t="str">
        <f>+VLOOKUP(COMPOSICIONSALDOneo[[#This Row],[CLIENTE]],Tabla5[],3,FALSE)</f>
        <v>Tucuman</v>
      </c>
      <c r="T5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4" spans="1:20" x14ac:dyDescent="0.3">
      <c r="A54" s="1" t="s">
        <v>99</v>
      </c>
      <c r="B54" s="64">
        <v>46105</v>
      </c>
      <c r="C54" s="1" t="s">
        <v>188</v>
      </c>
      <c r="D54" s="65" t="s">
        <v>275</v>
      </c>
      <c r="E54" s="1" t="s">
        <v>235</v>
      </c>
      <c r="F54" s="1" t="s">
        <v>82</v>
      </c>
      <c r="G54" s="66">
        <v>203.41</v>
      </c>
      <c r="H54" s="67">
        <v>1</v>
      </c>
      <c r="I54" s="67">
        <v>203.41</v>
      </c>
      <c r="J54" s="67">
        <v>203.41</v>
      </c>
      <c r="K54" s="68">
        <v>46133</v>
      </c>
      <c r="L54" s="5">
        <f ca="1">IF(COMPOSICIONSALDOneo[[#This Row],[IMP. PRINCIPAL]] &gt; 0, MAX(0, $A$1-COMPOSICIONSALDOneo[[#This Row],[FECHA VTO.]]), 0)</f>
        <v>73</v>
      </c>
      <c r="M54" s="6" t="str">
        <f>UPPER(TEXT(COMPOSICIONSALDOneo[[#This Row],[FECHA VTO.]],"MMM"))</f>
        <v>ABR</v>
      </c>
      <c r="N54" s="6" t="str">
        <f>TEXT(MONTH(COMPOSICIONSALDOneo[[#This Row],[FECHA VTO.]]),"00")</f>
        <v>04</v>
      </c>
      <c r="O54" s="2" t="str">
        <f>+CONCATENATE(COMPOSICIONSALDOneo[[#This Row],[FECH]],"-",COMPOSICIONSALDOneo[[#This Row],[MES2]])</f>
        <v>ABR-04</v>
      </c>
      <c r="P54" s="4" t="str">
        <f t="shared" ca="1" si="15"/>
        <v>VENCIDO 60</v>
      </c>
      <c r="Q54" s="4" t="str">
        <f ca="1">IF(COMPOSICIONSALDOneo[[#This Row],[DIAS DE MORA]]&lt;1,"NO VENCIDO",IF(COMPOSICIONSALDOneo[[#This Row],[DIAS DE MORA]]&gt;=1,"VENCIDO","INCOBRABLE"))</f>
        <v>VENCIDO</v>
      </c>
      <c r="R54" s="61" t="str">
        <f>+VLOOKUP(COMPOSICIONSALDOneo[[#This Row],[Documento tipo]],Tabla7[#All],2,0)</f>
        <v>SERVICIOS</v>
      </c>
      <c r="S54" s="1" t="str">
        <f>+VLOOKUP(COMPOSICIONSALDOneo[[#This Row],[CLIENTE]],Tabla5[],3,FALSE)</f>
        <v>Salta</v>
      </c>
      <c r="T54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5" spans="1:20" x14ac:dyDescent="0.3">
      <c r="A55" s="1" t="s">
        <v>104</v>
      </c>
      <c r="B55" s="64">
        <v>46136</v>
      </c>
      <c r="C55" s="1" t="s">
        <v>183</v>
      </c>
      <c r="D55" s="65" t="s">
        <v>276</v>
      </c>
      <c r="E55" s="1" t="s">
        <v>205</v>
      </c>
      <c r="F55" s="1" t="s">
        <v>82</v>
      </c>
      <c r="G55" s="66">
        <v>1405.27</v>
      </c>
      <c r="H55" s="67">
        <v>1</v>
      </c>
      <c r="I55" s="67">
        <v>1405.27</v>
      </c>
      <c r="J55" s="67">
        <v>1405.27</v>
      </c>
      <c r="K55" s="68">
        <v>46164</v>
      </c>
      <c r="L55" s="5">
        <f ca="1">IF(COMPOSICIONSALDOneo[[#This Row],[IMP. PRINCIPAL]] &gt; 0, MAX(0, $A$1-COMPOSICIONSALDOneo[[#This Row],[FECHA VTO.]]), 0)</f>
        <v>42</v>
      </c>
      <c r="M55" s="6" t="str">
        <f>UPPER(TEXT(COMPOSICIONSALDOneo[[#This Row],[FECHA VTO.]],"MMM"))</f>
        <v>MAY</v>
      </c>
      <c r="N55" s="6" t="str">
        <f>TEXT(MONTH(COMPOSICIONSALDOneo[[#This Row],[FECHA VTO.]]),"00")</f>
        <v>05</v>
      </c>
      <c r="O55" s="2" t="str">
        <f>+CONCATENATE(COMPOSICIONSALDOneo[[#This Row],[FECH]],"-",COMPOSICIONSALDOneo[[#This Row],[MES2]])</f>
        <v>MAY-05</v>
      </c>
      <c r="P55" s="4" t="str">
        <f t="shared" ca="1" si="15"/>
        <v>VENCIDO 30</v>
      </c>
      <c r="Q55" s="4" t="str">
        <f ca="1">IF(COMPOSICIONSALDOneo[[#This Row],[DIAS DE MORA]]&lt;1,"NO VENCIDO",IF(COMPOSICIONSALDOneo[[#This Row],[DIAS DE MORA]]&gt;=1,"VENCIDO","INCOBRABLE"))</f>
        <v>VENCIDO</v>
      </c>
      <c r="R55" s="61" t="str">
        <f>+VLOOKUP(COMPOSICIONSALDOneo[[#This Row],[Documento tipo]],Tabla7[#All],2,0)</f>
        <v>COBRANZAS</v>
      </c>
      <c r="S55" s="1" t="str">
        <f>+VLOOKUP(COMPOSICIONSALDOneo[[#This Row],[CLIENTE]],Tabla5[],3,FALSE)</f>
        <v>Jujuy</v>
      </c>
      <c r="T55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6" spans="1:20" x14ac:dyDescent="0.3">
      <c r="A56" s="1" t="s">
        <v>116</v>
      </c>
      <c r="B56" s="64">
        <v>46112</v>
      </c>
      <c r="C56" s="1" t="s">
        <v>197</v>
      </c>
      <c r="D56" s="65" t="s">
        <v>277</v>
      </c>
      <c r="E56" s="1" t="s">
        <v>214</v>
      </c>
      <c r="F56" s="1" t="s">
        <v>82</v>
      </c>
      <c r="G56" s="66">
        <v>400.16</v>
      </c>
      <c r="H56" s="67">
        <v>1</v>
      </c>
      <c r="I56" s="67">
        <v>400.16</v>
      </c>
      <c r="J56" s="67">
        <v>400.16</v>
      </c>
      <c r="K56" s="68">
        <v>46135</v>
      </c>
      <c r="L56" s="5">
        <f ca="1">IF(COMPOSICIONSALDOneo[[#This Row],[IMP. PRINCIPAL]] &gt; 0, MAX(0, $A$1-COMPOSICIONSALDOneo[[#This Row],[FECHA VTO.]]), 0)</f>
        <v>71</v>
      </c>
      <c r="M56" s="6" t="str">
        <f>UPPER(TEXT(COMPOSICIONSALDOneo[[#This Row],[FECHA VTO.]],"MMM"))</f>
        <v>ABR</v>
      </c>
      <c r="N56" s="6" t="str">
        <f>TEXT(MONTH(COMPOSICIONSALDOneo[[#This Row],[FECHA VTO.]]),"00")</f>
        <v>04</v>
      </c>
      <c r="O56" s="2" t="str">
        <f>+CONCATENATE(COMPOSICIONSALDOneo[[#This Row],[FECH]],"-",COMPOSICIONSALDOneo[[#This Row],[MES2]])</f>
        <v>ABR-04</v>
      </c>
      <c r="P56" s="4" t="str">
        <f t="shared" ca="1" si="15"/>
        <v>VENCIDO 60</v>
      </c>
      <c r="Q56" s="4" t="str">
        <f ca="1">IF(COMPOSICIONSALDOneo[[#This Row],[DIAS DE MORA]]&lt;1,"NO VENCIDO",IF(COMPOSICIONSALDOneo[[#This Row],[DIAS DE MORA]]&gt;=1,"VENCIDO","INCOBRABLE"))</f>
        <v>VENCIDO</v>
      </c>
      <c r="R56" s="61" t="str">
        <f>+VLOOKUP(COMPOSICIONSALDOneo[[#This Row],[Documento tipo]],Tabla7[#All],2,0)</f>
        <v>MAQUINAS</v>
      </c>
      <c r="S56" s="1" t="str">
        <f>+VLOOKUP(COMPOSICIONSALDOneo[[#This Row],[CLIENTE]],Tabla5[],3,FALSE)</f>
        <v>Jujuy</v>
      </c>
      <c r="T56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7" spans="1:20" x14ac:dyDescent="0.3">
      <c r="A57" s="1" t="s">
        <v>112</v>
      </c>
      <c r="B57" s="64">
        <v>46146</v>
      </c>
      <c r="C57" s="1" t="s">
        <v>192</v>
      </c>
      <c r="D57" s="65" t="s">
        <v>278</v>
      </c>
      <c r="E57" s="1" t="s">
        <v>235</v>
      </c>
      <c r="F57" s="1" t="s">
        <v>82</v>
      </c>
      <c r="G57" s="66">
        <v>2274.17</v>
      </c>
      <c r="H57" s="67">
        <v>1</v>
      </c>
      <c r="I57" s="67">
        <v>2274.17</v>
      </c>
      <c r="J57" s="67">
        <v>2274.17</v>
      </c>
      <c r="K57" s="68">
        <v>46187</v>
      </c>
      <c r="L57" s="5">
        <f ca="1">IF(COMPOSICIONSALDOneo[[#This Row],[IMP. PRINCIPAL]] &gt; 0, MAX(0, $A$1-COMPOSICIONSALDOneo[[#This Row],[FECHA VTO.]]), 0)</f>
        <v>19</v>
      </c>
      <c r="M57" s="6" t="str">
        <f>UPPER(TEXT(COMPOSICIONSALDOneo[[#This Row],[FECHA VTO.]],"MMM"))</f>
        <v>JUN</v>
      </c>
      <c r="N57" s="6" t="str">
        <f>TEXT(MONTH(COMPOSICIONSALDOneo[[#This Row],[FECHA VTO.]]),"00")</f>
        <v>06</v>
      </c>
      <c r="O57" s="2" t="str">
        <f>+CONCATENATE(COMPOSICIONSALDOneo[[#This Row],[FECH]],"-",COMPOSICIONSALDOneo[[#This Row],[MES2]])</f>
        <v>JUN-06</v>
      </c>
      <c r="P57" s="4" t="str">
        <f t="shared" ca="1" si="15"/>
        <v>VENCIDO&lt;30</v>
      </c>
      <c r="Q57" s="4" t="str">
        <f ca="1">IF(COMPOSICIONSALDOneo[[#This Row],[DIAS DE MORA]]&lt;1,"NO VENCIDO",IF(COMPOSICIONSALDOneo[[#This Row],[DIAS DE MORA]]&gt;=1,"VENCIDO","INCOBRABLE"))</f>
        <v>VENCIDO</v>
      </c>
      <c r="R57" s="61" t="str">
        <f>+VLOOKUP(COMPOSICIONSALDOneo[[#This Row],[Documento tipo]],Tabla7[#All],2,0)</f>
        <v>COBRANZAS</v>
      </c>
      <c r="S57" s="1" t="str">
        <f>+VLOOKUP(COMPOSICIONSALDOneo[[#This Row],[CLIENTE]],Tabla5[],3,FALSE)</f>
        <v>Santiago del Estero</v>
      </c>
      <c r="T57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58" spans="1:20" x14ac:dyDescent="0.3">
      <c r="A58" s="1" t="s">
        <v>104</v>
      </c>
      <c r="B58" s="64">
        <v>46214</v>
      </c>
      <c r="C58" s="1" t="s">
        <v>183</v>
      </c>
      <c r="D58" s="65" t="s">
        <v>279</v>
      </c>
      <c r="E58" s="1" t="s">
        <v>219</v>
      </c>
      <c r="F58" s="1" t="s">
        <v>31</v>
      </c>
      <c r="G58" s="66">
        <v>14092.12</v>
      </c>
      <c r="H58" s="67">
        <v>1050.6300000000001</v>
      </c>
      <c r="I58" s="67">
        <v>14092.12</v>
      </c>
      <c r="J58" s="67">
        <v>14092.12</v>
      </c>
      <c r="K58" s="68">
        <v>46239</v>
      </c>
      <c r="L58" s="5">
        <f ca="1">IF(COMPOSICIONSALDOneo[[#This Row],[IMP. PRINCIPAL]] &gt; 0, MAX(0, $A$1-COMPOSICIONSALDOneo[[#This Row],[FECHA VTO.]]), 0)</f>
        <v>0</v>
      </c>
      <c r="M58" s="6" t="str">
        <f>UPPER(TEXT(COMPOSICIONSALDOneo[[#This Row],[FECHA VTO.]],"MMM"))</f>
        <v>AGO</v>
      </c>
      <c r="N58" s="6" t="str">
        <f>TEXT(MONTH(COMPOSICIONSALDOneo[[#This Row],[FECHA VTO.]]),"00")</f>
        <v>08</v>
      </c>
      <c r="O58" s="2" t="str">
        <f>+CONCATENATE(COMPOSICIONSALDOneo[[#This Row],[FECH]],"-",COMPOSICIONSALDOneo[[#This Row],[MES2]])</f>
        <v>AGO-08</v>
      </c>
      <c r="P58" s="4" t="str">
        <f t="shared" ca="1" si="15"/>
        <v>NO VENCIDO</v>
      </c>
      <c r="Q58" s="4" t="str">
        <f ca="1">IF(COMPOSICIONSALDOneo[[#This Row],[DIAS DE MORA]]&lt;1,"NO VENCIDO",IF(COMPOSICIONSALDOneo[[#This Row],[DIAS DE MORA]]&gt;=1,"VENCIDO","INCOBRABLE"))</f>
        <v>NO VENCIDO</v>
      </c>
      <c r="R58" s="61" t="str">
        <f>+VLOOKUP(COMPOSICIONSALDOneo[[#This Row],[Documento tipo]],Tabla7[#All],2,0)</f>
        <v>COBRANZAS</v>
      </c>
      <c r="S58" s="1" t="str">
        <f>+VLOOKUP(COMPOSICIONSALDOneo[[#This Row],[CLIENTE]],Tabla5[],3,FALSE)</f>
        <v>Jujuy</v>
      </c>
      <c r="T58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59" spans="1:20" x14ac:dyDescent="0.3">
      <c r="A59" s="1" t="s">
        <v>110</v>
      </c>
      <c r="B59" s="64">
        <v>46234</v>
      </c>
      <c r="C59" s="1" t="s">
        <v>270</v>
      </c>
      <c r="D59" s="65" t="s">
        <v>280</v>
      </c>
      <c r="E59" s="1" t="s">
        <v>210</v>
      </c>
      <c r="F59" s="1" t="s">
        <v>82</v>
      </c>
      <c r="G59" s="66">
        <v>15176.14</v>
      </c>
      <c r="H59" s="67">
        <v>1</v>
      </c>
      <c r="I59" s="67">
        <v>15176.14</v>
      </c>
      <c r="J59" s="67">
        <v>15176.14</v>
      </c>
      <c r="K59" s="68">
        <v>46276</v>
      </c>
      <c r="L59" s="5">
        <f ca="1">IF(COMPOSICIONSALDOneo[[#This Row],[IMP. PRINCIPAL]] &gt; 0, MAX(0, $A$1-COMPOSICIONSALDOneo[[#This Row],[FECHA VTO.]]), 0)</f>
        <v>0</v>
      </c>
      <c r="M59" s="6" t="str">
        <f>UPPER(TEXT(COMPOSICIONSALDOneo[[#This Row],[FECHA VTO.]],"MMM"))</f>
        <v>SEPT</v>
      </c>
      <c r="N59" s="6" t="str">
        <f>TEXT(MONTH(COMPOSICIONSALDOneo[[#This Row],[FECHA VTO.]]),"00")</f>
        <v>09</v>
      </c>
      <c r="O59" s="2" t="str">
        <f>+CONCATENATE(COMPOSICIONSALDOneo[[#This Row],[FECH]],"-",COMPOSICIONSALDOneo[[#This Row],[MES2]])</f>
        <v>SEPT-09</v>
      </c>
      <c r="P59" s="4" t="str">
        <f t="shared" ca="1" si="15"/>
        <v>NO VENCIDO</v>
      </c>
      <c r="Q59" s="4" t="str">
        <f ca="1">IF(COMPOSICIONSALDOneo[[#This Row],[DIAS DE MORA]]&lt;1,"NO VENCIDO",IF(COMPOSICIONSALDOneo[[#This Row],[DIAS DE MORA]]&gt;=1,"VENCIDO","INCOBRABLE"))</f>
        <v>NO VENCIDO</v>
      </c>
      <c r="R59" s="61" t="str">
        <f>+VLOOKUP(COMPOSICIONSALDOneo[[#This Row],[Documento tipo]],Tabla7[#All],2,0)</f>
        <v>REPUESTOS</v>
      </c>
      <c r="S59" s="1" t="str">
        <f>+VLOOKUP(COMPOSICIONSALDOneo[[#This Row],[CLIENTE]],Tabla5[],3,FALSE)</f>
        <v>Catamarca</v>
      </c>
      <c r="T59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60" spans="1:20" x14ac:dyDescent="0.3">
      <c r="A60" s="1" t="s">
        <v>100</v>
      </c>
      <c r="B60" s="64">
        <v>46021</v>
      </c>
      <c r="C60" s="1" t="s">
        <v>281</v>
      </c>
      <c r="D60" s="65" t="s">
        <v>282</v>
      </c>
      <c r="E60" s="1" t="s">
        <v>235</v>
      </c>
      <c r="F60" s="1" t="s">
        <v>30</v>
      </c>
      <c r="G60" s="66">
        <v>195.66</v>
      </c>
      <c r="H60" s="67">
        <v>1</v>
      </c>
      <c r="I60" s="67">
        <v>195.66</v>
      </c>
      <c r="J60" s="67">
        <v>195.66</v>
      </c>
      <c r="K60" s="68">
        <v>46053</v>
      </c>
      <c r="L60" s="5">
        <f ca="1">IF(COMPOSICIONSALDOneo[[#This Row],[IMP. PRINCIPAL]] &gt; 0, MAX(0, $A$1-COMPOSICIONSALDOneo[[#This Row],[FECHA VTO.]]), 0)</f>
        <v>153</v>
      </c>
      <c r="M60" s="6" t="str">
        <f>UPPER(TEXT(COMPOSICIONSALDOneo[[#This Row],[FECHA VTO.]],"MMM"))</f>
        <v>ENE</v>
      </c>
      <c r="N60" s="6" t="str">
        <f>TEXT(MONTH(COMPOSICIONSALDOneo[[#This Row],[FECHA VTO.]]),"00")</f>
        <v>01</v>
      </c>
      <c r="O60" s="2" t="str">
        <f>+CONCATENATE(COMPOSICIONSALDOneo[[#This Row],[FECH]],"-",COMPOSICIONSALDOneo[[#This Row],[MES2]])</f>
        <v>ENE-01</v>
      </c>
      <c r="P60" s="4" t="str">
        <f t="shared" ca="1" si="15"/>
        <v>VENCIDO&gt;150</v>
      </c>
      <c r="Q60" s="4" t="str">
        <f ca="1">IF(COMPOSICIONSALDOneo[[#This Row],[DIAS DE MORA]]&lt;1,"NO VENCIDO",IF(COMPOSICIONSALDOneo[[#This Row],[DIAS DE MORA]]&gt;=1,"VENCIDO","INCOBRABLE"))</f>
        <v>VENCIDO</v>
      </c>
      <c r="R60" s="61" t="str">
        <f>+VLOOKUP(COMPOSICIONSALDOneo[[#This Row],[Documento tipo]],Tabla7[#All],2,0)</f>
        <v>MAQUINAS</v>
      </c>
      <c r="S60" s="1" t="str">
        <f>+VLOOKUP(COMPOSICIONSALDOneo[[#This Row],[CLIENTE]],Tabla5[],3,FALSE)</f>
        <v>Santiago del Estero</v>
      </c>
      <c r="T60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61" spans="1:20" x14ac:dyDescent="0.3">
      <c r="A61" s="1" t="s">
        <v>115</v>
      </c>
      <c r="B61" s="64">
        <v>46169</v>
      </c>
      <c r="C61" s="1" t="s">
        <v>269</v>
      </c>
      <c r="D61" s="65" t="s">
        <v>283</v>
      </c>
      <c r="E61" s="1" t="s">
        <v>214</v>
      </c>
      <c r="F61" s="1" t="s">
        <v>31</v>
      </c>
      <c r="G61" s="66">
        <v>8933.48</v>
      </c>
      <c r="H61" s="67">
        <v>1079.54</v>
      </c>
      <c r="I61" s="67">
        <v>8933.48</v>
      </c>
      <c r="J61" s="67">
        <v>8933.48</v>
      </c>
      <c r="K61" s="68">
        <v>46206</v>
      </c>
      <c r="L61" s="5">
        <f ca="1">IF(COMPOSICIONSALDOneo[[#This Row],[IMP. PRINCIPAL]] &gt; 0, MAX(0, $A$1-COMPOSICIONSALDOneo[[#This Row],[FECHA VTO.]]), 0)</f>
        <v>0</v>
      </c>
      <c r="M61" s="6" t="str">
        <f>UPPER(TEXT(COMPOSICIONSALDOneo[[#This Row],[FECHA VTO.]],"MMM"))</f>
        <v>JUL</v>
      </c>
      <c r="N61" s="6" t="str">
        <f>TEXT(MONTH(COMPOSICIONSALDOneo[[#This Row],[FECHA VTO.]]),"00")</f>
        <v>07</v>
      </c>
      <c r="O61" s="2" t="str">
        <f>+CONCATENATE(COMPOSICIONSALDOneo[[#This Row],[FECH]],"-",COMPOSICIONSALDOneo[[#This Row],[MES2]])</f>
        <v>JUL-07</v>
      </c>
      <c r="P61" s="4" t="str">
        <f t="shared" ca="1" si="15"/>
        <v>NO VENCIDO</v>
      </c>
      <c r="Q61" s="4" t="str">
        <f ca="1">IF(COMPOSICIONSALDOneo[[#This Row],[DIAS DE MORA]]&lt;1,"NO VENCIDO",IF(COMPOSICIONSALDOneo[[#This Row],[DIAS DE MORA]]&gt;=1,"VENCIDO","INCOBRABLE"))</f>
        <v>NO VENCIDO</v>
      </c>
      <c r="R61" s="61" t="str">
        <f>+VLOOKUP(COMPOSICIONSALDOneo[[#This Row],[Documento tipo]],Tabla7[#All],2,0)</f>
        <v>MAQUINAS</v>
      </c>
      <c r="S61" s="1" t="str">
        <f>+VLOOKUP(COMPOSICIONSALDOneo[[#This Row],[CLIENTE]],Tabla5[],3,FALSE)</f>
        <v>Tucuman</v>
      </c>
      <c r="T61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No vencido</v>
      </c>
    </row>
    <row r="62" spans="1:20" x14ac:dyDescent="0.3">
      <c r="A62" s="1" t="s">
        <v>97</v>
      </c>
      <c r="B62" s="64">
        <v>46123</v>
      </c>
      <c r="C62" s="1" t="s">
        <v>165</v>
      </c>
      <c r="D62" s="65" t="s">
        <v>284</v>
      </c>
      <c r="E62" s="1" t="s">
        <v>219</v>
      </c>
      <c r="F62" s="1" t="s">
        <v>82</v>
      </c>
      <c r="G62" s="66">
        <v>128.88999999999999</v>
      </c>
      <c r="H62" s="67">
        <v>1</v>
      </c>
      <c r="I62" s="67">
        <v>128.88999999999999</v>
      </c>
      <c r="J62" s="67">
        <v>128.88999999999999</v>
      </c>
      <c r="K62" s="68">
        <v>46141</v>
      </c>
      <c r="L62" s="5">
        <f ca="1">IF(COMPOSICIONSALDOneo[[#This Row],[IMP. PRINCIPAL]] &gt; 0, MAX(0, $A$1-COMPOSICIONSALDOneo[[#This Row],[FECHA VTO.]]), 0)</f>
        <v>65</v>
      </c>
      <c r="M62" s="6" t="str">
        <f>UPPER(TEXT(COMPOSICIONSALDOneo[[#This Row],[FECHA VTO.]],"MMM"))</f>
        <v>ABR</v>
      </c>
      <c r="N62" s="6" t="str">
        <f>TEXT(MONTH(COMPOSICIONSALDOneo[[#This Row],[FECHA VTO.]]),"00")</f>
        <v>04</v>
      </c>
      <c r="O62" s="2" t="str">
        <f>+CONCATENATE(COMPOSICIONSALDOneo[[#This Row],[FECH]],"-",COMPOSICIONSALDOneo[[#This Row],[MES2]])</f>
        <v>ABR-04</v>
      </c>
      <c r="P62" s="4" t="str">
        <f t="shared" ca="1" si="15"/>
        <v>VENCIDO 60</v>
      </c>
      <c r="Q62" s="4" t="str">
        <f ca="1">IF(COMPOSICIONSALDOneo[[#This Row],[DIAS DE MORA]]&lt;1,"NO VENCIDO",IF(COMPOSICIONSALDOneo[[#This Row],[DIAS DE MORA]]&gt;=1,"VENCIDO","INCOBRABLE"))</f>
        <v>VENCIDO</v>
      </c>
      <c r="R62" s="61" t="str">
        <f>+VLOOKUP(COMPOSICIONSALDOneo[[#This Row],[Documento tipo]],Tabla7[#All],2,0)</f>
        <v>SERVICIOS</v>
      </c>
      <c r="S62" s="1" t="str">
        <f>+VLOOKUP(COMPOSICIONSALDOneo[[#This Row],[CLIENTE]],Tabla5[],3,FALSE)</f>
        <v>Catamarca</v>
      </c>
      <c r="T62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63" spans="1:20" x14ac:dyDescent="0.3">
      <c r="A63" s="1" t="s">
        <v>95</v>
      </c>
      <c r="B63" s="64">
        <v>46140</v>
      </c>
      <c r="C63" s="1" t="s">
        <v>285</v>
      </c>
      <c r="D63" s="65" t="s">
        <v>286</v>
      </c>
      <c r="E63" s="1" t="s">
        <v>216</v>
      </c>
      <c r="F63" s="1" t="s">
        <v>82</v>
      </c>
      <c r="G63" s="66">
        <v>1574.21</v>
      </c>
      <c r="H63" s="67">
        <v>1</v>
      </c>
      <c r="I63" s="67">
        <v>1574.21</v>
      </c>
      <c r="J63" s="67">
        <v>1574.21</v>
      </c>
      <c r="K63" s="68">
        <v>46161</v>
      </c>
      <c r="L63" s="5">
        <f ca="1">IF(COMPOSICIONSALDOneo[[#This Row],[IMP. PRINCIPAL]] &gt; 0, MAX(0, $A$1-COMPOSICIONSALDOneo[[#This Row],[FECHA VTO.]]), 0)</f>
        <v>45</v>
      </c>
      <c r="M63" s="6" t="str">
        <f>UPPER(TEXT(COMPOSICIONSALDOneo[[#This Row],[FECHA VTO.]],"MMM"))</f>
        <v>MAY</v>
      </c>
      <c r="N63" s="6" t="str">
        <f>TEXT(MONTH(COMPOSICIONSALDOneo[[#This Row],[FECHA VTO.]]),"00")</f>
        <v>05</v>
      </c>
      <c r="O63" s="2" t="str">
        <f>+CONCATENATE(COMPOSICIONSALDOneo[[#This Row],[FECH]],"-",COMPOSICIONSALDOneo[[#This Row],[MES2]])</f>
        <v>MAY-05</v>
      </c>
      <c r="P63" s="4" t="str">
        <f t="shared" ca="1" si="15"/>
        <v>VENCIDO 30</v>
      </c>
      <c r="Q63" s="4" t="str">
        <f ca="1">IF(COMPOSICIONSALDOneo[[#This Row],[DIAS DE MORA]]&lt;1,"NO VENCIDO",IF(COMPOSICIONSALDOneo[[#This Row],[DIAS DE MORA]]&gt;=1,"VENCIDO","INCOBRABLE"))</f>
        <v>VENCIDO</v>
      </c>
      <c r="R63" s="61" t="str">
        <f>+VLOOKUP(COMPOSICIONSALDOneo[[#This Row],[Documento tipo]],Tabla7[#All],2,0)</f>
        <v>MAQUINAS</v>
      </c>
      <c r="S63" s="1" t="str">
        <f>+VLOOKUP(COMPOSICIONSALDOneo[[#This Row],[CLIENTE]],Tabla5[],3,FALSE)</f>
        <v>Jujuy</v>
      </c>
      <c r="T63" s="1" t="str">
        <f ca="1">IF(COMPOSICIONSALDOneo[[#This Row],[IMP. PRINCIPAL]]&lt;0, "No vencido", IF(AND(COMPOSICIONSALDOneo[[#This Row],[FECHA VTO.]]-TODAY()&gt;=1, COMPOSICIONSALDOneo[[#This Row],[FECHA VTO.]]-TODAY()&lt;=5), "Vence 2-5 días", IF(COMPOSICIONSALDOneo[[#This Row],[FECHA VTO.]]-TODAY()&lt;0, "Vencido", "No vencido")))</f>
        <v>Vencido</v>
      </c>
    </row>
    <row r="64" spans="1:20" x14ac:dyDescent="0.3">
      <c r="S64" t="s">
        <v>121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E3C30-BFBC-4208-A6AD-B9DA46415ECC}">
  <dimension ref="A1:O15"/>
  <sheetViews>
    <sheetView showGridLines="0" workbookViewId="0">
      <selection activeCell="G10" sqref="G10"/>
    </sheetView>
  </sheetViews>
  <sheetFormatPr baseColWidth="10" defaultColWidth="0" defaultRowHeight="14.4" x14ac:dyDescent="0.3"/>
  <cols>
    <col min="1" max="1" width="14" customWidth="1"/>
    <col min="2" max="2" width="13.5546875" customWidth="1"/>
    <col min="3" max="7" width="18.77734375" customWidth="1"/>
    <col min="8" max="8" width="17.77734375" customWidth="1"/>
    <col min="9" max="10" width="18.77734375" customWidth="1"/>
    <col min="11" max="11" width="2.77734375" customWidth="1"/>
    <col min="12" max="12" width="11" customWidth="1"/>
    <col min="13" max="13" width="13.6640625" customWidth="1"/>
    <col min="14" max="14" width="8.6640625" customWidth="1"/>
    <col min="15" max="15" width="0" hidden="1" customWidth="1"/>
    <col min="16" max="16384" width="8.6640625" hidden="1"/>
  </cols>
  <sheetData>
    <row r="1" spans="1:14" ht="54" customHeight="1" x14ac:dyDescent="0.3">
      <c r="A1" s="134" t="s">
        <v>142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2" spans="1:14" ht="13.8" customHeight="1" x14ac:dyDescent="0.3">
      <c r="A2" s="133" t="s">
        <v>150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r="3" spans="1:14" ht="27" x14ac:dyDescent="0.3">
      <c r="A3" s="107" t="s">
        <v>141</v>
      </c>
      <c r="B3" s="108" t="s">
        <v>140</v>
      </c>
      <c r="C3" s="108" t="s">
        <v>139</v>
      </c>
      <c r="D3" s="108" t="s">
        <v>138</v>
      </c>
      <c r="E3" s="108" t="s">
        <v>137</v>
      </c>
      <c r="F3" s="108" t="s">
        <v>133</v>
      </c>
      <c r="G3" s="108" t="s">
        <v>136</v>
      </c>
      <c r="H3" s="108" t="s">
        <v>135</v>
      </c>
      <c r="I3" s="108" t="s">
        <v>134</v>
      </c>
      <c r="J3" s="109" t="s">
        <v>133</v>
      </c>
      <c r="L3" s="110" t="s">
        <v>132</v>
      </c>
      <c r="M3" s="111" t="s">
        <v>131</v>
      </c>
    </row>
    <row r="4" spans="1:14" x14ac:dyDescent="0.3">
      <c r="A4" s="85">
        <v>46053</v>
      </c>
      <c r="B4" s="86" t="s">
        <v>130</v>
      </c>
      <c r="C4" s="87">
        <v>330415</v>
      </c>
      <c r="D4" s="87">
        <v>205444</v>
      </c>
      <c r="E4" s="88">
        <f t="shared" ref="E4:E9" si="0">IFERROR(D4/C4,"-")</f>
        <v>0.6217756457787933</v>
      </c>
      <c r="F4" s="89" t="s">
        <v>129</v>
      </c>
      <c r="G4" s="90">
        <v>25.8</v>
      </c>
      <c r="H4" s="89" t="s">
        <v>129</v>
      </c>
      <c r="I4" s="91">
        <v>0</v>
      </c>
      <c r="J4" s="92" t="s">
        <v>129</v>
      </c>
      <c r="L4" s="112">
        <v>30</v>
      </c>
      <c r="M4" s="113">
        <v>5.0000000000000001E-3</v>
      </c>
    </row>
    <row r="5" spans="1:14" x14ac:dyDescent="0.3">
      <c r="A5" s="85">
        <v>46081</v>
      </c>
      <c r="B5" s="86" t="s">
        <v>128</v>
      </c>
      <c r="C5" s="87">
        <v>207482</v>
      </c>
      <c r="D5" s="87">
        <v>88198</v>
      </c>
      <c r="E5" s="88">
        <f t="shared" si="0"/>
        <v>0.42508747746792491</v>
      </c>
      <c r="F5" s="93">
        <f t="shared" ref="F5:F14" si="1">IF(E5="","-",IFERROR(E5-E4,"-"))</f>
        <v>-0.19668816831086838</v>
      </c>
      <c r="G5" s="90">
        <v>27.1</v>
      </c>
      <c r="H5" s="89">
        <f t="shared" ref="H5:H14" si="2">IF(G5="","-",IFERROR(G5-G4,"-"))</f>
        <v>1.3000000000000007</v>
      </c>
      <c r="I5" s="91">
        <v>0</v>
      </c>
      <c r="J5" s="94">
        <f t="shared" ref="J5:J14" si="3">IF(I5="","-",IFERROR(I5-I4,"-"))</f>
        <v>0</v>
      </c>
      <c r="L5" s="112">
        <v>30</v>
      </c>
      <c r="M5" s="113">
        <v>5.0000000000000001E-3</v>
      </c>
    </row>
    <row r="6" spans="1:14" x14ac:dyDescent="0.3">
      <c r="A6" s="85">
        <v>46112</v>
      </c>
      <c r="B6" s="86" t="s">
        <v>127</v>
      </c>
      <c r="C6" s="87">
        <v>198795</v>
      </c>
      <c r="D6" s="87">
        <v>127627</v>
      </c>
      <c r="E6" s="88">
        <f t="shared" si="0"/>
        <v>0.642003068487638</v>
      </c>
      <c r="F6" s="93">
        <f t="shared" si="1"/>
        <v>0.21691559101971308</v>
      </c>
      <c r="G6" s="90">
        <v>28.5</v>
      </c>
      <c r="H6" s="89">
        <f t="shared" si="2"/>
        <v>1.3999999999999986</v>
      </c>
      <c r="I6" s="91">
        <v>2.9999999999999997E-4</v>
      </c>
      <c r="J6" s="94">
        <f t="shared" si="3"/>
        <v>2.9999999999999997E-4</v>
      </c>
      <c r="L6" s="112">
        <v>30</v>
      </c>
      <c r="M6" s="113">
        <v>5.0000000000000001E-3</v>
      </c>
    </row>
    <row r="7" spans="1:14" x14ac:dyDescent="0.3">
      <c r="A7" s="85">
        <v>46142</v>
      </c>
      <c r="B7" s="86" t="s">
        <v>126</v>
      </c>
      <c r="C7" s="87">
        <v>237477</v>
      </c>
      <c r="D7" s="87">
        <v>132384</v>
      </c>
      <c r="E7" s="88">
        <f t="shared" si="0"/>
        <v>0.55746030141866365</v>
      </c>
      <c r="F7" s="93">
        <f t="shared" si="1"/>
        <v>-8.4542767068974345E-2</v>
      </c>
      <c r="G7" s="90">
        <v>31.5</v>
      </c>
      <c r="H7" s="89">
        <f t="shared" si="2"/>
        <v>3</v>
      </c>
      <c r="I7" s="91">
        <v>2.8999999999999998E-3</v>
      </c>
      <c r="J7" s="94">
        <f t="shared" si="3"/>
        <v>2.5999999999999999E-3</v>
      </c>
      <c r="L7" s="112">
        <v>30</v>
      </c>
      <c r="M7" s="113">
        <v>5.0000000000000001E-3</v>
      </c>
    </row>
    <row r="8" spans="1:14" x14ac:dyDescent="0.3">
      <c r="A8" s="85">
        <v>46173</v>
      </c>
      <c r="B8" s="86" t="s">
        <v>125</v>
      </c>
      <c r="C8" s="87">
        <v>342893</v>
      </c>
      <c r="D8" s="87">
        <v>214337</v>
      </c>
      <c r="E8" s="88">
        <f t="shared" si="0"/>
        <v>0.62508420994304348</v>
      </c>
      <c r="F8" s="93">
        <f t="shared" si="1"/>
        <v>6.7623908524379828E-2</v>
      </c>
      <c r="G8" s="90">
        <v>31.5</v>
      </c>
      <c r="H8" s="89">
        <f t="shared" si="2"/>
        <v>0</v>
      </c>
      <c r="I8" s="91">
        <v>1.1000000000000001E-3</v>
      </c>
      <c r="J8" s="94">
        <f t="shared" si="3"/>
        <v>-1.7999999999999997E-3</v>
      </c>
      <c r="L8" s="112">
        <v>30</v>
      </c>
      <c r="M8" s="113">
        <v>5.0000000000000001E-3</v>
      </c>
    </row>
    <row r="9" spans="1:14" x14ac:dyDescent="0.3">
      <c r="A9" s="85">
        <v>46203</v>
      </c>
      <c r="B9" s="86" t="s">
        <v>124</v>
      </c>
      <c r="C9" s="87">
        <v>310066</v>
      </c>
      <c r="D9" s="87">
        <v>72956</v>
      </c>
      <c r="E9" s="88">
        <f t="shared" si="0"/>
        <v>0.23529184109189658</v>
      </c>
      <c r="F9" s="93">
        <f t="shared" si="1"/>
        <v>-0.38979236885114688</v>
      </c>
      <c r="G9" s="90">
        <v>26.1</v>
      </c>
      <c r="H9" s="89">
        <f t="shared" si="2"/>
        <v>-5.3999999999999986</v>
      </c>
      <c r="I9" s="91">
        <v>1.5E-3</v>
      </c>
      <c r="J9" s="94">
        <f t="shared" si="3"/>
        <v>3.9999999999999996E-4</v>
      </c>
      <c r="L9" s="112">
        <v>30</v>
      </c>
      <c r="M9" s="113">
        <v>5.0000000000000001E-3</v>
      </c>
    </row>
    <row r="10" spans="1:14" x14ac:dyDescent="0.3">
      <c r="A10" s="85">
        <v>46234</v>
      </c>
      <c r="B10" s="86" t="s">
        <v>151</v>
      </c>
      <c r="C10" s="87"/>
      <c r="D10" s="95"/>
      <c r="E10" s="96" t="str">
        <f>IF(C10="","-",IFERROR(D10/C10,"-"))</f>
        <v>-</v>
      </c>
      <c r="F10" s="97" t="str">
        <f t="shared" si="1"/>
        <v>-</v>
      </c>
      <c r="G10" s="95"/>
      <c r="H10" s="98" t="str">
        <f t="shared" si="2"/>
        <v>-</v>
      </c>
      <c r="I10" s="95"/>
      <c r="J10" s="99" t="str">
        <f t="shared" si="3"/>
        <v>-</v>
      </c>
      <c r="L10" s="112">
        <v>30</v>
      </c>
      <c r="M10" s="113">
        <v>5.0000000000000001E-3</v>
      </c>
    </row>
    <row r="11" spans="1:14" x14ac:dyDescent="0.3">
      <c r="A11" s="85">
        <v>46265</v>
      </c>
      <c r="B11" s="86" t="s">
        <v>152</v>
      </c>
      <c r="C11" s="87"/>
      <c r="D11" s="95"/>
      <c r="E11" s="96" t="str">
        <f>IF(C11="","-",IFERROR(D11/C11,"-"))</f>
        <v>-</v>
      </c>
      <c r="F11" s="97" t="str">
        <f t="shared" si="1"/>
        <v>-</v>
      </c>
      <c r="G11" s="95"/>
      <c r="H11" s="98" t="str">
        <f t="shared" si="2"/>
        <v>-</v>
      </c>
      <c r="I11" s="95"/>
      <c r="J11" s="99" t="str">
        <f t="shared" si="3"/>
        <v>-</v>
      </c>
      <c r="L11" s="112">
        <v>30</v>
      </c>
      <c r="M11" s="113">
        <v>5.0000000000000001E-3</v>
      </c>
    </row>
    <row r="12" spans="1:14" x14ac:dyDescent="0.3">
      <c r="A12" s="85">
        <v>46295</v>
      </c>
      <c r="B12" s="86" t="s">
        <v>153</v>
      </c>
      <c r="C12" s="87"/>
      <c r="D12" s="95"/>
      <c r="E12" s="96" t="str">
        <f>IF(C12="","-",IFERROR(D12/C12,"-"))</f>
        <v>-</v>
      </c>
      <c r="F12" s="97" t="str">
        <f t="shared" si="1"/>
        <v>-</v>
      </c>
      <c r="G12" s="95"/>
      <c r="H12" s="98" t="str">
        <f t="shared" si="2"/>
        <v>-</v>
      </c>
      <c r="I12" s="95"/>
      <c r="J12" s="99" t="str">
        <f t="shared" si="3"/>
        <v>-</v>
      </c>
      <c r="L12" s="112">
        <v>30</v>
      </c>
      <c r="M12" s="113">
        <v>5.0000000000000001E-3</v>
      </c>
    </row>
    <row r="13" spans="1:14" x14ac:dyDescent="0.3">
      <c r="A13" s="85">
        <v>46326</v>
      </c>
      <c r="B13" s="86" t="s">
        <v>154</v>
      </c>
      <c r="C13" s="87"/>
      <c r="D13" s="95"/>
      <c r="E13" s="96" t="str">
        <f>IF(C13="","-",IFERROR(D13/C13,"-"))</f>
        <v>-</v>
      </c>
      <c r="F13" s="97" t="str">
        <f t="shared" si="1"/>
        <v>-</v>
      </c>
      <c r="G13" s="95"/>
      <c r="H13" s="98" t="str">
        <f t="shared" si="2"/>
        <v>-</v>
      </c>
      <c r="I13" s="95"/>
      <c r="J13" s="99" t="str">
        <f t="shared" si="3"/>
        <v>-</v>
      </c>
      <c r="L13" s="112">
        <v>30</v>
      </c>
      <c r="M13" s="113">
        <v>5.0000000000000001E-3</v>
      </c>
    </row>
    <row r="14" spans="1:14" x14ac:dyDescent="0.3">
      <c r="A14" s="85">
        <v>46356</v>
      </c>
      <c r="B14" s="86" t="s">
        <v>155</v>
      </c>
      <c r="C14" s="87"/>
      <c r="D14" s="95"/>
      <c r="E14" s="96"/>
      <c r="F14" s="97" t="str">
        <f t="shared" si="1"/>
        <v>-</v>
      </c>
      <c r="G14" s="95"/>
      <c r="H14" s="98" t="str">
        <f t="shared" si="2"/>
        <v>-</v>
      </c>
      <c r="I14" s="95"/>
      <c r="J14" s="99" t="str">
        <f t="shared" si="3"/>
        <v>-</v>
      </c>
      <c r="L14" s="112">
        <v>30</v>
      </c>
      <c r="M14" s="113">
        <v>5.0000000000000001E-3</v>
      </c>
    </row>
    <row r="15" spans="1:14" x14ac:dyDescent="0.3">
      <c r="A15" s="100">
        <v>46387</v>
      </c>
      <c r="B15" s="101" t="s">
        <v>156</v>
      </c>
      <c r="C15" s="102"/>
      <c r="D15" s="102"/>
      <c r="E15" s="103" t="str">
        <f>IF(C15="","-",IFERROR(D15/C15,"-"))</f>
        <v>-</v>
      </c>
      <c r="F15" s="104" t="str">
        <f>IF(E15="","-",IFERROR(E15-E13,"-"))</f>
        <v>-</v>
      </c>
      <c r="G15" s="102"/>
      <c r="H15" s="105" t="str">
        <f>IF(G15="","-",IFERROR(G15-G13,"-"))</f>
        <v>-</v>
      </c>
      <c r="I15" s="102"/>
      <c r="J15" s="106" t="str">
        <f>IF(I15="","-",IFERROR(I15-I13,"-"))</f>
        <v>-</v>
      </c>
      <c r="L15" s="114">
        <v>30</v>
      </c>
      <c r="M15" s="115">
        <v>5.0000000000000001E-3</v>
      </c>
    </row>
  </sheetData>
  <mergeCells count="2">
    <mergeCell ref="A2:K2"/>
    <mergeCell ref="A1:N1"/>
  </mergeCells>
  <phoneticPr fontId="10" type="noConversion"/>
  <conditionalFormatting sqref="F5:F15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H5:H15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J5:J15">
    <cfRule type="cellIs" dxfId="1" priority="5" operator="lessThan">
      <formula>0</formula>
    </cfRule>
    <cfRule type="cellIs" dxfId="0" priority="6" operator="greaterThan">
      <formula>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F4173-FCE0-4392-AB3B-B3839BE36E6E}">
  <dimension ref="A1:F8"/>
  <sheetViews>
    <sheetView zoomScaleNormal="100" workbookViewId="0">
      <selection activeCell="B6" sqref="B6"/>
    </sheetView>
  </sheetViews>
  <sheetFormatPr baseColWidth="10" defaultColWidth="8.6640625" defaultRowHeight="14.4" x14ac:dyDescent="0.3"/>
  <cols>
    <col min="1" max="1" width="28" customWidth="1"/>
    <col min="2" max="2" width="16" customWidth="1"/>
    <col min="3" max="3" width="14" customWidth="1"/>
    <col min="4" max="4" width="45" customWidth="1"/>
  </cols>
  <sheetData>
    <row r="1" spans="1:6" ht="21.6" customHeight="1" x14ac:dyDescent="0.3">
      <c r="A1" s="135" t="s">
        <v>149</v>
      </c>
      <c r="B1" s="135"/>
      <c r="C1" s="135"/>
      <c r="D1" s="135"/>
      <c r="E1" s="84"/>
      <c r="F1" s="84"/>
    </row>
    <row r="2" spans="1:6" ht="6.6" customHeight="1" x14ac:dyDescent="0.3"/>
    <row r="3" spans="1:6" ht="24" customHeight="1" x14ac:dyDescent="0.3">
      <c r="A3" s="128" t="s">
        <v>146</v>
      </c>
      <c r="B3" s="129" t="s">
        <v>145</v>
      </c>
      <c r="C3" s="129" t="s">
        <v>144</v>
      </c>
      <c r="D3" s="130" t="s">
        <v>147</v>
      </c>
    </row>
    <row r="4" spans="1:6" ht="17.399999999999999" x14ac:dyDescent="0.3">
      <c r="A4" s="116" t="s">
        <v>137</v>
      </c>
      <c r="B4" s="117">
        <f>INDEX('Historico Cartera 2026'!E4:E9,COUNTA('Historico Cartera 2026'!E4:E9))</f>
        <v>0.23529184109189658</v>
      </c>
      <c r="C4" s="118">
        <f>INDEX('Historico Cartera 2026'!F5:F9,COUNTA('Historico Cartera 2026'!F5:F9))</f>
        <v>-0.38979236885114688</v>
      </c>
      <c r="D4" s="119" t="str">
        <f>TEXT(B4,"0,0%")&amp;"  "&amp;IF(C4&gt;0,"▲ +","▼ ")&amp;TEXT(ABS(C4),"0,0%")</f>
        <v>23,5%  ▼ 39,0%</v>
      </c>
    </row>
    <row r="5" spans="1:6" ht="17.399999999999999" x14ac:dyDescent="0.3">
      <c r="A5" s="116" t="s">
        <v>138</v>
      </c>
      <c r="B5" s="120">
        <f>INDEX('Historico Cartera 2026'!D4:D9,COUNTA('Historico Cartera 2026'!D4:D9))</f>
        <v>72956</v>
      </c>
      <c r="C5" s="121"/>
      <c r="D5" s="119" t="str">
        <f>TEXT(B5,"$#.##0")</f>
        <v>$72.956</v>
      </c>
    </row>
    <row r="6" spans="1:6" ht="17.399999999999999" x14ac:dyDescent="0.3">
      <c r="A6" s="116" t="s">
        <v>143</v>
      </c>
      <c r="B6" s="120">
        <f>INDEX('Historico Cartera 2026'!C4:C9,COUNTA('Historico Cartera 2026'!C4:C9))</f>
        <v>310066</v>
      </c>
      <c r="C6" s="121"/>
      <c r="D6" s="119" t="str">
        <f>TEXT(B6,"$#.##0")</f>
        <v>$310.066</v>
      </c>
    </row>
    <row r="7" spans="1:6" ht="17.399999999999999" x14ac:dyDescent="0.3">
      <c r="A7" s="116" t="s">
        <v>136</v>
      </c>
      <c r="B7" s="122">
        <f>INDEX('Historico Cartera 2026'!G4:G9,COUNTA('Historico Cartera 2026'!G4:G9))</f>
        <v>26.1</v>
      </c>
      <c r="C7" s="123">
        <f>INDEX('Historico Cartera 2026'!H5:H9,COUNTA('Historico Cartera 2026'!H5:H9))</f>
        <v>-5.3999999999999986</v>
      </c>
      <c r="D7" s="119" t="str">
        <f>B7&amp;" días  "&amp;IF(C7=0,"= cierre ant.",IF(C7&gt;0,"▲ +"&amp;TEXT(C7,"0")&amp;" días","▼ "&amp;TEXT(ABS(C7),"0")&amp;" días"))</f>
        <v>26,1 días  ▼ 5 días</v>
      </c>
    </row>
    <row r="8" spans="1:6" ht="17.399999999999999" x14ac:dyDescent="0.3">
      <c r="A8" s="124" t="s">
        <v>134</v>
      </c>
      <c r="B8" s="125">
        <f>INDEX('Historico Cartera 2026'!I4:I9,COUNTA('Historico Cartera 2026'!I4:I9))</f>
        <v>1.5E-3</v>
      </c>
      <c r="C8" s="126">
        <f>INDEX('Historico Cartera 2026'!J5:J9,COUNTA('Historico Cartera 2026'!J5:J9))</f>
        <v>3.9999999999999996E-4</v>
      </c>
      <c r="D8" s="127" t="str">
        <f>TEXT(B8,"0,00%")&amp;"  "&amp;IF(C8=0,"= cierre ant.",IF(C8&gt;0,"▲ +"&amp;TEXT(ABS(C8),"0,00%"),"▼ "&amp;TEXT(ABS(C8),"0,00%")))</f>
        <v>0,15%  ▲ +0,04%</v>
      </c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7DE7F70E-EC4E-4882-BE9E-DED71F3F8204}">
  <ds:schemaRefs>
    <ds:schemaRef ds:uri="http://gemini/pivotcustomization/TableXML_Rango 2"/>
  </ds:schemaRefs>
</ds:datastoreItem>
</file>

<file path=customXml/itemProps2.xml><?xml version="1.0" encoding="utf-8"?>
<ds:datastoreItem xmlns:ds="http://schemas.openxmlformats.org/officeDocument/2006/customXml" ds:itemID="{18603A70-A4F7-482E-AAED-8E75216CB627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E2D7BD48-2AA6-4135-A0FA-99E07A7C5F5F}">
  <ds:schemaRefs/>
</ds:datastoreItem>
</file>

<file path=customXml/itemProps4.xml><?xml version="1.0" encoding="utf-8"?>
<ds:datastoreItem xmlns:ds="http://schemas.openxmlformats.org/officeDocument/2006/customXml" ds:itemID="{0A4E8261-478E-4F5E-9889-9C52F709625D}">
  <ds:schemaRefs>
    <ds:schemaRef ds:uri="http://gemini/pivotcustomization/TableXML_calendario"/>
  </ds:schemaRefs>
</ds:datastoreItem>
</file>

<file path=customXml/itemProps5.xml><?xml version="1.0" encoding="utf-8"?>
<ds:datastoreItem xmlns:ds="http://schemas.openxmlformats.org/officeDocument/2006/customXml" ds:itemID="{2056EAB4-88D9-4506-A125-991D68BE3B43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505E7705-5BAB-43A5-8501-DB5E87D550CF}">
  <ds:schemaRefs>
    <ds:schemaRef ds:uri="http://gemini/pivotcustomization/MeasureGridState"/>
  </ds:schemaRefs>
</ds:datastoreItem>
</file>

<file path=customXml/itemProps7.xml><?xml version="1.0" encoding="utf-8"?>
<ds:datastoreItem xmlns:ds="http://schemas.openxmlformats.org/officeDocument/2006/customXml" ds:itemID="{9A054A40-DDD3-463F-AC8E-A4FD2A35420C}">
  <ds:schemaRefs>
    <ds:schemaRef ds:uri="http://gemini/pivotcustomization/FormulaBarState"/>
  </ds:schemaRefs>
</ds:datastoreItem>
</file>

<file path=customXml/itemProps8.xml><?xml version="1.0" encoding="utf-8"?>
<ds:datastoreItem xmlns:ds="http://schemas.openxmlformats.org/officeDocument/2006/customXml" ds:itemID="{7C7C594B-E191-490A-9637-2E237B4F25E4}">
  <ds:schemaRefs>
    <ds:schemaRef ds:uri="http://gemini/pivotcustomization/TableXML_Tabla10"/>
  </ds:schemaRefs>
</ds:datastoreItem>
</file>

<file path=customXml/itemProps9.xml><?xml version="1.0" encoding="utf-8"?>
<ds:datastoreItem xmlns:ds="http://schemas.openxmlformats.org/officeDocument/2006/customXml" ds:itemID="{D5BE3FEC-9DE1-4559-A758-B2ED1F869990}">
  <ds:schemaRefs>
    <ds:schemaRef ds:uri="http://gemini/pivotcustomization/ShowImplicitMeasures"/>
  </ds:schemaRefs>
</ds:datastoreItem>
</file>

<file path=customXml/itemProps10.xml><?xml version="1.0" encoding="utf-8"?>
<ds:datastoreItem xmlns:ds="http://schemas.openxmlformats.org/officeDocument/2006/customXml" ds:itemID="{C787F732-3110-4FE3-94DA-0CF151A0D362}">
  <ds:schemaRefs>
    <ds:schemaRef ds:uri="http://gemini/pivotcustomization/TableOrder"/>
  </ds:schemaRefs>
</ds:datastoreItem>
</file>

<file path=customXml/itemProps11.xml><?xml version="1.0" encoding="utf-8"?>
<ds:datastoreItem xmlns:ds="http://schemas.openxmlformats.org/officeDocument/2006/customXml" ds:itemID="{76BCB561-87F0-4D05-81A5-CE8D4F5AD2FB}">
  <ds:schemaRefs>
    <ds:schemaRef ds:uri="http://gemini/pivotcustomization/TableXML_Rango"/>
  </ds:schemaRefs>
</ds:datastoreItem>
</file>

<file path=customXml/itemProps12.xml><?xml version="1.0" encoding="utf-8"?>
<ds:datastoreItem xmlns:ds="http://schemas.openxmlformats.org/officeDocument/2006/customXml" ds:itemID="{D19F5148-1760-469E-8217-FF32B2CDA923}">
  <ds:schemaRefs>
    <ds:schemaRef ds:uri="http://gemini/pivotcustomization/ShowHidden"/>
  </ds:schemaRefs>
</ds:datastoreItem>
</file>

<file path=customXml/itemProps13.xml><?xml version="1.0" encoding="utf-8"?>
<ds:datastoreItem xmlns:ds="http://schemas.openxmlformats.org/officeDocument/2006/customXml" ds:itemID="{D00FE247-CCE7-4C61-8917-B3913CE85045}">
  <ds:schemaRefs>
    <ds:schemaRef ds:uri="http://gemini/pivotcustomization/TableXML_COMPOSICIONSALDO"/>
  </ds:schemaRefs>
</ds:datastoreItem>
</file>

<file path=customXml/itemProps14.xml><?xml version="1.0" encoding="utf-8"?>
<ds:datastoreItem xmlns:ds="http://schemas.openxmlformats.org/officeDocument/2006/customXml" ds:itemID="{729FEA43-012C-41EF-939B-E3EE106182FC}">
  <ds:schemaRefs>
    <ds:schemaRef ds:uri="http://gemini/pivotcustomization/ManualCalcMode"/>
  </ds:schemaRefs>
</ds:datastoreItem>
</file>

<file path=customXml/itemProps15.xml><?xml version="1.0" encoding="utf-8"?>
<ds:datastoreItem xmlns:ds="http://schemas.openxmlformats.org/officeDocument/2006/customXml" ds:itemID="{9409E707-A023-4CA2-A365-45378167DC60}">
  <ds:schemaRefs>
    <ds:schemaRef ds:uri="http://gemini/pivotcustomization/TableXML_FACTURADO"/>
  </ds:schemaRefs>
</ds:datastoreItem>
</file>

<file path=customXml/itemProps16.xml><?xml version="1.0" encoding="utf-8"?>
<ds:datastoreItem xmlns:ds="http://schemas.openxmlformats.org/officeDocument/2006/customXml" ds:itemID="{A6BBBE20-A44C-4853-B78A-847B2E9413A9}">
  <ds:schemaRefs>
    <ds:schemaRef ds:uri="http://gemini/pivotcustomization/Diagrams"/>
  </ds:schemaRefs>
</ds:datastoreItem>
</file>

<file path=customXml/itemProps17.xml><?xml version="1.0" encoding="utf-8"?>
<ds:datastoreItem xmlns:ds="http://schemas.openxmlformats.org/officeDocument/2006/customXml" ds:itemID="{D442EEBD-8264-46CD-8DA5-1BC835CC70D2}">
  <ds:schemaRefs>
    <ds:schemaRef ds:uri="http://gemini/pivotcustomization/TableXML_Tabla2"/>
  </ds:schemaRefs>
</ds:datastoreItem>
</file>

<file path=customXml/itemProps18.xml><?xml version="1.0" encoding="utf-8"?>
<ds:datastoreItem xmlns:ds="http://schemas.openxmlformats.org/officeDocument/2006/customXml" ds:itemID="{1520C609-3494-4681-93E3-7D86E1B4FAFF}">
  <ds:schemaRefs/>
</ds:datastoreItem>
</file>

<file path=customXml/itemProps19.xml><?xml version="1.0" encoding="utf-8"?>
<ds:datastoreItem xmlns:ds="http://schemas.openxmlformats.org/officeDocument/2006/customXml" ds:itemID="{0CFEC2AF-3110-457C-A00D-B8EE96B4AA17}">
  <ds:schemaRefs>
    <ds:schemaRef ds:uri="http://gemini/pivotcustomization/TableXML_Rango 1"/>
  </ds:schemaRefs>
</ds:datastoreItem>
</file>

<file path=customXml/itemProps20.xml><?xml version="1.0" encoding="utf-8"?>
<ds:datastoreItem xmlns:ds="http://schemas.openxmlformats.org/officeDocument/2006/customXml" ds:itemID="{928F3CDC-499E-4CDB-8CCF-FEDBFED664E8}">
  <ds:schemaRefs>
    <ds:schemaRef ds:uri="http://gemini/pivotcustomization/TableXML_MESESMAESTRO"/>
  </ds:schemaRefs>
</ds:datastoreItem>
</file>

<file path=customXml/itemProps21.xml><?xml version="1.0" encoding="utf-8"?>
<ds:datastoreItem xmlns:ds="http://schemas.openxmlformats.org/officeDocument/2006/customXml" ds:itemID="{4669E58F-BC54-4B37-9403-C88A9707DA2D}">
  <ds:schemaRefs/>
</ds:datastoreItem>
</file>

<file path=customXml/itemProps22.xml><?xml version="1.0" encoding="utf-8"?>
<ds:datastoreItem xmlns:ds="http://schemas.openxmlformats.org/officeDocument/2006/customXml" ds:itemID="{B7CB4A3D-9760-432A-AF93-A467DD987019}">
  <ds:schemaRefs>
    <ds:schemaRef ds:uri="http://gemini/pivotcustomization/TableXML_COBRADO"/>
  </ds:schemaRefs>
</ds:datastoreItem>
</file>

<file path=customXml/itemProps23.xml><?xml version="1.0" encoding="utf-8"?>
<ds:datastoreItem xmlns:ds="http://schemas.openxmlformats.org/officeDocument/2006/customXml" ds:itemID="{EC919A13-F824-4B5D-AC62-8C1D5ED70314}">
  <ds:schemaRefs>
    <ds:schemaRef ds:uri="http://gemini/pivotcustomization/TableXML_Tabla4"/>
  </ds:schemaRefs>
</ds:datastoreItem>
</file>

<file path=customXml/itemProps24.xml><?xml version="1.0" encoding="utf-8"?>
<ds:datastoreItem xmlns:ds="http://schemas.openxmlformats.org/officeDocument/2006/customXml" ds:itemID="{93EA96B5-07C3-431B-B3BE-5289C17749E6}">
  <ds:schemaRefs/>
</ds:datastoreItem>
</file>

<file path=customXml/itemProps25.xml><?xml version="1.0" encoding="utf-8"?>
<ds:datastoreItem xmlns:ds="http://schemas.openxmlformats.org/officeDocument/2006/customXml" ds:itemID="{F7B1DF1F-B96A-4432-89A5-AFCFE0E3822A}">
  <ds:schemaRefs>
    <ds:schemaRef ds:uri="http://gemini/pivotcustomization/TableWidget"/>
  </ds:schemaRefs>
</ds:datastoreItem>
</file>

<file path=customXml/itemProps26.xml><?xml version="1.0" encoding="utf-8"?>
<ds:datastoreItem xmlns:ds="http://schemas.openxmlformats.org/officeDocument/2006/customXml" ds:itemID="{50FA0920-4FE7-438A-B4EE-8E8C75B8F3DD}">
  <ds:schemaRefs/>
</ds:datastoreItem>
</file>

<file path=customXml/itemProps27.xml><?xml version="1.0" encoding="utf-8"?>
<ds:datastoreItem xmlns:ds="http://schemas.openxmlformats.org/officeDocument/2006/customXml" ds:itemID="{B7FC1831-5EC7-4F60-80B8-A0CCA7407A16}">
  <ds:schemaRefs>
    <ds:schemaRef ds:uri="http://gemini/pivotcustomization/ClientWindowXM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TABLERO COBRANZAS</vt:lpstr>
      <vt:lpstr>CLIENTES</vt:lpstr>
      <vt:lpstr>COTIZACION</vt:lpstr>
      <vt:lpstr>DETALLES</vt:lpstr>
      <vt:lpstr>CALCULOS</vt:lpstr>
      <vt:lpstr>Base nueva</vt:lpstr>
      <vt:lpstr>Historico Cartera 2026</vt:lpstr>
      <vt:lpstr>Kpis actual</vt:lpstr>
      <vt:lpstr>'TABLERO COBRANZAS'!Área_de_impresión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Paula Cejas</cp:lastModifiedBy>
  <cp:revision/>
  <dcterms:created xsi:type="dcterms:W3CDTF">2024-07-11T16:18:22Z</dcterms:created>
  <dcterms:modified xsi:type="dcterms:W3CDTF">2026-07-03T19:21:05Z</dcterms:modified>
  <cp:category/>
  <cp:contentStatus/>
</cp:coreProperties>
</file>