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codeName="ThisWorkbook"/>
  <mc:AlternateContent>
    <mc:Choice Requires="x15">
      <x15ac:absPath xmlns:x15ac="http://schemas.microsoft.com/office/spreadsheetml/2010/11/ac" url="C:\Users\jalle\xplore\backend\markkoll\src\main\resources\"/>
    </mc:Choice>
  </mc:AlternateContent>
  <xr:revisionPtr revIDLastSave="0" documentId="13_ncr:1_{7DB5530C-76EE-4677-8328-24E3ADA8BE99}" xr6:coauthVersionLast="47" xr6:coauthVersionMax="47" xr10:uidLastSave="{00000000-0000-0000-0000-000000000000}"/>
  <workbookProtection workbookAlgorithmName="SHA-512" workbookHashValue="JDQgQ3VE8mI7SVutMMr+c+D9pYrN/W0eBmhtUaMAdQdoXy4v/Oed+OO3QjxoZ5lG1Juu1HaIGA5PRlClJdYGmg==" workbookSaltValue="Sq3FhpiuPYoFm1CKaB0LXg==" workbookSpinCount="100000" lockStructure="1"/>
  <bookViews>
    <workbookView xWindow="1950" yWindow="195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Värderingsprotokoll!$A$1:$K$102</definedName>
    <definedName name="Rader">"Åker!($n$7)!$a$2:$a$8"</definedName>
    <definedName name="SS">#REF!</definedName>
    <definedName name="SSK">#REF!</definedName>
    <definedName name="Storskogsbruk">#REF!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3" i="1" l="1"/>
  <c r="L5" i="1" l="1"/>
  <c r="J51" i="1" l="1"/>
  <c r="J50" i="1"/>
  <c r="J44" i="1"/>
  <c r="J45" i="1"/>
  <c r="J46" i="1"/>
  <c r="J43" i="1"/>
  <c r="B98" i="1" l="1"/>
  <c r="L3" i="1"/>
  <c r="B2" i="1" s="1"/>
  <c r="B78" i="1" l="1"/>
  <c r="B83" i="1"/>
  <c r="B68" i="1"/>
  <c r="B88" i="1"/>
  <c r="B73" i="1"/>
  <c r="B93" i="1"/>
  <c r="J19" i="1"/>
  <c r="J20" i="1"/>
  <c r="J21" i="1"/>
  <c r="J18" i="1"/>
  <c r="M30" i="1"/>
  <c r="M31" i="1"/>
  <c r="M32" i="1"/>
  <c r="M33" i="1"/>
  <c r="M34" i="1"/>
  <c r="M35" i="1"/>
  <c r="M36" i="1"/>
  <c r="M37" i="1"/>
  <c r="M29" i="1"/>
  <c r="C31" i="4"/>
  <c r="C30" i="4"/>
  <c r="C29" i="4"/>
  <c r="C28" i="4"/>
  <c r="C27" i="4"/>
  <c r="C26" i="4"/>
  <c r="D28" i="4" l="1"/>
  <c r="E28" i="4" s="1"/>
  <c r="N31" i="1"/>
  <c r="D27" i="4"/>
  <c r="E27" i="4" s="1"/>
  <c r="N30" i="1"/>
  <c r="D29" i="4"/>
  <c r="E29" i="4" s="1"/>
  <c r="N32" i="1"/>
  <c r="D30" i="4"/>
  <c r="E30" i="4" s="1"/>
  <c r="N33" i="1"/>
  <c r="D31" i="4"/>
  <c r="E31" i="4" s="1"/>
  <c r="N34"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3" i="1" l="1"/>
  <c r="L29" i="1" l="1"/>
  <c r="J32" i="1"/>
  <c r="J52" i="1" l="1"/>
  <c r="G74" i="1"/>
  <c r="G79" i="1" s="1"/>
  <c r="G84" i="1" s="1"/>
  <c r="G89" i="1" l="1"/>
  <c r="G99" i="1" s="1"/>
  <c r="G94"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L39" i="1"/>
  <c r="J57" i="1" l="1"/>
  <c r="J58" i="1" s="1"/>
  <c r="L69" i="1" s="1"/>
  <c r="F69" i="1" s="1"/>
  <c r="L74" i="1" l="1"/>
  <c r="F74" i="1" s="1"/>
  <c r="L94" i="1"/>
  <c r="F94" i="1" s="1"/>
  <c r="L89" i="1"/>
  <c r="F89" i="1" s="1"/>
  <c r="L84" i="1"/>
  <c r="F84" i="1" s="1"/>
  <c r="L63" i="1"/>
  <c r="F63" i="1" s="1"/>
  <c r="L79" i="1"/>
  <c r="F79" i="1" s="1"/>
  <c r="L99" i="1"/>
  <c r="F99" i="1" s="1"/>
</calcChain>
</file>

<file path=xl/sharedStrings.xml><?xml version="1.0" encoding="utf-8"?>
<sst xmlns="http://schemas.openxmlformats.org/spreadsheetml/2006/main" count="249" uniqueCount="150">
  <si>
    <t>DESSA FÄLT SKA VARA DOLDA FÖR ANVÄNDAREN</t>
  </si>
  <si>
    <t>TEXT - Rubrik</t>
  </si>
  <si>
    <t>FASTIGHET / SAMFÄLLIGHET samt PROJEKTINFORMATION</t>
  </si>
  <si>
    <r>
      <rPr>
        <b/>
        <sz val="9"/>
        <rFont val="Calibri"/>
        <family val="2"/>
      </rPr>
      <t>Version 2020</t>
    </r>
    <r>
      <rPr>
        <b/>
        <i/>
        <sz val="9"/>
        <rFont val="Calibri"/>
        <family val="2"/>
      </rPr>
      <t xml:space="preserve"> </t>
    </r>
    <r>
      <rPr>
        <i/>
        <sz val="9"/>
        <rFont val="Calibri"/>
        <family val="2"/>
        <charset val="1"/>
      </rPr>
      <t>(2020.01.30)</t>
    </r>
  </si>
  <si>
    <t>FÖLJANDE GÄLLER:</t>
  </si>
  <si>
    <t>Fastighetsbeteckning:</t>
  </si>
  <si>
    <t>Projektnummer:</t>
  </si>
  <si>
    <t>TEXT - Fast ersättning eller minimiersättning</t>
  </si>
  <si>
    <t>* Ett värderingsprotokoll ska bifogas samtliga markupplåtelseavtal.</t>
  </si>
  <si>
    <t>Kommun:</t>
  </si>
  <si>
    <t>Ledning:</t>
  </si>
  <si>
    <t>* Värderingsbilagor ska bifogas.</t>
  </si>
  <si>
    <t>Fastighetsnummer:</t>
  </si>
  <si>
    <t>Koncessionslöpnr:</t>
  </si>
  <si>
    <t>TEXT - Närhet till ledning</t>
  </si>
  <si>
    <t>* Ersättningsnivåer enligt Energiföretagen Sveriges policy.</t>
  </si>
  <si>
    <t>Kontaktperson &amp; adress:</t>
  </si>
  <si>
    <t>Värderingstidpunkt:</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</si>
  <si>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</si>
  <si>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r>
      <t xml:space="preserve">* All ersättning anges </t>
    </r>
    <r>
      <rPr>
        <u/>
        <sz val="9"/>
        <rFont val="Calibri"/>
        <family val="2"/>
        <scheme val="minor"/>
      </rPr>
      <t>exklusive</t>
    </r>
    <r>
      <rPr>
        <sz val="9"/>
        <rFont val="Calibri"/>
        <family val="2"/>
        <scheme val="minor"/>
      </rPr>
      <t xml:space="preserve"> expropriationslagen påslag med 25%.</t>
    </r>
  </si>
  <si>
    <t>Värderingsman &amp; företag:</t>
  </si>
  <si>
    <t>TEXT - Lågspänning</t>
  </si>
  <si>
    <t>* Vid egen servisledning utgår normalt ingen ersättning.</t>
  </si>
  <si>
    <t>1.     SCHABLONERSÄTTNING FÖR MARKLEDNING I ÅKER, BETE, JORDBRUKSIMPEDIMENT, samt ÖVRIG MARK UTANFÖR DETALJPLAN</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</si>
  <si>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</si>
  <si>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Beskrivning (typ, placering, etc)</t>
  </si>
  <si>
    <t>Längd</t>
  </si>
  <si>
    <t>Bredd</t>
  </si>
  <si>
    <t>Ersättning</t>
  </si>
  <si>
    <t>KRYSSRUTA - Lågspänning</t>
  </si>
  <si>
    <t>KRYSSRUTA - Storskogsbruk</t>
  </si>
  <si>
    <t>KRYSSRUTA - Egen servisledning</t>
  </si>
  <si>
    <t>Summa:</t>
  </si>
  <si>
    <t>2.     SCHABLONERSÄTTNING FÖR NÄTSTATIONER, KABELSKÅP och SJÖKABELSKYLTAR (Ej inom detaljplan)</t>
  </si>
  <si>
    <t>KRYSSRUTA - Förhöjd minimiersättning</t>
  </si>
  <si>
    <t>SCHABLONERSÄTTNINGAR</t>
  </si>
  <si>
    <t>Beskrivning (typ, placering, yta, etc)</t>
  </si>
  <si>
    <t>Typ och markslag</t>
  </si>
  <si>
    <t>Antal</t>
  </si>
  <si>
    <t>Kabelskåp - Skog</t>
  </si>
  <si>
    <t>HÄMTAT VÄRDE - Löpmeterersättning kr/m</t>
  </si>
  <si>
    <t>HÄMTAT VÄRDE - Rev ersättning - Zon 1</t>
  </si>
  <si>
    <t>HÄMTAT VÄRDE  - Rev ersättning - Zon 2</t>
  </si>
  <si>
    <t>3.     ERSÄTTNING FÖR HINDER I ÅKERMARK - För ersättningsberäkning se bilaga</t>
  </si>
  <si>
    <t>HÄMTAT VÄRDE - Fast ersättning storskogsbruket</t>
  </si>
  <si>
    <t xml:space="preserve">HÄMTAT VÄRDE - Grundersättning Policy  </t>
  </si>
  <si>
    <t>4 a.   ERSÄTTNING FÖR LEDNING I SKOGSMARK - För ersättningsberäkning se bilaga</t>
  </si>
  <si>
    <t>HÄMTAT VÄRDE - Prisbasbelopp</t>
  </si>
  <si>
    <t>HÄMTAT VÄRDE - KPI okt föregående år</t>
  </si>
  <si>
    <t>HÄMTAT VÄRDE - Förhöjd minimiersättning</t>
  </si>
  <si>
    <t>4 b.   ROTNETTO (Ersätts separat) - För ersättningsberäkning se bilaga</t>
  </si>
  <si>
    <t>Används för beräkning av påslag (25% enligt expropriationslagen samt 20% särskild ersättning för överenskommelse)</t>
  </si>
  <si>
    <t>SUMMA - Belopp för beräkning av påslag Expropriationslagen</t>
  </si>
  <si>
    <t>Totalt rotnetto enligt bilaga:</t>
  </si>
  <si>
    <t>Ersättning för rotnetto regleras i bilaga</t>
  </si>
  <si>
    <t>5.     ERSÄTTNING FÖR ÖVRIGT INTRÅNG - För ersättningsberäkning se bilaga</t>
  </si>
  <si>
    <t>SUMMA  - Belopp för beräkning av ersättning vid överenskommelse</t>
  </si>
  <si>
    <t>SUMMA - Belopp för beräkning av tillägg för minimiersättning</t>
  </si>
  <si>
    <t>BERÄKNING - Ersättning vid överenskommelse (normal)</t>
  </si>
  <si>
    <t>6 a.   ERSÄTTNING FÖR LEDNING I SKOGSMARK ENLIGT STORSKOGSBRUKSAVTALET</t>
  </si>
  <si>
    <t>STORSKOGSBRUKSAVTALET</t>
  </si>
  <si>
    <t>Område:</t>
  </si>
  <si>
    <t>BERÄKNING - Ersättning vid överenskommelse (storskogsbruk)</t>
  </si>
  <si>
    <t>Norrlands inland</t>
  </si>
  <si>
    <t>Norrlands kustland</t>
  </si>
  <si>
    <t>BERÄKNING - Grundersättning policy eller Fast ersättning storskogsbruk</t>
  </si>
  <si>
    <t>Tillväxtområde 3</t>
  </si>
  <si>
    <t>Tillväxtområde 4A</t>
  </si>
  <si>
    <t>BERÄKNING - Grundersättning policy eller Förhöjd minimiersättning</t>
  </si>
  <si>
    <t>Tillväxtområde 4B</t>
  </si>
  <si>
    <t>6 b.   ERSÄTTNING FÖR INTRÅNG INOM VÄGANLÄGGNING ENLIGT STORSKOGSBRUKSAVTALET</t>
  </si>
  <si>
    <t>Zon</t>
  </si>
  <si>
    <t>Behövs denna beräkning?</t>
  </si>
  <si>
    <t>BERÄKNING - Intrångsersättning</t>
  </si>
  <si>
    <t>7.     SAMMANSTÄLLNING</t>
  </si>
  <si>
    <t>Summa intrångsersättning:</t>
  </si>
  <si>
    <t>Tillägg enligt expropriationslagen:</t>
  </si>
  <si>
    <t>Särskild ersättning vid överenskommelse:</t>
  </si>
  <si>
    <t>TOTAL ERSÄTTNING</t>
  </si>
  <si>
    <r>
      <t>Ovanstående godkänns och ersättning sätts in på följande konto</t>
    </r>
    <r>
      <rPr>
        <i/>
        <sz val="9"/>
        <rFont val="Calibri"/>
        <family val="2"/>
        <scheme val="minor"/>
      </rPr>
      <t xml:space="preserve"> (övriga delägare redovisas på följande sida/sidor)</t>
    </r>
  </si>
  <si>
    <t>Fastighetsägare (personnr/org.nr)</t>
  </si>
  <si>
    <t>Ägd andel</t>
  </si>
  <si>
    <t>Fastighetsägarens godkännande</t>
  </si>
  <si>
    <t>Är angiven andel korrekt? Om inte anges värdet "Fel andel"</t>
  </si>
  <si>
    <t>Underskrift/Datum:</t>
  </si>
  <si>
    <t>Banknamn:</t>
  </si>
  <si>
    <t>Clearingnr:</t>
  </si>
  <si>
    <t>Kontonummer, Pg/Bg, IBAN &amp; SWIFT *:</t>
  </si>
  <si>
    <t>Referens:</t>
  </si>
  <si>
    <t>Telefonnummer:</t>
  </si>
  <si>
    <t>E-post:</t>
  </si>
  <si>
    <t>För övriga delägares andels-/ersättningsberäkning se sida 2</t>
  </si>
  <si>
    <t>Är angiven andel korrekt? Om inte anges värdet "Fel"</t>
  </si>
  <si>
    <t xml:space="preserve">* För att kunna göra en utbetalning till utländskt konto behövs IBAN-nummer och bankens SWIFT-kod. </t>
  </si>
  <si>
    <t>Ersättningstabell</t>
  </si>
  <si>
    <t>HELA FLIKEN SKA VARA DOLD FÖR ANVÄNDAREN</t>
  </si>
  <si>
    <t>Aktuellt prisbasbelopp (Socialförsäkringsbalken)</t>
  </si>
  <si>
    <t>Fast ersättning - Policy</t>
  </si>
  <si>
    <t>Förklaring</t>
  </si>
  <si>
    <t>KPI oktober månad föregående år</t>
  </si>
  <si>
    <t>KPI - Policy (basår 2018)</t>
  </si>
  <si>
    <t>Belopp/värden som förändras över tid. Dessa behöver normalt justeras varje år.</t>
  </si>
  <si>
    <t>Belopp som genom beräkning i mallen har anpassats till aktuellt KPI, E84 litt 211 eller prisbasbeloppet i enlighet med avtal eller policy.</t>
  </si>
  <si>
    <t>Belopp/värden som normalt inte förändras över tid. Dessa är statiska frams tills avtal eller policy förändras.</t>
  </si>
  <si>
    <t>E84 Litt 211 (REV samt Storskogsbruk)</t>
  </si>
  <si>
    <t>KPI - Storskogsbruk (basår 2013)</t>
  </si>
  <si>
    <t>Förhöjd minimiersättning</t>
  </si>
  <si>
    <t>E84 Litt 211 (basår 2013)</t>
  </si>
  <si>
    <t>Kategori</t>
  </si>
  <si>
    <t>Grundersättning</t>
  </si>
  <si>
    <t>KPI anpassad ersättning</t>
  </si>
  <si>
    <t>Inkl. Expropriationslagens påslag (25%)</t>
  </si>
  <si>
    <t>Inkl. Särskild ersättning för överenskommelse (20%)</t>
  </si>
  <si>
    <t>Löpmeterersättning</t>
  </si>
  <si>
    <t>Ersättning per löpmeter schakt</t>
  </si>
  <si>
    <t>Kabelskåp</t>
  </si>
  <si>
    <t>Kabelskåp - Jordbruksimp.</t>
  </si>
  <si>
    <t>Kabelskåp - Övrig mark</t>
  </si>
  <si>
    <t>Nätstationer</t>
  </si>
  <si>
    <r>
      <t xml:space="preserve">Nätstation - Skog </t>
    </r>
    <r>
      <rPr>
        <b/>
        <sz val="9"/>
        <rFont val="Calibri"/>
        <family val="2"/>
        <scheme val="minor"/>
      </rPr>
      <t>(yta 6 x 6 meter)</t>
    </r>
  </si>
  <si>
    <r>
      <t>Nätstation - Skog</t>
    </r>
    <r>
      <rPr>
        <b/>
        <sz val="9"/>
        <rFont val="Calibri"/>
        <family val="2"/>
        <scheme val="minor"/>
      </rPr>
      <t xml:space="preserve"> (yta 8 x 8 meter)</t>
    </r>
  </si>
  <si>
    <r>
      <t xml:space="preserve">Nätstation - Skog </t>
    </r>
    <r>
      <rPr>
        <b/>
        <sz val="9"/>
        <rFont val="Calibri"/>
        <family val="2"/>
        <scheme val="minor"/>
      </rPr>
      <t>(yta 10 x 10 meter)</t>
    </r>
  </si>
  <si>
    <r>
      <t>Nätstation - Jordbruksimp.</t>
    </r>
    <r>
      <rPr>
        <b/>
        <sz val="9"/>
        <rFont val="Calibri"/>
        <family val="2"/>
        <scheme val="minor"/>
      </rPr>
      <t xml:space="preserve"> (yta 6 x6 meter)</t>
    </r>
  </si>
  <si>
    <r>
      <t xml:space="preserve">Nätstation - Jordbruksimp. </t>
    </r>
    <r>
      <rPr>
        <b/>
        <sz val="9"/>
        <rFont val="Calibri"/>
        <family val="2"/>
        <scheme val="minor"/>
      </rPr>
      <t>(yta 8 x 8 meter)</t>
    </r>
  </si>
  <si>
    <r>
      <t xml:space="preserve">Nätstation - Jordbruksimp. </t>
    </r>
    <r>
      <rPr>
        <b/>
        <sz val="9"/>
        <rFont val="Calibri"/>
        <family val="2"/>
        <scheme val="minor"/>
      </rPr>
      <t>(yta 10 x 10 meter)</t>
    </r>
  </si>
  <si>
    <r>
      <t xml:space="preserve">Nätstation - Övrig mark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</si>
  <si>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</si>
  <si>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</si>
  <si>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Sjökabelskyltar</t>
  </si>
  <si>
    <r>
      <t xml:space="preserve">Sjökabelskylt - Skog </t>
    </r>
    <r>
      <rPr>
        <b/>
        <sz val="9"/>
        <rFont val="Calibri"/>
        <family val="2"/>
        <scheme val="minor"/>
      </rPr>
      <t>(yta 6 x 6 meter)</t>
    </r>
  </si>
  <si>
    <r>
      <t xml:space="preserve">Sjökabelskylt - Skog </t>
    </r>
    <r>
      <rPr>
        <b/>
        <sz val="9"/>
        <rFont val="Calibri"/>
        <family val="2"/>
        <scheme val="minor"/>
      </rPr>
      <t>(yta 8 x 8 meter)</t>
    </r>
  </si>
  <si>
    <r>
      <t xml:space="preserve">Sjökabelskylt - Skog </t>
    </r>
    <r>
      <rPr>
        <b/>
        <sz val="9"/>
        <rFont val="Calibri"/>
        <family val="2"/>
        <scheme val="minor"/>
      </rPr>
      <t>(yta 10 x 10 meter)</t>
    </r>
  </si>
  <si>
    <r>
      <t xml:space="preserve">Sjökabelskylt - Jordbruksimp. </t>
    </r>
    <r>
      <rPr>
        <b/>
        <sz val="9"/>
        <rFont val="Calibri"/>
        <family val="2"/>
        <scheme val="minor"/>
      </rPr>
      <t>(yta 6 x 6 meter)</t>
    </r>
  </si>
  <si>
    <r>
      <t xml:space="preserve">Sjökabelskylt - Jordbruksimp. </t>
    </r>
    <r>
      <rPr>
        <b/>
        <sz val="9"/>
        <rFont val="Calibri"/>
        <family val="2"/>
        <scheme val="minor"/>
      </rPr>
      <t>(yta 8 x 8 meter)</t>
    </r>
  </si>
  <si>
    <r>
      <t xml:space="preserve">Sjökabelskylt - Jordbruksimp. </t>
    </r>
    <r>
      <rPr>
        <b/>
        <sz val="9"/>
        <rFont val="Calibri"/>
        <family val="2"/>
        <scheme val="minor"/>
      </rPr>
      <t>(yta 10 x 10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</si>
  <si>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</si>
  <si>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8 x 8 meter)</t>
    </r>
  </si>
  <si>
    <r>
      <t xml:space="preserve">Sjökabelskylt - Övrig mark </t>
    </r>
    <r>
      <rPr>
        <b/>
        <sz val="9"/>
        <rFont val="Calibri"/>
        <family val="2"/>
        <scheme val="minor"/>
      </rPr>
      <t>(yta 10 x 10 meter)</t>
    </r>
  </si>
  <si>
    <t>Storskogsbruksavtalet</t>
  </si>
  <si>
    <t>Norrlands Inland</t>
  </si>
  <si>
    <t>Norrlands Kustland</t>
  </si>
  <si>
    <t>Fast ersättning</t>
  </si>
  <si>
    <t>n/a</t>
  </si>
  <si>
    <t>REV</t>
  </si>
  <si>
    <t>Zon 1</t>
  </si>
  <si>
    <t>Zon 2</t>
  </si>
  <si>
    <t/>
  </si>
  <si>
    <t>VÄNJAURTRÄSK 1:5</t>
  </si>
  <si>
    <t>Eva Carola Eriksson</t>
  </si>
  <si>
    <t>Mats Allan Jonsson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</si>
</sst>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
      <sz val="10"/>
      <color rgb="FF000000"/>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1" fillId="0" borderId="0"/>
    <xf numFmtId="44" fontId="11" fillId="0" borderId="0" applyFont="0" applyFill="0" applyBorder="0" applyAlignment="0" applyProtection="0"/>
    <xf numFmtId="0" fontId="11" fillId="0" borderId="0"/>
    <xf numFmtId="9" fontId="1" fillId="0" borderId="0" applyFont="0" applyFill="0" applyBorder="0" applyAlignment="0" applyProtection="0"/>
  </cellStyleXfs>
  <cellXfs count="340">
    <xf numFmtId="0" fontId="0" fillId="0" borderId="0" xfId="0"/>
    <xf numFmtId="0" fontId="4" fillId="0" borderId="0" xfId="2" applyFont="1" applyAlignment="1">
      <alignment vertical="center"/>
    </xf>
    <xf numFmtId="0" fontId="5" fillId="0" borderId="0" xfId="2" applyFont="1" applyAlignment="1">
      <alignment vertical="center"/>
    </xf>
    <xf numFmtId="0" fontId="5" fillId="0" borderId="0" xfId="2" applyFont="1" applyAlignment="1">
      <alignment horizontal="center" vertical="center"/>
    </xf>
    <xf numFmtId="166" fontId="4" fillId="0" borderId="0" xfId="1" applyNumberFormat="1" applyFont="1" applyAlignment="1">
      <alignment horizontal="left" vertical="center"/>
    </xf>
    <xf numFmtId="2" fontId="4" fillId="0" borderId="0" xfId="2" applyNumberFormat="1" applyFont="1" applyAlignment="1">
      <alignment horizontal="right" vertical="center"/>
    </xf>
    <xf numFmtId="0" fontId="4" fillId="0" borderId="0" xfId="2" applyFont="1" applyAlignment="1">
      <alignment horizontal="left" vertical="center"/>
    </xf>
    <xf numFmtId="0" fontId="6" fillId="0" borderId="0" xfId="2" applyFont="1" applyAlignment="1">
      <alignment horizontal="center" vertical="center"/>
    </xf>
    <xf numFmtId="166" fontId="4" fillId="0" borderId="0" xfId="1" applyNumberFormat="1" applyFont="1" applyAlignment="1">
      <alignment vertical="center"/>
    </xf>
    <xf numFmtId="166" fontId="7" fillId="0" borderId="0" xfId="1" applyNumberFormat="1" applyFont="1" applyAlignment="1">
      <alignment vertical="center"/>
    </xf>
    <xf numFmtId="0" fontId="5" fillId="0" borderId="1" xfId="2" applyFont="1" applyBorder="1"/>
    <xf numFmtId="0" fontId="4" fillId="0" borderId="0" xfId="2" applyFont="1" applyAlignment="1">
      <alignment horizontal="right" vertical="center"/>
    </xf>
    <xf numFmtId="0" fontId="9" fillId="0" borderId="0" xfId="2" applyFont="1" applyAlignment="1">
      <alignment horizontal="left" vertical="center"/>
    </xf>
    <xf numFmtId="164" fontId="5" fillId="0" borderId="1" xfId="2" applyNumberFormat="1" applyFont="1" applyBorder="1"/>
    <xf numFmtId="164" fontId="4" fillId="0" borderId="0" xfId="2" applyNumberFormat="1" applyFont="1" applyAlignment="1">
      <alignment vertical="center"/>
    </xf>
    <xf numFmtId="164" fontId="4" fillId="0" borderId="0" xfId="2" applyNumberFormat="1" applyFont="1" applyAlignment="1">
      <alignment horizontal="right" vertical="center"/>
    </xf>
    <xf numFmtId="164" fontId="6" fillId="0" borderId="23" xfId="2" applyNumberFormat="1" applyFont="1" applyBorder="1" applyAlignment="1">
      <alignment horizontal="center" vertical="center"/>
    </xf>
    <xf numFmtId="164" fontId="6" fillId="0" borderId="23" xfId="1" applyFont="1" applyBorder="1" applyAlignment="1">
      <alignment horizontal="center" vertical="center"/>
    </xf>
    <xf numFmtId="164" fontId="5" fillId="0" borderId="0" xfId="2" applyNumberFormat="1" applyFont="1" applyAlignment="1">
      <alignment horizontal="right"/>
    </xf>
    <xf numFmtId="0" fontId="5" fillId="0" borderId="0" xfId="2" applyFont="1"/>
    <xf numFmtId="0" fontId="21" fillId="0" borderId="0" xfId="2" applyFont="1" applyAlignment="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2" fillId="0" borderId="0" xfId="2" applyFont="1" applyAlignment="1">
      <alignment horizontal="center" vertical="center"/>
    </xf>
    <xf numFmtId="0" fontId="23" fillId="2" borderId="6" xfId="2" applyFont="1" applyFill="1" applyBorder="1" applyAlignment="1">
      <alignment horizontal="center" vertical="center"/>
    </xf>
    <xf numFmtId="0" fontId="24" fillId="0" borderId="0" xfId="2" applyFont="1" applyAlignment="1">
      <alignment vertical="center"/>
    </xf>
    <xf numFmtId="164" fontId="20" fillId="0" borderId="1" xfId="2" applyNumberFormat="1" applyFont="1" applyBorder="1" applyAlignment="1">
      <alignment horizontal="right"/>
    </xf>
    <xf numFmtId="0" fontId="26" fillId="0" borderId="0" xfId="2" applyFont="1" applyAlignment="1">
      <alignment horizontal="center" vertical="center"/>
    </xf>
    <xf numFmtId="0" fontId="27" fillId="0" borderId="0" xfId="2" applyFont="1" applyAlignment="1">
      <alignment vertical="center"/>
    </xf>
    <xf numFmtId="0" fontId="24" fillId="0" borderId="0" xfId="2" applyFont="1" applyAlignment="1">
      <alignment horizontal="left" vertical="top"/>
    </xf>
    <xf numFmtId="164" fontId="6" fillId="0" borderId="51" xfId="2" applyNumberFormat="1" applyFont="1" applyBorder="1" applyAlignment="1">
      <alignment horizontal="center" vertical="center"/>
    </xf>
    <xf numFmtId="0" fontId="6" fillId="0" borderId="55" xfId="2" applyFont="1" applyBorder="1" applyAlignment="1">
      <alignment horizontal="center" vertical="center"/>
    </xf>
    <xf numFmtId="164" fontId="6" fillId="0" borderId="56" xfId="2" applyNumberFormat="1" applyFont="1" applyBorder="1" applyAlignment="1">
      <alignment horizontal="center" vertical="center"/>
    </xf>
    <xf numFmtId="164" fontId="6" fillId="0" borderId="57" xfId="2" applyNumberFormat="1" applyFont="1" applyBorder="1" applyAlignment="1">
      <alignment horizontal="center" vertical="center" wrapText="1"/>
    </xf>
    <xf numFmtId="166" fontId="6" fillId="0" borderId="58" xfId="2" applyNumberFormat="1" applyFont="1" applyBorder="1" applyAlignment="1">
      <alignment horizontal="center" vertical="center"/>
    </xf>
    <xf numFmtId="0" fontId="10" fillId="0" borderId="60" xfId="2" applyFont="1" applyBorder="1" applyAlignment="1">
      <alignment horizontal="center" vertical="center"/>
    </xf>
    <xf numFmtId="0" fontId="6" fillId="0" borderId="63" xfId="2" applyFont="1" applyBorder="1" applyAlignment="1">
      <alignment horizontal="center" vertical="center"/>
    </xf>
    <xf numFmtId="0" fontId="6" fillId="0" borderId="64" xfId="2" applyFont="1" applyBorder="1" applyAlignment="1">
      <alignment horizontal="center" vertical="center"/>
    </xf>
    <xf numFmtId="0" fontId="13" fillId="0" borderId="0" xfId="0" applyFont="1"/>
    <xf numFmtId="166" fontId="12" fillId="0" borderId="20" xfId="1" applyNumberFormat="1" applyFont="1" applyBorder="1"/>
    <xf numFmtId="166" fontId="12" fillId="0" borderId="13" xfId="1" applyNumberFormat="1" applyFont="1" applyBorder="1"/>
    <xf numFmtId="0" fontId="16" fillId="0" borderId="62" xfId="0" applyFont="1" applyBorder="1" applyAlignment="1">
      <alignment horizontal="right"/>
    </xf>
    <xf numFmtId="0" fontId="16" fillId="0" borderId="60" xfId="0" applyFont="1" applyBorder="1" applyAlignment="1">
      <alignment horizontal="center"/>
    </xf>
    <xf numFmtId="0" fontId="16" fillId="0" borderId="0" xfId="0" applyFont="1"/>
    <xf numFmtId="0" fontId="6" fillId="0" borderId="76" xfId="2" applyFont="1" applyBorder="1" applyAlignment="1">
      <alignment horizontal="center" vertical="center"/>
    </xf>
    <xf numFmtId="0" fontId="27" fillId="0" borderId="10" xfId="2" applyFont="1" applyBorder="1" applyAlignment="1">
      <alignment horizontal="left" vertical="center"/>
    </xf>
    <xf numFmtId="164" fontId="29" fillId="0" borderId="11" xfId="1" applyFont="1" applyBorder="1"/>
    <xf numFmtId="0" fontId="27" fillId="0" borderId="12" xfId="2" applyFont="1" applyBorder="1" applyAlignment="1">
      <alignment horizontal="left" vertical="center"/>
    </xf>
    <xf numFmtId="164" fontId="29" fillId="0" borderId="13" xfId="1" applyFont="1" applyBorder="1"/>
    <xf numFmtId="0" fontId="27" fillId="0" borderId="18" xfId="2" applyFont="1" applyBorder="1" applyAlignment="1">
      <alignment horizontal="left" vertical="center"/>
    </xf>
    <xf numFmtId="164" fontId="29" fillId="0" borderId="17" xfId="1" applyFont="1" applyBorder="1"/>
    <xf numFmtId="173" fontId="8" fillId="0" borderId="47" xfId="1" applyNumberFormat="1" applyFont="1" applyBorder="1" applyAlignment="1">
      <alignment vertical="center"/>
    </xf>
    <xf numFmtId="173" fontId="8" fillId="0" borderId="50" xfId="1" applyNumberFormat="1" applyFont="1" applyBorder="1" applyAlignment="1">
      <alignment vertical="center"/>
    </xf>
    <xf numFmtId="172" fontId="8" fillId="0" borderId="50" xfId="1" applyNumberFormat="1" applyFont="1" applyBorder="1" applyAlignment="1">
      <alignment vertical="center"/>
    </xf>
    <xf numFmtId="166" fontId="9" fillId="13" borderId="16" xfId="1" applyNumberFormat="1" applyFont="1" applyFill="1" applyBorder="1" applyAlignment="1">
      <alignment horizontal="right" vertical="center"/>
    </xf>
    <xf numFmtId="169" fontId="14" fillId="0" borderId="31" xfId="2" applyNumberFormat="1" applyFont="1" applyBorder="1" applyAlignment="1" applyProtection="1">
      <alignment horizontal="center" vertical="center"/>
      <protection locked="0"/>
    </xf>
    <xf numFmtId="164" fontId="4" fillId="0" borderId="49" xfId="2" applyNumberFormat="1" applyFont="1" applyBorder="1" applyAlignment="1">
      <alignment horizontal="center" vertical="center"/>
    </xf>
    <xf numFmtId="166" fontId="29" fillId="0" borderId="0" xfId="1" applyNumberFormat="1" applyFont="1"/>
    <xf numFmtId="0" fontId="33" fillId="0" borderId="0" xfId="2" applyFont="1" applyAlignment="1">
      <alignment vertical="center"/>
    </xf>
    <xf numFmtId="0" fontId="27" fillId="0" borderId="0" xfId="0" applyFont="1" applyAlignment="1">
      <alignment vertical="center"/>
    </xf>
    <xf numFmtId="0" fontId="27" fillId="0" borderId="0" xfId="0" applyFont="1" applyAlignment="1">
      <alignment vertical="center" wrapText="1"/>
    </xf>
    <xf numFmtId="164" fontId="29" fillId="0" borderId="26" xfId="1" applyFont="1" applyBorder="1" applyAlignment="1">
      <alignment vertical="center"/>
    </xf>
    <xf numFmtId="164" fontId="43" fillId="11" borderId="26" xfId="1" applyFont="1" applyFill="1" applyBorder="1" applyAlignment="1">
      <alignment vertical="center"/>
    </xf>
    <xf numFmtId="164" fontId="44" fillId="0" borderId="26" xfId="1" applyFont="1" applyBorder="1" applyAlignment="1">
      <alignment vertical="center"/>
    </xf>
    <xf numFmtId="166" fontId="29" fillId="0" borderId="26" xfId="1" applyNumberFormat="1" applyFont="1" applyBorder="1" applyAlignment="1">
      <alignment vertical="center"/>
    </xf>
    <xf numFmtId="166" fontId="43" fillId="11" borderId="26" xfId="1" applyNumberFormat="1" applyFont="1" applyFill="1" applyBorder="1" applyAlignment="1">
      <alignment vertical="center"/>
    </xf>
    <xf numFmtId="166" fontId="44" fillId="0" borderId="26" xfId="1" applyNumberFormat="1" applyFont="1" applyBorder="1" applyAlignment="1">
      <alignment vertical="center"/>
    </xf>
    <xf numFmtId="0" fontId="30" fillId="0" borderId="0" xfId="0" applyFont="1" applyAlignment="1">
      <alignment vertical="center"/>
    </xf>
    <xf numFmtId="166" fontId="43" fillId="0" borderId="0" xfId="1" applyNumberFormat="1" applyFont="1" applyAlignment="1" applyProtection="1">
      <alignment vertical="center"/>
      <protection locked="0"/>
    </xf>
    <xf numFmtId="0" fontId="30" fillId="14" borderId="26" xfId="0" applyFont="1" applyFill="1" applyBorder="1" applyAlignment="1">
      <alignment horizontal="center" vertical="center" wrapText="1"/>
    </xf>
    <xf numFmtId="0" fontId="42" fillId="0" borderId="0" xfId="0" applyFont="1" applyAlignment="1">
      <alignment horizontal="center" vertical="center"/>
    </xf>
    <xf numFmtId="0" fontId="27" fillId="0" borderId="0" xfId="0" applyFont="1" applyAlignment="1">
      <alignment horizontal="center" vertical="center" wrapText="1"/>
    </xf>
    <xf numFmtId="166" fontId="43" fillId="10" borderId="26" xfId="1" applyNumberFormat="1" applyFont="1" applyFill="1" applyBorder="1" applyAlignment="1" applyProtection="1">
      <alignment horizontal="right" vertical="center"/>
      <protection locked="0"/>
    </xf>
    <xf numFmtId="2" fontId="30" fillId="10" borderId="26" xfId="0" applyNumberFormat="1" applyFont="1" applyFill="1" applyBorder="1" applyAlignment="1" applyProtection="1">
      <alignment horizontal="right" vertical="center"/>
      <protection locked="0"/>
    </xf>
    <xf numFmtId="0" fontId="45" fillId="0" borderId="0" xfId="0" applyFont="1" applyAlignment="1">
      <alignment horizontal="left" vertical="center"/>
    </xf>
    <xf numFmtId="0" fontId="27" fillId="0" borderId="0" xfId="0" applyFont="1" applyAlignment="1">
      <alignment horizontal="right" vertical="center"/>
    </xf>
    <xf numFmtId="166" fontId="43" fillId="0" borderId="0" xfId="1" applyNumberFormat="1" applyFont="1" applyAlignment="1">
      <alignment vertical="center"/>
    </xf>
    <xf numFmtId="0" fontId="27" fillId="0" borderId="26" xfId="0" applyFont="1" applyBorder="1" applyAlignment="1">
      <alignment horizontal="left" vertical="center"/>
    </xf>
    <xf numFmtId="0" fontId="27" fillId="0" borderId="0" xfId="0" applyFont="1" applyAlignment="1">
      <alignment horizontal="left" vertical="center"/>
    </xf>
    <xf numFmtId="0" fontId="30" fillId="14" borderId="28" xfId="0" applyFont="1" applyFill="1" applyBorder="1" applyAlignment="1">
      <alignment horizontal="left" vertical="center" wrapText="1"/>
    </xf>
    <xf numFmtId="0" fontId="27" fillId="0" borderId="0" xfId="0" applyFont="1" applyAlignment="1">
      <alignment horizontal="left" vertical="top"/>
    </xf>
    <xf numFmtId="0" fontId="27" fillId="0" borderId="0" xfId="0" applyFont="1" applyAlignment="1">
      <alignment horizontal="left" vertical="top" wrapText="1"/>
    </xf>
    <xf numFmtId="173" fontId="8" fillId="0" borderId="95" xfId="1" applyNumberFormat="1" applyFont="1" applyBorder="1" applyAlignment="1">
      <alignment vertical="center"/>
    </xf>
    <xf numFmtId="166" fontId="18" fillId="0" borderId="17" xfId="1" applyNumberFormat="1" applyFont="1" applyBorder="1"/>
    <xf numFmtId="172" fontId="8" fillId="0" borderId="95" xfId="1" applyNumberFormat="1" applyFont="1" applyBorder="1" applyAlignment="1">
      <alignment vertical="center"/>
    </xf>
    <xf numFmtId="0" fontId="27" fillId="0" borderId="0" xfId="0" applyFont="1" applyAlignment="1">
      <alignment horizontal="left"/>
    </xf>
    <xf numFmtId="0" fontId="4" fillId="0" borderId="12" xfId="2" applyFont="1" applyBorder="1" applyAlignment="1">
      <alignment vertical="center"/>
    </xf>
    <xf numFmtId="0" fontId="4" fillId="0" borderId="18" xfId="2" applyFont="1" applyBorder="1" applyAlignment="1">
      <alignment vertical="center"/>
    </xf>
    <xf numFmtId="0" fontId="30" fillId="2" borderId="26" xfId="0" applyFont="1" applyFill="1" applyBorder="1" applyAlignment="1">
      <alignment horizontal="right" vertical="center"/>
    </xf>
    <xf numFmtId="2" fontId="30" fillId="2" borderId="26" xfId="0" applyNumberFormat="1" applyFont="1" applyFill="1" applyBorder="1" applyAlignment="1">
      <alignment vertical="center"/>
    </xf>
    <xf numFmtId="2" fontId="30" fillId="2" borderId="26" xfId="0" applyNumberFormat="1" applyFont="1" applyFill="1" applyBorder="1" applyAlignment="1">
      <alignment horizontal="right" vertical="center"/>
    </xf>
    <xf numFmtId="0" fontId="13" fillId="0" borderId="0" xfId="0" applyFont="1" applyAlignment="1">
      <alignment vertical="center"/>
    </xf>
    <xf numFmtId="166" fontId="15" fillId="0" borderId="13" xfId="1" applyNumberFormat="1" applyFont="1" applyBorder="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8" fillId="0" borderId="0" xfId="2" applyFont="1" applyAlignment="1">
      <alignment vertical="center"/>
    </xf>
    <xf numFmtId="166" fontId="12" fillId="16" borderId="69" xfId="1" applyNumberFormat="1" applyFont="1" applyFill="1" applyBorder="1" applyAlignment="1">
      <alignment vertical="center"/>
    </xf>
    <xf numFmtId="166" fontId="49" fillId="16" borderId="105" xfId="1" applyNumberFormat="1" applyFont="1" applyFill="1" applyBorder="1"/>
    <xf numFmtId="164" fontId="8" fillId="0" borderId="0" xfId="1" applyFont="1"/>
    <xf numFmtId="166" fontId="8" fillId="0" borderId="0" xfId="1" applyNumberFormat="1" applyFont="1"/>
    <xf numFmtId="166" fontId="29" fillId="0" borderId="13" xfId="1" applyNumberFormat="1" applyFont="1" applyBorder="1" applyAlignment="1">
      <alignment vertical="center"/>
    </xf>
    <xf numFmtId="166" fontId="29" fillId="0" borderId="17" xfId="1" applyNumberFormat="1" applyFont="1" applyBorder="1" applyAlignment="1">
      <alignment vertical="center"/>
    </xf>
    <xf numFmtId="166" fontId="29" fillId="0" borderId="11" xfId="1" applyNumberFormat="1" applyFont="1" applyBorder="1" applyAlignment="1">
      <alignment vertical="center"/>
    </xf>
    <xf numFmtId="0" fontId="4" fillId="0" borderId="92" xfId="2" applyFont="1" applyBorder="1" applyAlignment="1">
      <alignment vertical="center"/>
    </xf>
    <xf numFmtId="0" fontId="4" fillId="0" borderId="106" xfId="2" applyFont="1" applyBorder="1" applyAlignment="1">
      <alignment vertical="center"/>
    </xf>
    <xf numFmtId="0" fontId="4" fillId="15" borderId="12" xfId="2" applyFont="1" applyFill="1" applyBorder="1" applyAlignment="1">
      <alignment vertical="center"/>
    </xf>
    <xf numFmtId="166" fontId="29" fillId="15" borderId="13" xfId="1" applyNumberFormat="1" applyFont="1" applyFill="1" applyBorder="1" applyAlignment="1">
      <alignment vertical="center"/>
    </xf>
    <xf numFmtId="0" fontId="4" fillId="0" borderId="6" xfId="2" applyFont="1" applyBorder="1" applyAlignment="1">
      <alignment vertical="center"/>
    </xf>
    <xf numFmtId="0" fontId="27" fillId="0" borderId="0" xfId="2" applyFont="1" applyAlignment="1">
      <alignment vertical="top" wrapText="1"/>
    </xf>
    <xf numFmtId="0" fontId="27" fillId="15" borderId="12" xfId="2" applyFont="1" applyFill="1" applyBorder="1" applyAlignment="1">
      <alignment horizontal="left" vertical="center"/>
    </xf>
    <xf numFmtId="164" fontId="29" fillId="15" borderId="13" xfId="1" applyFont="1" applyFill="1" applyBorder="1"/>
    <xf numFmtId="164" fontId="39" fillId="9" borderId="68" xfId="1" applyFont="1" applyFill="1" applyBorder="1" applyAlignment="1" applyProtection="1">
      <alignment horizontal="center" vertical="center"/>
      <protection locked="0"/>
    </xf>
    <xf numFmtId="164" fontId="36" fillId="6" borderId="68" xfId="1" applyFont="1" applyFill="1" applyBorder="1" applyAlignment="1" applyProtection="1">
      <alignment horizontal="left" vertical="center"/>
      <protection locked="0"/>
    </xf>
    <xf numFmtId="164" fontId="35" fillId="6" borderId="68" xfId="1" applyFont="1" applyFill="1" applyBorder="1" applyAlignment="1" applyProtection="1">
      <alignment horizontal="left" vertical="center"/>
      <protection locked="0"/>
    </xf>
    <xf numFmtId="164" fontId="36" fillId="6" borderId="68" xfId="0" applyNumberFormat="1" applyFont="1" applyFill="1" applyBorder="1" applyAlignment="1" applyProtection="1">
      <alignment horizontal="left" vertical="center"/>
      <protection locked="0"/>
    </xf>
    <xf numFmtId="164" fontId="35" fillId="18" borderId="68" xfId="1" applyFont="1" applyFill="1" applyBorder="1" applyAlignment="1" applyProtection="1">
      <alignment horizontal="left" vertical="center"/>
      <protection locked="0"/>
    </xf>
    <xf numFmtId="164" fontId="36" fillId="0" borderId="68" xfId="0" applyNumberFormat="1" applyFont="1" applyBorder="1" applyAlignment="1" applyProtection="1">
      <alignment horizontal="right" vertical="center"/>
      <protection locked="0"/>
    </xf>
    <xf numFmtId="164" fontId="35" fillId="0" borderId="68" xfId="1" applyFont="1" applyBorder="1" applyAlignment="1" applyProtection="1">
      <alignment horizontal="right" vertical="center"/>
      <protection locked="0"/>
    </xf>
    <xf numFmtId="164" fontId="35" fillId="3" borderId="68" xfId="1" applyFont="1" applyFill="1" applyBorder="1" applyAlignment="1" applyProtection="1">
      <alignment horizontal="left" vertical="center"/>
      <protection locked="0"/>
    </xf>
    <xf numFmtId="164" fontId="35" fillId="0" borderId="68" xfId="1" applyFont="1" applyBorder="1" applyAlignment="1" applyProtection="1">
      <alignment horizontal="left" vertical="center"/>
      <protection locked="0"/>
    </xf>
    <xf numFmtId="164" fontId="36" fillId="3" borderId="68" xfId="0" applyNumberFormat="1" applyFont="1" applyFill="1" applyBorder="1" applyAlignment="1" applyProtection="1">
      <alignment horizontal="left" vertical="center"/>
      <protection locked="0"/>
    </xf>
    <xf numFmtId="164" fontId="35" fillId="0" borderId="68" xfId="1" applyFont="1" applyBorder="1" applyAlignment="1" applyProtection="1">
      <alignment horizontal="left"/>
      <protection locked="0"/>
    </xf>
    <xf numFmtId="164" fontId="36" fillId="3" borderId="68" xfId="2" applyNumberFormat="1" applyFont="1" applyFill="1" applyBorder="1" applyAlignment="1" applyProtection="1">
      <alignment horizontal="left" vertical="center"/>
      <protection locked="0"/>
    </xf>
    <xf numFmtId="164" fontId="36" fillId="3" borderId="68" xfId="1" applyFont="1" applyFill="1" applyBorder="1" applyAlignment="1" applyProtection="1">
      <alignment horizontal="left" vertical="center"/>
      <protection locked="0"/>
    </xf>
    <xf numFmtId="164" fontId="35" fillId="14" borderId="68" xfId="1" applyFont="1" applyFill="1" applyBorder="1" applyAlignment="1" applyProtection="1">
      <alignment horizontal="left" vertical="center"/>
      <protection locked="0"/>
    </xf>
    <xf numFmtId="164" fontId="36" fillId="14" borderId="68" xfId="2" applyNumberFormat="1" applyFont="1" applyFill="1" applyBorder="1" applyAlignment="1" applyProtection="1">
      <alignment horizontal="left" vertical="center"/>
      <protection locked="0"/>
    </xf>
    <xf numFmtId="164" fontId="35" fillId="19" borderId="68" xfId="1" applyFont="1" applyFill="1" applyBorder="1" applyAlignment="1" applyProtection="1">
      <alignment horizontal="left" vertical="center"/>
      <protection locked="0"/>
    </xf>
    <xf numFmtId="164" fontId="36" fillId="19" borderId="68" xfId="0" applyNumberFormat="1" applyFont="1" applyFill="1" applyBorder="1" applyAlignment="1" applyProtection="1">
      <alignment horizontal="left" vertical="center"/>
      <protection locked="0"/>
    </xf>
    <xf numFmtId="164" fontId="35" fillId="0" borderId="0" xfId="1" applyFont="1" applyAlignment="1" applyProtection="1">
      <alignment horizontal="left" vertical="center"/>
      <protection locked="0"/>
    </xf>
    <xf numFmtId="164" fontId="24" fillId="0" borderId="0" xfId="2" applyNumberFormat="1" applyFont="1" applyAlignment="1">
      <alignment vertical="center"/>
    </xf>
    <xf numFmtId="164" fontId="35" fillId="11" borderId="68" xfId="1" applyFont="1" applyFill="1" applyBorder="1" applyAlignment="1" applyProtection="1">
      <alignment horizontal="left" vertical="center"/>
      <protection locked="0"/>
    </xf>
    <xf numFmtId="164" fontId="37" fillId="0" borderId="68" xfId="1" applyFont="1" applyBorder="1" applyAlignment="1" applyProtection="1">
      <alignment horizontal="left" vertical="center"/>
      <protection locked="0"/>
    </xf>
    <xf numFmtId="164" fontId="37" fillId="0" borderId="0" xfId="1" applyFont="1" applyAlignment="1" applyProtection="1">
      <alignment horizontal="left" vertical="center"/>
      <protection locked="0"/>
    </xf>
    <xf numFmtId="49" fontId="36" fillId="0" borderId="68" xfId="0" applyNumberFormat="1" applyFont="1" applyBorder="1" applyAlignment="1" applyProtection="1">
      <alignment horizontal="left" vertical="top" wrapText="1"/>
      <protection locked="0"/>
    </xf>
    <xf numFmtId="49" fontId="36" fillId="0" borderId="68" xfId="1" applyNumberFormat="1" applyFont="1" applyBorder="1" applyAlignment="1" applyProtection="1">
      <alignment horizontal="left" vertical="center"/>
      <protection locked="0"/>
    </xf>
    <xf numFmtId="164" fontId="50" fillId="0" borderId="0" xfId="1" applyFont="1" applyAlignment="1" applyProtection="1">
      <alignment horizontal="left" vertical="center"/>
      <protection locked="0"/>
    </xf>
    <xf numFmtId="2" fontId="35" fillId="0" borderId="68" xfId="1" applyNumberFormat="1" applyFont="1" applyBorder="1" applyAlignment="1" applyProtection="1">
      <alignment horizontal="right" vertical="center"/>
      <protection locked="0"/>
    </xf>
    <xf numFmtId="166" fontId="29" fillId="15" borderId="107" xfId="1" applyNumberFormat="1" applyFont="1" applyFill="1" applyBorder="1" applyAlignment="1">
      <alignment vertical="center"/>
    </xf>
    <xf numFmtId="166" fontId="29" fillId="15" borderId="105" xfId="1" applyNumberFormat="1" applyFont="1" applyFill="1" applyBorder="1" applyAlignment="1">
      <alignment vertical="center"/>
    </xf>
    <xf numFmtId="0" fontId="4" fillId="0" borderId="10" xfId="2" applyFont="1" applyBorder="1" applyAlignment="1">
      <alignment vertical="center"/>
    </xf>
    <xf numFmtId="0" fontId="24" fillId="0" borderId="73" xfId="2" applyFont="1" applyBorder="1" applyAlignment="1">
      <alignment horizontal="left" vertical="top"/>
    </xf>
    <xf numFmtId="0" fontId="24" fillId="0" borderId="72" xfId="2" applyFont="1" applyBorder="1" applyAlignment="1">
      <alignment horizontal="left" vertical="top"/>
    </xf>
    <xf numFmtId="0" fontId="24" fillId="0" borderId="75" xfId="2" applyFont="1" applyBorder="1" applyAlignment="1">
      <alignment horizontal="left" vertical="top"/>
    </xf>
    <xf numFmtId="0" fontId="10" fillId="0" borderId="21" xfId="2" applyFont="1" applyBorder="1" applyAlignment="1">
      <alignment horizontal="left" vertical="center"/>
    </xf>
    <xf numFmtId="0" fontId="10" fillId="0" borderId="2" xfId="2" applyFont="1" applyBorder="1" applyAlignment="1">
      <alignment horizontal="left" vertical="center"/>
    </xf>
    <xf numFmtId="0" fontId="10" fillId="0" borderId="98" xfId="2" applyFont="1" applyBorder="1" applyAlignment="1">
      <alignment horizontal="left" vertical="center"/>
    </xf>
    <xf numFmtId="0" fontId="10" fillId="0" borderId="99" xfId="2" applyFont="1" applyBorder="1" applyAlignment="1">
      <alignment horizontal="left" vertical="center"/>
    </xf>
    <xf numFmtId="0" fontId="17" fillId="0" borderId="19" xfId="8" applyFont="1" applyBorder="1" applyAlignment="1">
      <alignment horizontal="left"/>
    </xf>
    <xf numFmtId="0" fontId="10" fillId="16" borderId="92" xfId="2" applyFont="1" applyFill="1" applyBorder="1" applyAlignment="1">
      <alignment horizontal="right"/>
    </xf>
    <xf numFmtId="0" fontId="10" fillId="16" borderId="93" xfId="2" applyFont="1" applyFill="1" applyBorder="1" applyAlignment="1">
      <alignment horizontal="right"/>
    </xf>
    <xf numFmtId="0" fontId="14" fillId="15" borderId="44" xfId="2" applyFont="1" applyFill="1" applyBorder="1" applyAlignment="1" applyProtection="1">
      <alignment horizontal="left" vertical="center" indent="1"/>
      <protection locked="0"/>
    </xf>
    <xf numFmtId="0" fontId="14" fillId="15" borderId="45" xfId="2" applyFont="1" applyFill="1" applyBorder="1" applyAlignment="1" applyProtection="1">
      <alignment horizontal="left" vertical="center" indent="1"/>
      <protection locked="0"/>
    </xf>
    <xf numFmtId="0" fontId="14" fillId="15" borderId="97" xfId="2" applyFont="1" applyFill="1" applyBorder="1" applyAlignment="1" applyProtection="1">
      <alignment horizontal="left" vertical="center" indent="1"/>
      <protection locked="0"/>
    </xf>
    <xf numFmtId="0" fontId="14" fillId="15" borderId="91" xfId="2" applyFont="1" applyFill="1" applyBorder="1" applyAlignment="1" applyProtection="1">
      <alignment horizontal="left" vertical="center" indent="1"/>
      <protection locked="0"/>
    </xf>
    <xf numFmtId="164" fontId="23" fillId="2" borderId="6" xfId="2" applyNumberFormat="1" applyFont="1" applyFill="1" applyBorder="1" applyAlignment="1">
      <alignment horizontal="left" vertical="center"/>
    </xf>
    <xf numFmtId="164" fontId="23" fillId="2" borderId="11" xfId="2" applyNumberFormat="1" applyFont="1" applyFill="1" applyBorder="1" applyAlignment="1">
      <alignment horizontal="left" vertical="center"/>
    </xf>
    <xf numFmtId="0" fontId="6" fillId="0" borderId="7" xfId="2" applyFont="1" applyBorder="1" applyAlignment="1">
      <alignment horizontal="left" vertical="center" wrapText="1"/>
    </xf>
    <xf numFmtId="0" fontId="9" fillId="13" borderId="14" xfId="2" applyFont="1" applyFill="1" applyBorder="1" applyAlignment="1">
      <alignment horizontal="right" vertical="center"/>
    </xf>
    <xf numFmtId="0" fontId="9" fillId="13" borderId="15" xfId="2" applyFont="1" applyFill="1" applyBorder="1" applyAlignment="1">
      <alignment horizontal="right" vertical="center"/>
    </xf>
    <xf numFmtId="168" fontId="6" fillId="0" borderId="6" xfId="2" applyNumberFormat="1" applyFont="1" applyBorder="1" applyAlignment="1">
      <alignment horizontal="left" vertical="center" wrapText="1"/>
    </xf>
    <xf numFmtId="0" fontId="10" fillId="0" borderId="59" xfId="0" applyFont="1" applyBorder="1" applyAlignment="1">
      <alignment horizontal="left"/>
    </xf>
    <xf numFmtId="0" fontId="10" fillId="0" borderId="60" xfId="0" applyFont="1" applyBorder="1" applyAlignment="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7" fillId="10" borderId="87" xfId="0" applyFont="1" applyFill="1" applyBorder="1" applyAlignment="1" applyProtection="1">
      <alignment horizontal="center" vertical="center"/>
      <protection locked="0"/>
    </xf>
    <xf numFmtId="0" fontId="27" fillId="10" borderId="54" xfId="0" applyFont="1" applyFill="1" applyBorder="1" applyAlignment="1" applyProtection="1">
      <alignment horizontal="center" vertical="center"/>
      <protection locked="0"/>
    </xf>
    <xf numFmtId="0" fontId="10" fillId="0" borderId="32" xfId="2" applyFont="1" applyBorder="1" applyAlignment="1">
      <alignment horizontal="left" vertical="center"/>
    </xf>
    <xf numFmtId="0" fontId="10" fillId="0" borderId="8" xfId="2" applyFont="1" applyBorder="1" applyAlignment="1">
      <alignment horizontal="left" vertical="center"/>
    </xf>
    <xf numFmtId="0" fontId="10" fillId="0" borderId="9" xfId="2" applyFont="1" applyBorder="1" applyAlignment="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0" fillId="0" borderId="61" xfId="0" applyFont="1" applyBorder="1" applyAlignment="1">
      <alignment horizontal="left"/>
    </xf>
    <xf numFmtId="0" fontId="10" fillId="0" borderId="62" xfId="0" applyFont="1" applyBorder="1" applyAlignment="1">
      <alignment horizontal="left"/>
    </xf>
    <xf numFmtId="164" fontId="41" fillId="0" borderId="1" xfId="2" applyNumberFormat="1" applyFont="1" applyBorder="1" applyAlignment="1">
      <alignment horizontal="left"/>
    </xf>
    <xf numFmtId="0" fontId="41" fillId="0" borderId="1" xfId="2" applyFont="1" applyBorder="1" applyAlignment="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5" fillId="0" borderId="0" xfId="2" applyFont="1" applyAlignment="1">
      <alignment horizontal="right" vertical="center"/>
    </xf>
    <xf numFmtId="0" fontId="5" fillId="17" borderId="24" xfId="2" applyFont="1" applyFill="1" applyBorder="1" applyAlignment="1">
      <alignment horizontal="left" vertical="center" indent="1"/>
    </xf>
    <xf numFmtId="0" fontId="5" fillId="17" borderId="3" xfId="2" applyFont="1" applyFill="1" applyBorder="1" applyAlignment="1">
      <alignment horizontal="left" vertical="center" indent="1"/>
    </xf>
    <xf numFmtId="0" fontId="10" fillId="17" borderId="3" xfId="2" applyFont="1" applyFill="1" applyBorder="1" applyAlignment="1">
      <alignment horizontal="right" vertical="center"/>
    </xf>
    <xf numFmtId="0" fontId="6" fillId="17" borderId="25" xfId="2" applyFont="1" applyFill="1" applyBorder="1" applyAlignment="1">
      <alignment horizontal="right" vertical="center"/>
    </xf>
    <xf numFmtId="165" fontId="5" fillId="0" borderId="21" xfId="2" applyNumberFormat="1" applyFont="1" applyBorder="1" applyAlignment="1">
      <alignment horizontal="right" vertical="center"/>
    </xf>
    <xf numFmtId="165" fontId="5" fillId="0" borderId="2" xfId="2" applyNumberFormat="1" applyFont="1" applyBorder="1" applyAlignment="1">
      <alignment horizontal="right" vertical="center"/>
    </xf>
    <xf numFmtId="0" fontId="25" fillId="0" borderId="12" xfId="2" applyFont="1" applyBorder="1" applyAlignment="1">
      <alignment horizontal="right" vertical="center"/>
    </xf>
    <xf numFmtId="0" fontId="14" fillId="15" borderId="36" xfId="2" applyFont="1" applyFill="1" applyBorder="1" applyAlignment="1" applyProtection="1">
      <alignment horizontal="left" vertical="center" indent="1"/>
      <protection locked="0"/>
    </xf>
    <xf numFmtId="0" fontId="14" fillId="15" borderId="2" xfId="2" applyFont="1" applyFill="1" applyBorder="1" applyAlignment="1" applyProtection="1">
      <alignment horizontal="left" vertical="center" indent="1"/>
      <protection locked="0"/>
    </xf>
    <xf numFmtId="0" fontId="14" fillId="15" borderId="37" xfId="2" applyFont="1" applyFill="1" applyBorder="1" applyAlignment="1" applyProtection="1">
      <alignment horizontal="left" vertical="center" indent="1"/>
      <protection locked="0"/>
    </xf>
    <xf numFmtId="0" fontId="14" fillId="15" borderId="38" xfId="2" applyFont="1" applyFill="1" applyBorder="1" applyAlignment="1" applyProtection="1">
      <alignment horizontal="left" vertical="center" indent="1"/>
      <protection locked="0"/>
    </xf>
    <xf numFmtId="0" fontId="14" fillId="15" borderId="0" xfId="2" applyFont="1" applyFill="1" applyAlignment="1" applyProtection="1">
      <alignment horizontal="left" vertical="center" indent="1"/>
      <protection locked="0"/>
    </xf>
    <xf numFmtId="0" fontId="14" fillId="15" borderId="39" xfId="2" applyFont="1" applyFill="1" applyBorder="1" applyAlignment="1" applyProtection="1">
      <alignment horizontal="left" vertical="center" indent="1"/>
      <protection locked="0"/>
    </xf>
    <xf numFmtId="0" fontId="25" fillId="0" borderId="1" xfId="2" applyFont="1" applyBorder="1" applyAlignment="1">
      <alignment horizontal="right" vertical="center"/>
    </xf>
    <xf numFmtId="0" fontId="7" fillId="0" borderId="18" xfId="2" applyFont="1" applyBorder="1" applyAlignment="1">
      <alignment horizontal="right" vertical="center"/>
    </xf>
    <xf numFmtId="0" fontId="7" fillId="0" borderId="19" xfId="2" applyFont="1" applyBorder="1" applyAlignment="1">
      <alignment horizontal="right" vertical="center"/>
    </xf>
    <xf numFmtId="0" fontId="5" fillId="17" borderId="25" xfId="2" applyFont="1" applyFill="1" applyBorder="1" applyAlignment="1">
      <alignment horizontal="left" vertical="center" indent="1"/>
    </xf>
    <xf numFmtId="0" fontId="25" fillId="0" borderId="38" xfId="2" applyFont="1" applyBorder="1" applyAlignment="1">
      <alignment horizontal="right" vertical="center"/>
    </xf>
    <xf numFmtId="0" fontId="25" fillId="0" borderId="39" xfId="2" applyFont="1" applyBorder="1" applyAlignment="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5" fillId="0" borderId="22" xfId="2" applyFont="1" applyBorder="1" applyAlignment="1">
      <alignment horizontal="right" vertical="center"/>
    </xf>
    <xf numFmtId="0" fontId="14" fillId="15" borderId="38" xfId="2" applyFont="1" applyFill="1" applyBorder="1" applyAlignment="1" applyProtection="1">
      <alignment horizontal="left" vertical="top" wrapText="1" indent="1"/>
      <protection locked="0"/>
    </xf>
    <xf numFmtId="0" fontId="14" fillId="15" borderId="0" xfId="2" applyFont="1" applyFill="1" applyAlignment="1" applyProtection="1">
      <alignment horizontal="left" vertical="top" wrapText="1" indent="1"/>
      <protection locked="0"/>
    </xf>
    <xf numFmtId="0" fontId="14" fillId="15" borderId="39" xfId="2" applyFont="1" applyFill="1" applyBorder="1" applyAlignment="1" applyProtection="1">
      <alignment horizontal="left" vertical="top" wrapText="1" indent="1"/>
      <protection locked="0"/>
    </xf>
    <xf numFmtId="0" fontId="14" fillId="15" borderId="83" xfId="2" applyFont="1" applyFill="1" applyBorder="1" applyAlignment="1" applyProtection="1">
      <alignment horizontal="left" vertical="top" wrapText="1" indent="1"/>
      <protection locked="0"/>
    </xf>
    <xf numFmtId="0" fontId="14" fillId="15" borderId="1" xfId="2" applyFont="1" applyFill="1" applyBorder="1" applyAlignment="1" applyProtection="1">
      <alignment horizontal="left" vertical="top" wrapText="1" indent="1"/>
      <protection locked="0"/>
    </xf>
    <xf numFmtId="0" fontId="14" fillId="15" borderId="40" xfId="2" applyFont="1" applyFill="1" applyBorder="1" applyAlignment="1" applyProtection="1">
      <alignment horizontal="left" vertical="top" wrapText="1" indent="1"/>
      <protection locked="0"/>
    </xf>
    <xf numFmtId="0" fontId="6" fillId="0" borderId="52" xfId="2" applyFont="1" applyBorder="1" applyAlignment="1">
      <alignment horizontal="left" vertical="center"/>
    </xf>
    <xf numFmtId="0" fontId="6" fillId="0" borderId="53" xfId="2" applyFont="1" applyBorder="1" applyAlignment="1">
      <alignment horizontal="left" vertical="center"/>
    </xf>
    <xf numFmtId="0" fontId="6" fillId="0" borderId="54" xfId="2" applyFont="1" applyBorder="1" applyAlignment="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Border="1" applyAlignment="1">
      <alignment horizontal="right" vertical="center"/>
    </xf>
    <xf numFmtId="0" fontId="7" fillId="0" borderId="1" xfId="2" applyFont="1" applyBorder="1" applyAlignment="1">
      <alignment horizontal="right" vertical="center"/>
    </xf>
    <xf numFmtId="164" fontId="23" fillId="2" borderId="10" xfId="2" applyNumberFormat="1" applyFont="1" applyFill="1" applyBorder="1" applyAlignment="1">
      <alignment horizontal="left" vertical="center"/>
    </xf>
    <xf numFmtId="0" fontId="23" fillId="2" borderId="6" xfId="2" applyFont="1" applyFill="1" applyBorder="1" applyAlignment="1">
      <alignment horizontal="left" vertical="center"/>
    </xf>
    <xf numFmtId="168" fontId="14" fillId="0" borderId="22" xfId="2" applyNumberFormat="1" applyFont="1" applyBorder="1" applyAlignment="1">
      <alignment horizontal="right"/>
    </xf>
    <xf numFmtId="168" fontId="14" fillId="0" borderId="1" xfId="2" applyNumberFormat="1" applyFont="1" applyBorder="1" applyAlignment="1">
      <alignment horizontal="right"/>
    </xf>
    <xf numFmtId="0" fontId="14" fillId="0" borderId="12" xfId="2" applyFont="1" applyBorder="1" applyAlignment="1">
      <alignment horizontal="right"/>
    </xf>
    <xf numFmtId="0" fontId="14" fillId="0" borderId="0" xfId="2" applyFont="1" applyAlignment="1">
      <alignment horizontal="right"/>
    </xf>
    <xf numFmtId="0" fontId="7" fillId="0" borderId="103" xfId="2" applyFont="1" applyBorder="1" applyAlignment="1">
      <alignment horizontal="right" vertical="center"/>
    </xf>
    <xf numFmtId="0" fontId="7" fillId="0" borderId="101" xfId="2" applyFont="1" applyBorder="1" applyAlignment="1">
      <alignment horizontal="right" vertical="center"/>
    </xf>
    <xf numFmtId="0" fontId="14" fillId="0" borderId="103" xfId="2" applyFont="1" applyBorder="1" applyAlignment="1">
      <alignment horizontal="right" vertical="center"/>
    </xf>
    <xf numFmtId="0" fontId="14" fillId="0" borderId="101" xfId="2" applyFont="1" applyBorder="1" applyAlignment="1">
      <alignment horizontal="right" vertical="center"/>
    </xf>
    <xf numFmtId="0" fontId="14" fillId="0" borderId="104" xfId="2" applyFont="1" applyBorder="1" applyAlignment="1">
      <alignment horizontal="right" vertical="center"/>
    </xf>
    <xf numFmtId="0" fontId="31" fillId="0" borderId="100" xfId="2" applyFont="1" applyBorder="1" applyAlignment="1">
      <alignment horizontal="right"/>
    </xf>
    <xf numFmtId="0" fontId="31" fillId="0" borderId="101" xfId="2" applyFont="1" applyBorder="1" applyAlignment="1">
      <alignment horizontal="right"/>
    </xf>
    <xf numFmtId="0" fontId="31" fillId="0" borderId="102" xfId="2" applyFont="1" applyBorder="1" applyAlignment="1">
      <alignment horizontal="right"/>
    </xf>
    <xf numFmtId="0" fontId="6" fillId="0" borderId="32" xfId="2" applyFont="1" applyBorder="1" applyAlignment="1">
      <alignment horizontal="left" vertical="center"/>
    </xf>
    <xf numFmtId="0" fontId="6" fillId="0" borderId="8" xfId="2" applyFont="1" applyBorder="1" applyAlignment="1">
      <alignment horizontal="left" vertical="center"/>
    </xf>
    <xf numFmtId="0" fontId="6" fillId="0" borderId="9" xfId="2" applyFont="1" applyBorder="1" applyAlignment="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5" fillId="16" borderId="21" xfId="2" applyFont="1" applyFill="1" applyBorder="1" applyAlignment="1">
      <alignment horizontal="right" vertical="center"/>
    </xf>
    <xf numFmtId="0" fontId="25" fillId="16" borderId="2" xfId="2" applyFont="1" applyFill="1" applyBorder="1" applyAlignment="1">
      <alignment horizontal="right" vertical="center"/>
    </xf>
    <xf numFmtId="164" fontId="14" fillId="15" borderId="35" xfId="2" applyNumberFormat="1" applyFont="1" applyFill="1" applyBorder="1" applyAlignment="1" applyProtection="1">
      <alignment horizontal="left" vertical="center"/>
      <protection locked="0"/>
    </xf>
    <xf numFmtId="164" fontId="14" fillId="15" borderId="91" xfId="2" applyNumberFormat="1" applyFont="1" applyFill="1" applyBorder="1" applyAlignment="1" applyProtection="1">
      <alignment horizontal="left" vertical="center"/>
      <protection locked="0"/>
    </xf>
    <xf numFmtId="0" fontId="24" fillId="0" borderId="77" xfId="2" applyFont="1" applyBorder="1" applyAlignment="1">
      <alignment horizontal="left" vertical="top"/>
    </xf>
    <xf numFmtId="0" fontId="24" fillId="0" borderId="78" xfId="2" applyFont="1" applyBorder="1" applyAlignment="1">
      <alignment horizontal="left" vertical="top"/>
    </xf>
    <xf numFmtId="0" fontId="24" fillId="0" borderId="79" xfId="2" applyFont="1" applyBorder="1" applyAlignment="1">
      <alignment horizontal="left" vertical="top"/>
    </xf>
    <xf numFmtId="0" fontId="19" fillId="0" borderId="65" xfId="2" applyFont="1" applyBorder="1" applyAlignment="1" applyProtection="1">
      <alignment horizontal="left" vertical="center"/>
      <protection locked="0"/>
    </xf>
    <xf numFmtId="0" fontId="19" fillId="0" borderId="34" xfId="2" applyFont="1" applyBorder="1" applyAlignment="1" applyProtection="1">
      <alignment horizontal="left" vertical="center"/>
      <protection locked="0"/>
    </xf>
    <xf numFmtId="0" fontId="19" fillId="0" borderId="48" xfId="2" applyFont="1" applyBorder="1" applyAlignment="1" applyProtection="1">
      <alignment horizontal="left" vertical="center"/>
      <protection locked="0"/>
    </xf>
    <xf numFmtId="0" fontId="40" fillId="0" borderId="80" xfId="2" applyFont="1" applyBorder="1" applyAlignment="1">
      <alignment horizontal="left" vertical="top"/>
    </xf>
    <xf numFmtId="0" fontId="40" fillId="0" borderId="81" xfId="2" applyFont="1" applyBorder="1" applyAlignment="1">
      <alignment horizontal="left" vertical="top"/>
    </xf>
    <xf numFmtId="0" fontId="40" fillId="0" borderId="82" xfId="2" applyFont="1" applyBorder="1" applyAlignment="1">
      <alignment horizontal="left" vertical="top"/>
    </xf>
    <xf numFmtId="0" fontId="24" fillId="0" borderId="70" xfId="2" applyFont="1" applyBorder="1" applyAlignment="1">
      <alignment horizontal="left" vertical="top"/>
    </xf>
    <xf numFmtId="0" fontId="24" fillId="0" borderId="33" xfId="2" applyFont="1" applyBorder="1" applyAlignment="1">
      <alignment horizontal="left" vertical="top"/>
    </xf>
    <xf numFmtId="0" fontId="14" fillId="15" borderId="84" xfId="2" applyFont="1" applyFill="1" applyBorder="1" applyAlignment="1" applyProtection="1">
      <alignment horizontal="left" vertical="center" wrapText="1" indent="1"/>
      <protection locked="0"/>
    </xf>
    <xf numFmtId="0" fontId="14" fillId="15" borderId="85" xfId="2" applyFont="1" applyFill="1" applyBorder="1" applyAlignment="1" applyProtection="1">
      <alignment horizontal="left" vertical="center" wrapText="1" indent="1"/>
      <protection locked="0"/>
    </xf>
    <xf numFmtId="0" fontId="14"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4" fillId="15" borderId="29" xfId="2" applyNumberFormat="1" applyFont="1" applyFill="1" applyBorder="1" applyAlignment="1" applyProtection="1">
      <alignment horizontal="left" vertical="center"/>
      <protection locked="0"/>
    </xf>
    <xf numFmtId="164" fontId="10" fillId="0" borderId="87" xfId="2" applyNumberFormat="1" applyFont="1" applyBorder="1" applyAlignment="1">
      <alignment horizontal="left" vertical="center"/>
    </xf>
    <xf numFmtId="164" fontId="10" fillId="0" borderId="53" xfId="2" applyNumberFormat="1" applyFont="1" applyBorder="1" applyAlignment="1">
      <alignment horizontal="left" vertical="center"/>
    </xf>
    <xf numFmtId="164" fontId="10" fillId="0" borderId="54" xfId="2" applyNumberFormat="1" applyFont="1" applyBorder="1" applyAlignment="1">
      <alignment horizontal="left" vertical="center"/>
    </xf>
    <xf numFmtId="0" fontId="7" fillId="0" borderId="12" xfId="2" applyFont="1" applyBorder="1" applyAlignment="1">
      <alignment horizontal="right" vertical="center"/>
    </xf>
    <xf numFmtId="0" fontId="7" fillId="0" borderId="0" xfId="2" applyFont="1" applyAlignment="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4" fillId="0" borderId="71" xfId="2" applyFont="1" applyBorder="1" applyAlignment="1">
      <alignment horizontal="left" vertical="top"/>
    </xf>
    <xf numFmtId="0" fontId="24" fillId="0" borderId="74" xfId="2" applyFont="1" applyBorder="1" applyAlignment="1">
      <alignment horizontal="left" vertical="top"/>
    </xf>
    <xf numFmtId="0" fontId="30" fillId="2" borderId="10" xfId="2" applyFont="1" applyFill="1" applyBorder="1" applyAlignment="1">
      <alignment horizontal="left" vertical="center"/>
    </xf>
    <xf numFmtId="0" fontId="30" fillId="2" borderId="11" xfId="2" applyFont="1" applyFill="1" applyBorder="1" applyAlignment="1">
      <alignment horizontal="left" vertical="center"/>
    </xf>
    <xf numFmtId="0" fontId="27" fillId="0" borderId="12" xfId="2" applyFont="1" applyBorder="1" applyAlignment="1">
      <alignment horizontal="left" vertical="top" wrapText="1"/>
    </xf>
    <xf numFmtId="0" fontId="27" fillId="0" borderId="13" xfId="2" applyFont="1" applyBorder="1" applyAlignment="1">
      <alignment horizontal="left" vertical="top" wrapText="1"/>
    </xf>
    <xf numFmtId="0" fontId="27" fillId="15" borderId="12" xfId="2" applyFont="1" applyFill="1" applyBorder="1" applyAlignment="1">
      <alignment horizontal="left" vertical="top" wrapText="1"/>
    </xf>
    <xf numFmtId="0" fontId="27" fillId="15" borderId="13" xfId="2" applyFont="1" applyFill="1" applyBorder="1" applyAlignment="1">
      <alignment horizontal="left" vertical="top" wrapText="1"/>
    </xf>
    <xf numFmtId="0" fontId="30" fillId="2" borderId="5" xfId="2" applyFont="1" applyFill="1" applyBorder="1" applyAlignment="1">
      <alignment horizontal="left" vertical="center"/>
    </xf>
    <xf numFmtId="0" fontId="30" fillId="2" borderId="4" xfId="2" applyFont="1" applyFill="1" applyBorder="1" applyAlignment="1">
      <alignment horizontal="left" vertical="center"/>
    </xf>
    <xf numFmtId="0" fontId="30" fillId="0" borderId="0" xfId="0" applyFont="1" applyAlignment="1">
      <alignment horizontal="left" vertical="center"/>
    </xf>
    <xf numFmtId="0" fontId="30" fillId="2" borderId="68" xfId="2" applyFont="1" applyFill="1" applyBorder="1" applyAlignment="1">
      <alignment horizontal="left" vertical="center"/>
    </xf>
    <xf numFmtId="0" fontId="27" fillId="0" borderId="10" xfId="2" applyFont="1" applyBorder="1" applyAlignment="1">
      <alignment horizontal="left" vertical="top" wrapText="1"/>
    </xf>
    <xf numFmtId="0" fontId="27" fillId="0" borderId="11" xfId="2" applyFont="1" applyBorder="1" applyAlignment="1">
      <alignment horizontal="left" vertical="top" wrapText="1"/>
    </xf>
    <xf numFmtId="0" fontId="4" fillId="15" borderId="18" xfId="2" applyFont="1" applyFill="1" applyBorder="1" applyAlignment="1">
      <alignment horizontal="left" vertical="center"/>
    </xf>
    <xf numFmtId="0" fontId="4" fillId="15" borderId="17" xfId="2" applyFont="1" applyFill="1" applyBorder="1" applyAlignment="1">
      <alignment horizontal="left" vertical="center"/>
    </xf>
    <xf numFmtId="168" fontId="38" fillId="0" borderId="0" xfId="2" applyNumberFormat="1" applyFont="1" applyAlignment="1">
      <alignment horizontal="center" vertical="center"/>
    </xf>
    <xf numFmtId="0" fontId="20" fillId="0" borderId="0" xfId="2" applyFont="1" applyAlignment="1">
      <alignment horizontal="left" vertical="center"/>
    </xf>
    <xf numFmtId="0" fontId="24" fillId="0" borderId="19" xfId="2" applyFont="1" applyBorder="1" applyAlignment="1">
      <alignment horizontal="center" vertical="top"/>
    </xf>
    <xf numFmtId="0" fontId="34" fillId="0" borderId="65" xfId="2" applyFont="1" applyBorder="1" applyAlignment="1" applyProtection="1">
      <alignment horizontal="left" vertical="center"/>
      <protection locked="0"/>
    </xf>
    <xf numFmtId="0" fontId="34" fillId="0" borderId="34" xfId="2" applyFont="1" applyBorder="1" applyAlignment="1" applyProtection="1">
      <alignment horizontal="left" vertical="center"/>
      <protection locked="0"/>
    </xf>
    <xf numFmtId="0" fontId="34" fillId="0" borderId="48" xfId="2" applyFont="1" applyBorder="1" applyAlignment="1" applyProtection="1">
      <alignment horizontal="left" vertical="center"/>
      <protection locked="0"/>
    </xf>
    <xf numFmtId="0" fontId="31" fillId="0" borderId="0" xfId="2" applyFont="1" applyAlignment="1">
      <alignment horizontal="right"/>
    </xf>
    <xf numFmtId="0" fontId="4" fillId="0" borderId="19" xfId="2" applyFont="1" applyBorder="1" applyAlignment="1">
      <alignment horizontal="center" vertical="center"/>
    </xf>
    <xf numFmtId="0" fontId="44" fillId="0" borderId="28" xfId="0" applyFont="1" applyBorder="1" applyAlignment="1">
      <alignment horizontal="center" vertical="center"/>
    </xf>
    <xf numFmtId="0" fontId="44" fillId="0" borderId="27" xfId="0" applyFont="1" applyBorder="1" applyAlignment="1">
      <alignment horizontal="center" vertical="center"/>
    </xf>
    <xf numFmtId="0" fontId="30" fillId="14" borderId="68" xfId="0" applyFont="1" applyFill="1" applyBorder="1" applyAlignment="1">
      <alignment horizontal="center" vertical="center"/>
    </xf>
    <xf numFmtId="0" fontId="46" fillId="3" borderId="28" xfId="0" applyFont="1" applyFill="1" applyBorder="1" applyAlignment="1">
      <alignment horizontal="left" vertical="center" wrapText="1"/>
    </xf>
    <xf numFmtId="0" fontId="46" fillId="3" borderId="30" xfId="0" applyFont="1" applyFill="1" applyBorder="1" applyAlignment="1">
      <alignment horizontal="left" vertical="center" wrapText="1"/>
    </xf>
    <xf numFmtId="0" fontId="46" fillId="3" borderId="27" xfId="0" applyFont="1" applyFill="1" applyBorder="1" applyAlignment="1">
      <alignment horizontal="left" vertical="center" wrapText="1"/>
    </xf>
    <xf numFmtId="0" fontId="46" fillId="7" borderId="28" xfId="0" applyFont="1" applyFill="1" applyBorder="1" applyAlignment="1">
      <alignment horizontal="left" vertical="center" wrapText="1"/>
    </xf>
    <xf numFmtId="0" fontId="46" fillId="7" borderId="30" xfId="0" applyFont="1" applyFill="1" applyBorder="1" applyAlignment="1">
      <alignment horizontal="left" vertical="center" wrapText="1"/>
    </xf>
    <xf numFmtId="0" fontId="46" fillId="7" borderId="27" xfId="0" applyFont="1" applyFill="1" applyBorder="1" applyAlignment="1">
      <alignment horizontal="left" vertical="center" wrapText="1"/>
    </xf>
    <xf numFmtId="0" fontId="27" fillId="0" borderId="26" xfId="0" applyFont="1" applyBorder="1" applyAlignment="1">
      <alignment horizontal="left" vertical="center"/>
    </xf>
    <xf numFmtId="0" fontId="46" fillId="5" borderId="28" xfId="0" applyFont="1" applyFill="1" applyBorder="1" applyAlignment="1">
      <alignment horizontal="left" vertical="center" wrapText="1"/>
    </xf>
    <xf numFmtId="0" fontId="46" fillId="5" borderId="30" xfId="0" applyFont="1" applyFill="1" applyBorder="1" applyAlignment="1">
      <alignment horizontal="left" vertical="center" wrapText="1"/>
    </xf>
    <xf numFmtId="0" fontId="46" fillId="5" borderId="27" xfId="0" applyFont="1" applyFill="1" applyBorder="1" applyAlignment="1">
      <alignment horizontal="left" vertical="center" wrapText="1"/>
    </xf>
    <xf numFmtId="0" fontId="46" fillId="6" borderId="28" xfId="0" applyFont="1" applyFill="1" applyBorder="1" applyAlignment="1">
      <alignment horizontal="left" vertical="center" wrapText="1"/>
    </xf>
    <xf numFmtId="0" fontId="46" fillId="6" borderId="30" xfId="0" applyFont="1" applyFill="1" applyBorder="1" applyAlignment="1">
      <alignment horizontal="left" vertical="center" wrapText="1"/>
    </xf>
    <xf numFmtId="0" fontId="46" fillId="6" borderId="27" xfId="0" applyFont="1" applyFill="1" applyBorder="1" applyAlignment="1">
      <alignment horizontal="left" vertical="center" wrapText="1"/>
    </xf>
    <xf numFmtId="0" fontId="46" fillId="4" borderId="28" xfId="0" applyFont="1" applyFill="1" applyBorder="1" applyAlignment="1">
      <alignment horizontal="left" vertical="center" wrapText="1"/>
    </xf>
    <xf numFmtId="0" fontId="46" fillId="4" borderId="30" xfId="0" applyFont="1" applyFill="1" applyBorder="1" applyAlignment="1">
      <alignment horizontal="left" vertical="center" wrapText="1"/>
    </xf>
    <xf numFmtId="0" fontId="46" fillId="4" borderId="27" xfId="0" applyFont="1" applyFill="1" applyBorder="1" applyAlignment="1">
      <alignment horizontal="left" vertical="center" wrapText="1"/>
    </xf>
    <xf numFmtId="0" fontId="46" fillId="12" borderId="28" xfId="0" applyFont="1" applyFill="1" applyBorder="1" applyAlignment="1">
      <alignment horizontal="left" vertical="center" wrapText="1"/>
    </xf>
    <xf numFmtId="0" fontId="46" fillId="12" borderId="30" xfId="0" applyFont="1" applyFill="1" applyBorder="1" applyAlignment="1">
      <alignment horizontal="left" vertical="center" wrapText="1"/>
    </xf>
    <xf numFmtId="0" fontId="46" fillId="12" borderId="27" xfId="0" applyFont="1" applyFill="1" applyBorder="1" applyAlignment="1">
      <alignment horizontal="left" vertical="center" wrapText="1"/>
    </xf>
    <xf numFmtId="164" fontId="44" fillId="0" borderId="28" xfId="1" applyFont="1" applyBorder="1" applyAlignment="1">
      <alignment horizontal="center" vertical="center"/>
    </xf>
    <xf numFmtId="164" fontId="44" fillId="0" borderId="27" xfId="1" applyFont="1" applyBorder="1" applyAlignment="1">
      <alignment horizontal="center" vertical="center"/>
    </xf>
    <xf numFmtId="0" fontId="30" fillId="10" borderId="68" xfId="0" applyFont="1" applyFill="1" applyBorder="1" applyAlignment="1">
      <alignment horizontal="left" vertical="top" wrapText="1"/>
    </xf>
    <xf numFmtId="0" fontId="30" fillId="11" borderId="68" xfId="0" applyFont="1" applyFill="1" applyBorder="1" applyAlignment="1">
      <alignment horizontal="left" vertical="top" wrapText="1"/>
    </xf>
    <xf numFmtId="0" fontId="30" fillId="2" borderId="68" xfId="0" applyFont="1" applyFill="1" applyBorder="1" applyAlignment="1">
      <alignment horizontal="left" vertical="top" wrapText="1"/>
    </xf>
    <xf numFmtId="0" fontId="42" fillId="9" borderId="68" xfId="0" applyFont="1" applyFill="1" applyBorder="1" applyAlignment="1">
      <alignment horizontal="center" vertical="center"/>
    </xf>
    <xf numFmtId="0" fontId="47" fillId="8" borderId="68" xfId="0" applyFont="1" applyFill="1" applyBorder="1" applyAlignment="1">
      <alignment horizontal="left" vertical="center"/>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customXml/item1.xml" Type="http://schemas.openxmlformats.org/officeDocument/2006/relationships/customXml"/><Relationship Id="rId9" Target="../customXml/item2.xml" Type="http://schemas.openxmlformats.org/officeDocument/2006/relationships/custom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85725</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55</xdr:row>
          <xdr:rowOff>85725</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542925</xdr:colOff>
          <xdr:row>0</xdr:row>
          <xdr:rowOff>85725</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657225</xdr:colOff>
          <xdr:row>0</xdr:row>
          <xdr:rowOff>85725</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66</xdr:row>
      <xdr:rowOff>80597</xdr:rowOff>
    </xdr:from>
    <xdr:to>
      <xdr:col>9</xdr:col>
      <xdr:colOff>740380</xdr:colOff>
      <xdr:row>66</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352425</xdr:colOff>
      <xdr:row>5</xdr:row>
      <xdr:rowOff>209550</xdr:rowOff>
    </xdr:from>
    <xdr:to>
      <xdr:col>8</xdr:col>
      <xdr:colOff>141817</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2514600" y="1495425"/>
          <a:ext cx="8466667" cy="7028572"/>
        </a:xfrm>
        <a:prstGeom prst="rect">
          <a:avLst/>
        </a:prstGeom>
      </xdr:spPr>
    </xdr:pic>
    <xdr:clientData/>
  </xdr:twoCellAnchor>
  <xdr:twoCellAnchor editAs="oneCell">
    <xdr:from>
      <xdr:col>1</xdr:col>
      <xdr:colOff>361950</xdr:colOff>
      <xdr:row>32</xdr:row>
      <xdr:rowOff>57150</xdr:rowOff>
    </xdr:from>
    <xdr:to>
      <xdr:col>8</xdr:col>
      <xdr:colOff>151342</xdr:colOff>
      <xdr:row>62</xdr:row>
      <xdr:rowOff>237139</xdr:rowOff>
    </xdr:to>
    <xdr:pic>
      <xdr:nvPicPr>
        <xdr:cNvPr id="8" name="Bildobjekt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2524125" y="8286750"/>
          <a:ext cx="8466667" cy="7895239"/>
        </a:xfrm>
        <a:prstGeom prst="rect">
          <a:avLst/>
        </a:prstGeom>
      </xdr:spPr>
    </xdr:pic>
    <xdr:clientData/>
  </xdr:twoCellAnchor>
  <xdr:oneCellAnchor>
    <xdr:from>
      <xdr:col>2</xdr:col>
      <xdr:colOff>1343025</xdr:colOff>
      <xdr:row>0</xdr:row>
      <xdr:rowOff>95250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4933950" y="95250"/>
          <a:ext cx="1552575" cy="1104900"/>
        </a:xfrm>
        <a:prstGeom prst="borderCallout1">
          <a:avLst>
            <a:gd name="adj1" fmla="val 98380"/>
            <a:gd name="adj2" fmla="val 49807"/>
            <a:gd name="adj3" fmla="val 129497"/>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05124"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markägaren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392117</xdr:colOff>
      <xdr:row>7</xdr:row>
      <xdr:rowOff>93663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92117" y="1871663"/>
          <a:ext cx="1857375" cy="589383"/>
        </a:xfrm>
        <a:prstGeom prst="borderCallout1">
          <a:avLst>
            <a:gd name="adj1" fmla="val 74953"/>
            <a:gd name="adj2" fmla="val 100402"/>
            <a:gd name="adj3" fmla="val 74608"/>
            <a:gd name="adj4" fmla="val 1353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571500</xdr:colOff>
      <xdr:row>9</xdr:row>
      <xdr:rowOff>19050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410950" y="2333625"/>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392117</xdr:colOff>
      <xdr:row>13</xdr:row>
      <xdr:rowOff>190506</xdr:rowOff>
    </xdr:from>
    <xdr:ext cx="1857375" cy="933836"/>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92117" y="3492506"/>
          <a:ext cx="1857375" cy="933836"/>
        </a:xfrm>
        <a:prstGeom prst="borderCallout1">
          <a:avLst>
            <a:gd name="adj1" fmla="val 32198"/>
            <a:gd name="adj2" fmla="val 99808"/>
            <a:gd name="adj3" fmla="val 32515"/>
            <a:gd name="adj4" fmla="val 11838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utöver det som visas i kartan</a:t>
          </a:r>
          <a:endParaRPr lang="sv-SE" sz="1100"/>
        </a:p>
      </xdr:txBody>
    </xdr:sp>
    <xdr:clientData/>
  </xdr:oneCellAnchor>
  <xdr:oneCellAnchor>
    <xdr:from>
      <xdr:col>8</xdr:col>
      <xdr:colOff>590550</xdr:colOff>
      <xdr:row>17</xdr:row>
      <xdr:rowOff>200026</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430000" y="45720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19049</xdr:colOff>
      <xdr:row>38</xdr:row>
      <xdr:rowOff>68255</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468099" y="9840905"/>
          <a:ext cx="1952626" cy="417156"/>
        </a:xfrm>
        <a:prstGeom prst="borderCallout1">
          <a:avLst>
            <a:gd name="adj1" fmla="val 48281"/>
            <a:gd name="adj2" fmla="val -86"/>
            <a:gd name="adj3" fmla="val -63422"/>
            <a:gd name="adj4" fmla="val -21126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468100" y="10680693"/>
          <a:ext cx="1943100" cy="761610"/>
        </a:xfrm>
        <a:prstGeom prst="borderCallout1">
          <a:avLst>
            <a:gd name="adj1" fmla="val 52189"/>
            <a:gd name="adj2" fmla="val -509"/>
            <a:gd name="adj3" fmla="val 51632"/>
            <a:gd name="adj4" fmla="val -108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369893</xdr:colOff>
      <xdr:row>43</xdr:row>
      <xdr:rowOff>253153</xdr:rowOff>
    </xdr:from>
    <xdr:ext cx="1857375" cy="1450516"/>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69893" y="11311678"/>
          <a:ext cx="1857375" cy="1450516"/>
        </a:xfrm>
        <a:prstGeom prst="borderCallout1">
          <a:avLst>
            <a:gd name="adj1" fmla="val 69431"/>
            <a:gd name="adj2" fmla="val 99760"/>
            <a:gd name="adj3" fmla="val 69948"/>
            <a:gd name="adj4" fmla="val 118253"/>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endParaRPr lang="sv-SE" sz="1100"/>
        </a:p>
      </xdr:txBody>
    </xdr:sp>
    <xdr:clientData/>
  </xdr:oneCellAnchor>
  <xdr:oneCellAnchor>
    <xdr:from>
      <xdr:col>4</xdr:col>
      <xdr:colOff>190500</xdr:colOff>
      <xdr:row>0</xdr:row>
      <xdr:rowOff>95250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638925" y="95250"/>
          <a:ext cx="2724150" cy="1104900"/>
        </a:xfrm>
        <a:prstGeom prst="borderCallout1">
          <a:avLst>
            <a:gd name="adj1" fmla="val 98380"/>
            <a:gd name="adj2" fmla="val 49807"/>
            <a:gd name="adj3" fmla="val 130360"/>
            <a:gd name="adj4" fmla="val 495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markägarens egna servisledning .</a:t>
          </a:r>
          <a:endParaRPr lang="sv-SE" sz="1100"/>
        </a:p>
      </xdr:txBody>
    </xdr:sp>
    <xdr:clientData/>
  </xdr:oneCellAnchor>
  <xdr:oneCellAnchor>
    <xdr:from>
      <xdr:col>0</xdr:col>
      <xdr:colOff>357192</xdr:colOff>
      <xdr:row>26</xdr:row>
      <xdr:rowOff>238125</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57192" y="6842125"/>
          <a:ext cx="1857374" cy="1680669"/>
        </a:xfrm>
        <a:prstGeom prst="borderCallout1">
          <a:avLst>
            <a:gd name="adj1" fmla="val 52531"/>
            <a:gd name="adj2" fmla="val 100340"/>
            <a:gd name="adj3" fmla="val 52434"/>
            <a:gd name="adj4" fmla="val 118518"/>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9524</xdr:colOff>
      <xdr:row>33</xdr:row>
      <xdr:rowOff>66675</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458574" y="8553450"/>
          <a:ext cx="1952625" cy="933836"/>
        </a:xfrm>
        <a:prstGeom prst="borderCallout1">
          <a:avLst>
            <a:gd name="adj1" fmla="val 23833"/>
            <a:gd name="adj2" fmla="val -573"/>
            <a:gd name="adj3" fmla="val 24240"/>
            <a:gd name="adj4" fmla="val -3372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8</xdr:col>
      <xdr:colOff>600074</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439524" y="6067425"/>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8</xdr:col>
      <xdr:colOff>600074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439524" y="7277100"/>
          <a:ext cx="1952625" cy="1106063"/>
        </a:xfrm>
        <a:prstGeom prst="borderCallout1">
          <a:avLst>
            <a:gd name="adj1" fmla="val 96"/>
            <a:gd name="adj2" fmla="val 321"/>
            <a:gd name="adj3" fmla="val 112"/>
            <a:gd name="adj4" fmla="val -3234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358779</xdr:colOff>
      <xdr:row>34</xdr:row>
      <xdr:rowOff>31750</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58779" y="8775700"/>
          <a:ext cx="1853691" cy="1450516"/>
        </a:xfrm>
        <a:prstGeom prst="borderCallout1">
          <a:avLst>
            <a:gd name="adj1" fmla="val 6681"/>
            <a:gd name="adj2" fmla="val 100571"/>
            <a:gd name="adj3" fmla="val 6800"/>
            <a:gd name="adj4" fmla="val 11918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581024</xdr:colOff>
      <xdr:row>12</xdr:row>
      <xdr:rowOff>85725</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420474" y="3171825"/>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2</xdr:col>
      <xdr:colOff>1276348</xdr:colOff>
      <xdr:row>63</xdr:row>
      <xdr:rowOff>95988</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867273" y="16298013"/>
          <a:ext cx="4667252" cy="799361"/>
        </a:xfrm>
        <a:prstGeom prst="borderCallout1">
          <a:avLst>
            <a:gd name="adj1" fmla="val -950"/>
            <a:gd name="adj2" fmla="val 18536"/>
            <a:gd name="adj3" fmla="val -181000"/>
            <a:gd name="adj4" fmla="val 1820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markägares andel av ersättningen redovisas under fältet [Ersättning]. </a:t>
          </a:r>
          <a:endParaRPr lang="sv-SE" sz="1100" b="0" u="none"/>
        </a:p>
      </xdr:txBody>
    </xdr:sp>
    <xdr:clientData/>
  </xdr:oneCellAnchor>
  <xdr:oneCellAnchor>
    <xdr:from>
      <xdr:col>0</xdr:col>
      <xdr:colOff>2095499</xdr:colOff>
      <xdr:row>63</xdr:row>
      <xdr:rowOff>85726</xdr:rowOff>
    </xdr:from>
    <xdr:ext cx="2419351" cy="847724"/>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287751"/>
          <a:ext cx="2419351" cy="847724"/>
        </a:xfrm>
        <a:prstGeom prst="borderCallout1">
          <a:avLst>
            <a:gd name="adj1" fmla="val 103"/>
            <a:gd name="adj2" fmla="val 49760"/>
            <a:gd name="adj3" fmla="val -176913"/>
            <a:gd name="adj4" fmla="val 5046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(personnr)</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(personnummer), Organisation (organisationsnummer) </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314325</xdr:colOff>
      <xdr:row>56</xdr:row>
      <xdr:rowOff>104776</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314325" y="1450657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De grå fälten avseende: Namn, Personnummer samt Ägd andel ska vara ifyllda innan underlaget skickas ut till markägarna.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247650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533650"/>
          <a:ext cx="1857375" cy="790575"/>
        </a:xfrm>
        <a:prstGeom prst="borderCallout1">
          <a:avLst>
            <a:gd name="adj1" fmla="val 17654"/>
            <a:gd name="adj2" fmla="val 99807"/>
            <a:gd name="adj3" fmla="val 16425"/>
            <a:gd name="adj4" fmla="val 14547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0</xdr:col>
      <xdr:colOff>366717</xdr:colOff>
      <xdr:row>18</xdr:row>
      <xdr:rowOff>200025</xdr:rowOff>
    </xdr:from>
    <xdr:ext cx="1857374" cy="2019300"/>
    <xdr:sp macro="" textlink="">
      <xdr:nvSpPr>
        <xdr:cNvPr id="28" name="Bildtext 1 27">
          <a:extLst>
            <a:ext uri="{FF2B5EF4-FFF2-40B4-BE49-F238E27FC236}">
              <a16:creationId xmlns:a16="http://schemas.microsoft.com/office/drawing/2014/main" id="{00000000-0008-0000-0100-00001C000000}"/>
            </a:ext>
          </a:extLst>
        </xdr:cNvPr>
        <xdr:cNvSpPr/>
      </xdr:nvSpPr>
      <xdr:spPr bwMode="auto">
        <a:xfrm>
          <a:off x="366717" y="4829175"/>
          <a:ext cx="1857374" cy="2019300"/>
        </a:xfrm>
        <a:prstGeom prst="borderCallout1">
          <a:avLst>
            <a:gd name="adj1" fmla="val 98895"/>
            <a:gd name="adj2" fmla="val 99314"/>
            <a:gd name="adj3" fmla="val 99060"/>
            <a:gd name="adj4" fmla="val 118862"/>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Observera!</a:t>
          </a:r>
        </a:p>
        <a:p>
          <a:pPr algn="l"/>
          <a:r>
            <a:rPr lang="sv-SE" sz="1100" b="0" i="0" u="none" strike="noStrike" baseline="0">
              <a:solidFill>
                <a:schemeClr val="dk1"/>
              </a:solidFill>
              <a:effectLst/>
              <a:latin typeface="+mn-lt"/>
              <a:ea typeface="+mn-ea"/>
              <a:cs typeface="+mn-cs"/>
            </a:rPr>
            <a:t>Vid användning av Energiföretagen Sveriges "</a:t>
          </a:r>
          <a:r>
            <a:rPr lang="sv-SE" sz="1100" b="1" i="0" u="none" strike="noStrike" baseline="0">
              <a:solidFill>
                <a:schemeClr val="dk1"/>
              </a:solidFill>
              <a:effectLst/>
              <a:latin typeface="+mn-lt"/>
              <a:ea typeface="+mn-ea"/>
              <a:cs typeface="+mn-cs"/>
            </a:rPr>
            <a:t>Värderingsmetod för mindre intrång i skogsmark</a:t>
          </a:r>
          <a:r>
            <a:rPr lang="sv-SE" sz="1100" b="0" i="0" u="none" strike="noStrike" baseline="0">
              <a:solidFill>
                <a:schemeClr val="dk1"/>
              </a:solidFill>
              <a:effectLst/>
              <a:latin typeface="+mn-lt"/>
              <a:ea typeface="+mn-ea"/>
              <a:cs typeface="+mn-cs"/>
            </a:rPr>
            <a:t>" krävs manuell justering av ingående värden för att underlaget ska kunna tillämpas. </a:t>
          </a:r>
          <a:r>
            <a:rPr lang="sv-SE" sz="1100" b="0" u="none"/>
            <a:t>Påslag enligt ExprL</a:t>
          </a:r>
          <a:r>
            <a:rPr lang="sv-SE" sz="1100" b="0" u="none" baseline="0"/>
            <a:t> (25%) måste räknas bort. </a:t>
          </a:r>
        </a:p>
        <a:p>
          <a:pPr algn="l"/>
          <a:r>
            <a:rPr lang="sv-SE" sz="1100" b="0" u="none" baseline="0"/>
            <a:t>För övriga frågor, k</a:t>
          </a:r>
          <a:r>
            <a:rPr lang="sv-SE" sz="1100" b="0" u="none"/>
            <a:t>ontakta ansvarigt nätbolag.</a:t>
          </a: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markägarens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20637</xdr:colOff>
      <xdr:row>44</xdr:row>
      <xdr:rowOff>254891</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469687" y="11570591"/>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20637</xdr:colOff>
      <xdr:row>48</xdr:row>
      <xdr:rowOff>115191</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469687" y="12459591"/>
          <a:ext cx="1943100" cy="1106063"/>
        </a:xfrm>
        <a:prstGeom prst="borderCallout1">
          <a:avLst>
            <a:gd name="adj1" fmla="val 50849"/>
            <a:gd name="adj2" fmla="val 75"/>
            <a:gd name="adj3" fmla="val -11342"/>
            <a:gd name="adj4" fmla="val -2865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för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för överenskommelse.</a:t>
          </a:r>
          <a:endParaRPr lang="sv-SE" sz="1100"/>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3"/>
  <sheetViews>
    <sheetView showGridLines="0" showRowColHeaders="0" tabSelected="1" topLeftCell="A19" zoomScale="145" zoomScaleNormal="145" zoomScaleSheetLayoutView="100" workbookViewId="0">
      <selection activeCell="J26" sqref="J26"/>
    </sheetView>
  </sheetViews>
  <sheetFormatPr defaultColWidth="11.5703125" defaultRowHeight="12.75" customHeight="1" x14ac:dyDescent="0.2"/>
  <cols>
    <col min="1" max="1" customWidth="true" style="3" width="6.28515625" collapsed="false"/>
    <col min="2" max="2" customWidth="true" style="1" width="13.28515625" collapsed="false"/>
    <col min="3" max="3" customWidth="true" style="1" width="7.85546875" collapsed="false"/>
    <col min="4" max="4" customWidth="true" style="1" width="12.85546875" collapsed="false"/>
    <col min="5" max="5" customWidth="true" style="1" width="9.42578125" collapsed="false"/>
    <col min="6" max="6" customWidth="true" style="1" width="12.85546875" collapsed="false"/>
    <col min="7" max="7" customWidth="true" style="1" width="11.42578125" collapsed="false"/>
    <col min="8" max="8" customWidth="true" style="14" width="11.42578125" collapsed="false"/>
    <col min="9" max="9" customWidth="true" style="1" width="11.42578125" collapsed="false"/>
    <col min="10" max="10" customWidth="true" style="15" width="13.5703125" collapsed="false"/>
    <col min="11" max="11" customWidth="true" style="1" width="6.42578125" collapsed="false"/>
    <col min="12" max="12" customWidth="true" hidden="true" style="143" width="54.42578125" collapsed="false"/>
    <col min="13" max="13" customWidth="true" style="1" width="42.85546875" collapsed="false"/>
    <col min="14" max="16" customWidth="true" style="1" width="14.28515625" collapsed="false"/>
    <col min="17" max="230" customWidth="true" style="1" width="10.140625" collapsed="false"/>
    <col min="231" max="16384" style="39" width="11.5703125" collapsed="false"/>
  </cols>
  <sheetData>
    <row r="1" spans="1:230" s="1" customFormat="1" ht="22.5" customHeight="1" x14ac:dyDescent="0.3">
      <c r="A1" s="3"/>
      <c r="G1" s="39"/>
      <c r="H1" s="18"/>
      <c r="I1" s="20"/>
      <c r="J1" s="19"/>
      <c r="K1" s="2"/>
      <c r="L1" s="126" t="s">
        <v>0</v>
      </c>
    </row>
    <row r="2" spans="1:230" s="1" customFormat="1" ht="15" customHeight="1" x14ac:dyDescent="0.25">
      <c r="A2" s="3"/>
      <c r="B2" s="191" t="str">
        <f>L3</f>
        <v>VÄRDERINGSPROTOKOLL</v>
      </c>
      <c r="C2" s="192"/>
      <c r="D2" s="192"/>
      <c r="E2" s="192"/>
      <c r="F2" s="192"/>
      <c r="G2" s="10"/>
      <c r="H2" s="13"/>
      <c r="I2" s="10"/>
      <c r="J2" s="27"/>
      <c r="K2" s="2"/>
      <c r="L2" s="127" t="s">
        <v>1</v>
      </c>
    </row>
    <row r="3" spans="1:230" s="1" customFormat="1" ht="15" customHeight="1" x14ac:dyDescent="0.2">
      <c r="A3" s="3"/>
      <c r="B3" s="198" t="s">
        <v>2</v>
      </c>
      <c r="C3" s="199"/>
      <c r="D3" s="199"/>
      <c r="E3" s="199"/>
      <c r="F3" s="199"/>
      <c r="G3" s="199"/>
      <c r="H3" s="199"/>
      <c r="I3" s="200" t="s">
        <v>3</v>
      </c>
      <c r="J3" s="201"/>
      <c r="K3" s="3"/>
      <c r="L3" s="149" t="str">
        <f>IF(L11=TRUE,"VÄRDERINGSPROTOKOLL LÅGSPÄNNING","VÄRDERINGSPROTOKOLL")</f>
        <v>VÄRDERINGSPROTOKOLL</v>
      </c>
      <c r="M3" s="289" t="s">
        <v>4</v>
      </c>
      <c r="N3" s="290"/>
    </row>
    <row r="4" spans="1:230" ht="12" customHeight="1" x14ac:dyDescent="0.2">
      <c r="B4" s="202" t="s">
        <v>5</v>
      </c>
      <c r="C4" s="203"/>
      <c r="D4" s="205" t="s">
        <v>147</v>
      </c>
      <c r="E4" s="206"/>
      <c r="F4" s="207"/>
      <c r="G4" s="197" t="s">
        <v>6</v>
      </c>
      <c r="H4" s="197"/>
      <c r="I4" s="193"/>
      <c r="J4" s="194"/>
      <c r="K4" s="4"/>
      <c r="L4" s="128" t="s">
        <v>7</v>
      </c>
      <c r="M4" s="299" t="s">
        <v>8</v>
      </c>
      <c r="N4" s="300"/>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s="39"/>
      <c r="HV4" s="39"/>
    </row>
    <row r="5" spans="1:230" ht="12" customHeight="1" x14ac:dyDescent="0.2">
      <c r="B5" s="204" t="s">
        <v>9</v>
      </c>
      <c r="C5" s="197"/>
      <c r="D5" s="208" t="s">
        <v>146</v>
      </c>
      <c r="E5" s="209"/>
      <c r="F5" s="210"/>
      <c r="G5" s="197" t="s">
        <v>10</v>
      </c>
      <c r="H5" s="197"/>
      <c r="I5" s="195" t="s">
        <v>146</v>
      </c>
      <c r="J5" s="196"/>
      <c r="K5" s="5"/>
      <c r="L5" s="148" t="str">
        <f>IF(L17=FALSE,"Grundersättning vid överenskommelse:","Tillägg för minimiersättning:")</f>
        <v>Grundersättning vid överenskommelse:</v>
      </c>
      <c r="M5" s="293" t="s">
        <v>11</v>
      </c>
      <c r="N5" s="294"/>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39"/>
      <c r="GU5" s="39"/>
      <c r="GV5" s="39"/>
      <c r="GW5" s="39"/>
      <c r="GX5" s="39"/>
      <c r="GY5" s="39"/>
      <c r="GZ5" s="39"/>
      <c r="HA5" s="39"/>
      <c r="HB5" s="39"/>
      <c r="HC5" s="39"/>
      <c r="HD5" s="39"/>
      <c r="HE5" s="39"/>
      <c r="HF5" s="39"/>
      <c r="HG5" s="39"/>
      <c r="HH5" s="39"/>
      <c r="HI5" s="39"/>
      <c r="HJ5" s="39"/>
      <c r="HK5" s="39"/>
      <c r="HL5" s="39"/>
      <c r="HM5" s="39"/>
      <c r="HN5" s="39"/>
      <c r="HO5" s="39"/>
      <c r="HP5" s="39"/>
      <c r="HQ5" s="39"/>
      <c r="HR5" s="39"/>
      <c r="HS5" s="39"/>
      <c r="HT5" s="39"/>
      <c r="HU5" s="39"/>
      <c r="HV5" s="39"/>
    </row>
    <row r="6" spans="1:230" ht="12" customHeight="1" x14ac:dyDescent="0.2">
      <c r="B6" s="204" t="s">
        <v>12</v>
      </c>
      <c r="C6" s="197"/>
      <c r="D6" s="208"/>
      <c r="E6" s="209"/>
      <c r="F6" s="210"/>
      <c r="G6" s="215" t="s">
        <v>13</v>
      </c>
      <c r="H6" s="216"/>
      <c r="I6" s="195" t="s">
        <v>146</v>
      </c>
      <c r="J6" s="196"/>
      <c r="K6" s="11"/>
      <c r="L6" s="129" t="s">
        <v>14</v>
      </c>
      <c r="M6" s="291" t="s">
        <v>15</v>
      </c>
      <c r="N6" s="292"/>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row>
    <row r="7" spans="1:230" ht="12" customHeight="1" x14ac:dyDescent="0.2">
      <c r="B7" s="204" t="s">
        <v>16</v>
      </c>
      <c r="C7" s="197"/>
      <c r="D7" s="222"/>
      <c r="E7" s="223"/>
      <c r="F7" s="224"/>
      <c r="G7" s="197" t="s">
        <v>17</v>
      </c>
      <c r="H7" s="197"/>
      <c r="I7" s="217" t="n">
        <v>44533.57060181713</v>
      </c>
      <c r="J7" s="218"/>
      <c r="K7" s="11"/>
      <c r="L7" s="148" t="s">
        <v>18</v>
      </c>
      <c r="M7" s="293" t="s">
        <v>19</v>
      </c>
      <c r="N7" s="294"/>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row>
    <row r="8" spans="1:230" ht="12" customHeight="1" x14ac:dyDescent="0.2">
      <c r="B8" s="221"/>
      <c r="C8" s="211"/>
      <c r="D8" s="225"/>
      <c r="E8" s="226"/>
      <c r="F8" s="227"/>
      <c r="G8" s="211" t="s">
        <v>20</v>
      </c>
      <c r="H8" s="211"/>
      <c r="I8" s="219" t="s">
        <v>146</v>
      </c>
      <c r="J8" s="220"/>
      <c r="K8" s="11"/>
      <c r="L8" s="128" t="s">
        <v>21</v>
      </c>
      <c r="M8" s="291" t="s">
        <v>22</v>
      </c>
      <c r="N8" s="292"/>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row>
    <row r="9" spans="1:230" ht="15" customHeight="1" x14ac:dyDescent="0.2">
      <c r="B9" s="198" t="s">
        <v>23</v>
      </c>
      <c r="C9" s="199"/>
      <c r="D9" s="199"/>
      <c r="E9" s="199"/>
      <c r="F9" s="199"/>
      <c r="G9" s="199"/>
      <c r="H9" s="199"/>
      <c r="I9" s="199"/>
      <c r="J9" s="214"/>
      <c r="K9" s="6"/>
      <c r="L9" s="148" t="s">
        <v>24</v>
      </c>
      <c r="M9" s="301"/>
      <c r="N9" s="302"/>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row>
    <row r="10" spans="1:230" ht="12" customHeight="1" x14ac:dyDescent="0.2">
      <c r="B10" s="228" t="s">
        <v>25</v>
      </c>
      <c r="C10" s="229"/>
      <c r="D10" s="229"/>
      <c r="E10" s="229"/>
      <c r="F10" s="229"/>
      <c r="G10" s="230"/>
      <c r="H10" s="32" t="s">
        <v>26</v>
      </c>
      <c r="I10" s="32" t="s">
        <v>27</v>
      </c>
      <c r="J10" s="33" t="s">
        <v>28</v>
      </c>
      <c r="K10" s="7"/>
      <c r="L10" s="130" t="s">
        <v>29</v>
      </c>
      <c r="M10" s="122"/>
      <c r="N10" s="122"/>
      <c r="O10" s="59"/>
      <c r="P10" s="114"/>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row>
    <row r="11" spans="1:230" ht="12" customHeight="1" x14ac:dyDescent="0.2">
      <c r="B11" s="231"/>
      <c r="C11" s="232"/>
      <c r="D11" s="232"/>
      <c r="E11" s="232"/>
      <c r="F11" s="232"/>
      <c r="G11" s="233"/>
      <c r="H11" s="94"/>
      <c r="I11" s="95"/>
      <c r="J11" s="52" t="n">
        <f>IF(I11=0,0,H11*($L$19+($L$19*0.25)*(I11-1)))</f>
        <v>0.0</v>
      </c>
      <c r="K11" s="7"/>
      <c r="L11" s="131" t="b">
        <v>0</v>
      </c>
      <c r="M11" s="123"/>
      <c r="N11" s="123"/>
      <c r="O11" s="110"/>
      <c r="P11" s="114"/>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row>
    <row r="12" spans="1:230" ht="12" customHeight="1" x14ac:dyDescent="0.2">
      <c r="B12" s="186"/>
      <c r="C12" s="187"/>
      <c r="D12" s="187"/>
      <c r="E12" s="187"/>
      <c r="F12" s="187"/>
      <c r="G12" s="188"/>
      <c r="H12" s="96"/>
      <c r="I12" s="95"/>
      <c r="J12" s="52" t="n">
        <f>IF(I12=0,0,H12*($L$19+($L$19*0.25)*(I12-1)))</f>
        <v>0.0</v>
      </c>
      <c r="K12" s="8"/>
      <c r="L12" s="130" t="s">
        <v>30</v>
      </c>
      <c r="M12" s="123"/>
      <c r="N12" s="123"/>
      <c r="O12" s="110"/>
      <c r="P12" s="114"/>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row>
    <row r="13" spans="1:230" ht="12" customHeight="1" x14ac:dyDescent="0.2">
      <c r="B13" s="186"/>
      <c r="C13" s="187"/>
      <c r="D13" s="187"/>
      <c r="E13" s="187"/>
      <c r="F13" s="187"/>
      <c r="G13" s="188"/>
      <c r="H13" s="96"/>
      <c r="I13" s="95"/>
      <c r="J13" s="52" t="n">
        <f>IF(I13=0,0,H13*($L$19+($L$19*0.25)*(I13-1)))</f>
        <v>0.0</v>
      </c>
      <c r="K13" s="8"/>
      <c r="L13" s="132" t="b">
        <v>0</v>
      </c>
      <c r="M13" s="123"/>
      <c r="N13" s="123"/>
      <c r="O13" s="110"/>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row>
    <row r="14" spans="1:230" ht="12" customHeight="1" x14ac:dyDescent="0.2">
      <c r="B14" s="234"/>
      <c r="C14" s="235"/>
      <c r="D14" s="235"/>
      <c r="E14" s="235"/>
      <c r="F14" s="235"/>
      <c r="G14" s="236"/>
      <c r="H14" s="97"/>
      <c r="I14" s="98"/>
      <c r="J14" s="83" t="n">
        <f>IF(I14=0,0,H14*($L$19+($L$19*0.25)*(I14-1)))</f>
        <v>0.0</v>
      </c>
      <c r="K14" s="8"/>
      <c r="L14" s="130" t="s">
        <v>31</v>
      </c>
      <c r="O14" s="110"/>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row>
    <row r="15" spans="1:230" ht="12" customHeight="1" x14ac:dyDescent="0.2">
      <c r="B15" s="212" t="s">
        <v>32</v>
      </c>
      <c r="C15" s="213"/>
      <c r="D15" s="213"/>
      <c r="E15" s="213"/>
      <c r="F15" s="213"/>
      <c r="G15" s="213"/>
      <c r="H15" s="213"/>
      <c r="I15" s="213"/>
      <c r="J15" s="84" t="n">
        <f>SUM(J11:J14)</f>
        <v>0.0</v>
      </c>
      <c r="K15" s="8"/>
      <c r="L15" s="132" t="b">
        <v>0</v>
      </c>
      <c r="O15" s="39"/>
      <c r="P15" s="114"/>
      <c r="Q15" s="297"/>
      <c r="R15" s="297"/>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row>
    <row r="16" spans="1:230" ht="15" customHeight="1" x14ac:dyDescent="0.2">
      <c r="B16" s="198" t="s">
        <v>33</v>
      </c>
      <c r="C16" s="199"/>
      <c r="D16" s="199"/>
      <c r="E16" s="199"/>
      <c r="F16" s="199"/>
      <c r="G16" s="199"/>
      <c r="H16" s="199"/>
      <c r="I16" s="199"/>
      <c r="J16" s="214"/>
      <c r="K16" s="9"/>
      <c r="L16" s="130" t="s">
        <v>34</v>
      </c>
      <c r="M16" s="298" t="s">
        <v>35</v>
      </c>
      <c r="N16" s="298"/>
      <c r="O16" s="39"/>
      <c r="P16" s="114"/>
      <c r="Q16" s="86"/>
      <c r="R16" s="58"/>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row>
    <row r="17" spans="1:230" ht="12" customHeight="1" x14ac:dyDescent="0.2">
      <c r="B17" s="228" t="s">
        <v>36</v>
      </c>
      <c r="C17" s="229"/>
      <c r="D17" s="229"/>
      <c r="E17" s="229"/>
      <c r="F17" s="280" t="s">
        <v>37</v>
      </c>
      <c r="G17" s="281"/>
      <c r="H17" s="282"/>
      <c r="I17" s="31" t="s">
        <v>38</v>
      </c>
      <c r="J17" s="34" t="s">
        <v>28</v>
      </c>
      <c r="K17" s="6"/>
      <c r="L17" s="132" t="b">
        <v>0</v>
      </c>
      <c r="M17" s="154" t="str">
        <f>'DÖLJS - Ersättningstabeller'!A12</f>
        <v>Kabelskåp - Skog</v>
      </c>
      <c r="N17" s="117" t="n">
        <f>'DÖLJS - Ersättningstabeller'!C12</f>
        <v>500.0</v>
      </c>
      <c r="O17" s="39"/>
      <c r="P17" s="114"/>
      <c r="Q17" s="86"/>
      <c r="R17" s="58"/>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row>
    <row r="18" spans="1:230" ht="12" customHeight="1" x14ac:dyDescent="0.2">
      <c r="B18" s="186"/>
      <c r="C18" s="187"/>
      <c r="D18" s="187"/>
      <c r="E18" s="187"/>
      <c r="F18" s="279"/>
      <c r="G18" s="279"/>
      <c r="H18" s="279"/>
      <c r="I18" s="99"/>
      <c r="J18" s="53" t="n">
        <f>IF(I18&gt;0,(VLOOKUP(F18,'DÖLJS - Ersättningstabeller'!$A$11:$C$34,3,FALSE))*I18,0)</f>
        <v>0.0</v>
      </c>
      <c r="K18" s="7"/>
      <c r="L18" s="133" t="s">
        <v>40</v>
      </c>
      <c r="M18" s="87" t="str">
        <f>'DÖLJS - Ersättningstabeller'!A13</f>
        <v>Kabelskåp - Jordbruksimp.</v>
      </c>
      <c r="N18" s="115" t="n">
        <f>'DÖLJS - Ersättningstabeller'!C13</f>
        <v>500.0</v>
      </c>
      <c r="O18" s="39"/>
      <c r="P18" s="114"/>
      <c r="Q18" s="86"/>
      <c r="R18" s="58"/>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row>
    <row r="19" spans="1:230" ht="12" customHeight="1" x14ac:dyDescent="0.2">
      <c r="B19" s="186"/>
      <c r="C19" s="187"/>
      <c r="D19" s="187"/>
      <c r="E19" s="187"/>
      <c r="F19" s="260"/>
      <c r="G19" s="260"/>
      <c r="H19" s="260"/>
      <c r="I19" s="100"/>
      <c r="J19" s="52" t="n">
        <f>IF(I19&gt;0,(VLOOKUP(F19,'DÖLJS - Ersättningstabeller'!$A$11:$C$34,3,FALSE))*I19,0)</f>
        <v>0.0</v>
      </c>
      <c r="K19" s="7"/>
      <c r="L19" s="134" t="n">
        <f>'DÖLJS - Ersättningstabeller'!C10</f>
        <v>4.064344460570876</v>
      </c>
      <c r="M19" s="118" t="str">
        <f>'DÖLJS - Ersättningstabeller'!A14</f>
        <v>Kabelskåp - Övrig mark</v>
      </c>
      <c r="N19" s="115" t="n">
        <f>'DÖLJS - Ersättningstabeller'!C14</f>
        <v>500.0</v>
      </c>
      <c r="O19" s="39"/>
      <c r="P19" s="113"/>
      <c r="Q19" s="86"/>
      <c r="R19" s="58"/>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row>
    <row r="20" spans="1:230" ht="12" customHeight="1" x14ac:dyDescent="0.2">
      <c r="B20" s="186"/>
      <c r="C20" s="187"/>
      <c r="D20" s="187"/>
      <c r="E20" s="187"/>
      <c r="F20" s="260"/>
      <c r="G20" s="260"/>
      <c r="H20" s="260"/>
      <c r="I20" s="100"/>
      <c r="J20" s="52" t="n">
        <f>IF(I20&gt;0,(VLOOKUP(F20,'DÖLJS - Ersättningstabeller'!$A$11:$C$34,3,FALSE))*I20,0)</f>
        <v>0.0</v>
      </c>
      <c r="K20" s="28"/>
      <c r="L20" s="135" t="s">
        <v>41</v>
      </c>
      <c r="M20" s="120" t="str">
        <f>'DÖLJS - Ersättningstabeller'!A16</f>
        <v>Nätstation - Skog (yta 6 x 6 meter)</v>
      </c>
      <c r="N20" s="152" t="n">
        <f>'DÖLJS - Ersättningstabeller'!C16</f>
        <v>2300.0</v>
      </c>
      <c r="O20" s="39"/>
      <c r="Q20" s="86"/>
      <c r="R20" s="58"/>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row>
    <row r="21" spans="1:230" ht="12" customHeight="1" x14ac:dyDescent="0.2">
      <c r="B21" s="234"/>
      <c r="C21" s="235"/>
      <c r="D21" s="235"/>
      <c r="E21" s="236"/>
      <c r="F21" s="261"/>
      <c r="G21" s="261"/>
      <c r="H21" s="261"/>
      <c r="I21" s="101"/>
      <c r="J21" s="83" t="n">
        <f>IF(I21&gt;0,(VLOOKUP(F21,'DÖLJS - Ersättningstabeller'!$A$11:$C$34,3,FALSE))*I21,0)</f>
        <v>0.0</v>
      </c>
      <c r="K21" s="7"/>
      <c r="L21" s="136" t="n">
        <f>'DÖLJS - Ersättningstabeller'!C43</f>
        <v>10.923836657169991</v>
      </c>
      <c r="M21" s="120" t="str">
        <f>'DÖLJS - Ersättningstabeller'!A17</f>
        <v>Nätstation - Skog (yta 8 x 8 meter)</v>
      </c>
      <c r="N21" s="121" t="n">
        <f>'DÖLJS - Ersättningstabeller'!C17</f>
        <v>2800.0</v>
      </c>
      <c r="O21" s="39"/>
      <c r="Q21" s="86"/>
      <c r="R21" s="58"/>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row>
    <row r="22" spans="1:230" ht="12" customHeight="1" x14ac:dyDescent="0.2">
      <c r="B22" s="237" t="s">
        <v>32</v>
      </c>
      <c r="C22" s="238"/>
      <c r="D22" s="238"/>
      <c r="E22" s="238"/>
      <c r="F22" s="238"/>
      <c r="G22" s="238"/>
      <c r="H22" s="238"/>
      <c r="I22" s="238"/>
      <c r="J22" s="40" t="n">
        <f>SUM(J18:J21)</f>
        <v>0.0</v>
      </c>
      <c r="K22" s="7"/>
      <c r="L22" s="135" t="s">
        <v>42</v>
      </c>
      <c r="M22" s="120" t="str">
        <f>'DÖLJS - Ersättningstabeller'!A18</f>
        <v>Nätstation - Skog (yta 10 x 10 meter)</v>
      </c>
      <c r="N22" s="153" t="n">
        <f>'DÖLJS - Ersättningstabeller'!C18</f>
        <v>3400.0</v>
      </c>
      <c r="O22" s="39"/>
      <c r="Q22" s="86"/>
      <c r="R22" s="58"/>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row>
    <row r="23" spans="1:230" ht="15" customHeight="1" x14ac:dyDescent="0.2">
      <c r="B23" s="198" t="s">
        <v>43</v>
      </c>
      <c r="C23" s="199"/>
      <c r="D23" s="199"/>
      <c r="E23" s="199"/>
      <c r="F23" s="199"/>
      <c r="G23" s="199"/>
      <c r="H23" s="199"/>
      <c r="I23" s="199"/>
      <c r="J23" s="214"/>
      <c r="K23" s="9"/>
      <c r="L23" s="136" t="n">
        <f>'DÖLJS - Ersättningstabeller'!C44</f>
        <v>4.245014245014246</v>
      </c>
      <c r="M23" s="119" t="str">
        <f>'DÖLJS - Ersättningstabeller'!A19</f>
        <v>Nätstation - Jordbruksimp. (yta 6 x6 meter)</v>
      </c>
      <c r="N23" s="115" t="n">
        <f>'DÖLJS - Ersättningstabeller'!C19</f>
        <v>2700.0</v>
      </c>
      <c r="O23" s="39"/>
      <c r="Q23" s="86"/>
      <c r="R23" s="58"/>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row>
    <row r="24" spans="1:230" ht="12" customHeight="1" x14ac:dyDescent="0.2">
      <c r="B24" s="253" t="s">
        <v>25</v>
      </c>
      <c r="C24" s="254"/>
      <c r="D24" s="254"/>
      <c r="E24" s="254"/>
      <c r="F24" s="254"/>
      <c r="G24" s="254"/>
      <c r="H24" s="254"/>
      <c r="I24" s="255"/>
      <c r="J24" s="16" t="s">
        <v>28</v>
      </c>
      <c r="K24" s="6"/>
      <c r="L24" s="137" t="s">
        <v>44</v>
      </c>
      <c r="M24" s="87" t="str">
        <f>'DÖLJS - Ersättningstabeller'!A20</f>
        <v>Nätstation - Jordbruksimp. (yta 8 x 8 meter)</v>
      </c>
      <c r="N24" s="115" t="n">
        <f>'DÖLJS - Ersättningstabeller'!C20</f>
        <v>3000.0</v>
      </c>
      <c r="O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row>
    <row r="25" spans="1:230" ht="12" customHeight="1" x14ac:dyDescent="0.2">
      <c r="B25" s="256"/>
      <c r="C25" s="257"/>
      <c r="D25" s="257"/>
      <c r="E25" s="257"/>
      <c r="F25" s="257"/>
      <c r="G25" s="257"/>
      <c r="H25" s="257"/>
      <c r="I25" s="257"/>
      <c r="J25" s="102"/>
      <c r="K25" s="7"/>
      <c r="L25" s="134" t="n">
        <f>'DÖLJS - Ersättningstabeller'!C41</f>
        <v>2749.0295165394405</v>
      </c>
      <c r="M25" s="118" t="str">
        <f>'DÖLJS - Ersättningstabeller'!A21</f>
        <v>Nätstation - Jordbruksimp. (yta 10 x 10 meter)</v>
      </c>
      <c r="N25" s="115" t="n">
        <f>'DÖLJS - Ersättningstabeller'!C21</f>
        <v>3400.0</v>
      </c>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row>
    <row r="26" spans="1:230" ht="12" customHeight="1" x14ac:dyDescent="0.2">
      <c r="B26" s="179"/>
      <c r="C26" s="180"/>
      <c r="D26" s="180"/>
      <c r="E26" s="180"/>
      <c r="F26" s="180"/>
      <c r="G26" s="180"/>
      <c r="H26" s="180"/>
      <c r="I26" s="180"/>
      <c r="J26" s="103"/>
      <c r="K26" s="8"/>
      <c r="L26" s="137" t="s">
        <v>45</v>
      </c>
      <c r="M26" s="120" t="str">
        <f>'DÖLJS - Ersättningstabeller'!A22</f>
        <v>Nätstation - Övrig mark (yta 6 x 6 meter)</v>
      </c>
      <c r="N26" s="152" t="n">
        <f>'DÖLJS - Ersättningstabeller'!C22</f>
        <v>2700.0</v>
      </c>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row>
    <row r="27" spans="1:230" ht="12" customHeight="1" x14ac:dyDescent="0.2">
      <c r="B27" s="237" t="s">
        <v>32</v>
      </c>
      <c r="C27" s="238"/>
      <c r="D27" s="238"/>
      <c r="E27" s="238"/>
      <c r="F27" s="238"/>
      <c r="G27" s="238"/>
      <c r="H27" s="238"/>
      <c r="I27" s="238"/>
      <c r="J27" s="40" t="n">
        <f>SUM(J25:J26)</f>
        <v>0.0</v>
      </c>
      <c r="K27" s="8"/>
      <c r="L27" s="134" t="n">
        <f>'DÖLJS - Ersättningstabeller'!E3</f>
        <v>2365.0</v>
      </c>
      <c r="M27" s="120" t="str">
        <f>'DÖLJS - Ersättningstabeller'!A23</f>
        <v>Nätstation - Övrig mark (yta 8 x 8 meter)</v>
      </c>
      <c r="N27" s="121" t="n">
        <f>'DÖLJS - Ersättningstabeller'!C23</f>
        <v>3000.0</v>
      </c>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row>
    <row r="28" spans="1:230" ht="15" customHeight="1" x14ac:dyDescent="0.2">
      <c r="B28" s="198" t="s">
        <v>46</v>
      </c>
      <c r="C28" s="199"/>
      <c r="D28" s="199"/>
      <c r="E28" s="199"/>
      <c r="F28" s="199"/>
      <c r="G28" s="199"/>
      <c r="H28" s="199"/>
      <c r="I28" s="199"/>
      <c r="J28" s="214"/>
      <c r="K28" s="8"/>
      <c r="L28" s="138" t="s">
        <v>47</v>
      </c>
      <c r="M28" s="120" t="str">
        <f>'DÖLJS - Ersättningstabeller'!A24</f>
        <v>Nätstation - Övrig mark (yta 10 x 10 meter)</v>
      </c>
      <c r="N28" s="153" t="n">
        <f>'DÖLJS - Ersättningstabeller'!C24</f>
        <v>3400.0</v>
      </c>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row>
    <row r="29" spans="1:230" ht="12" customHeight="1" x14ac:dyDescent="0.2">
      <c r="B29" s="253" t="s">
        <v>25</v>
      </c>
      <c r="C29" s="254"/>
      <c r="D29" s="254"/>
      <c r="E29" s="254"/>
      <c r="F29" s="254"/>
      <c r="G29" s="254"/>
      <c r="H29" s="254"/>
      <c r="I29" s="255"/>
      <c r="J29" s="16" t="s">
        <v>28</v>
      </c>
      <c r="K29" s="8"/>
      <c r="L29" s="134" t="n">
        <f>'DÖLJS - Ersättningstabeller'!B3</f>
        <v>47300.0</v>
      </c>
      <c r="M29" s="119" t="str">
        <f>'DÖLJS - Ersättningstabeller'!A26</f>
        <v>Sjökabelskylt - Skog (yta 6 x 6 meter)</v>
      </c>
      <c r="N29" s="115" t="n">
        <f>'DÖLJS - Ersättningstabeller'!C26</f>
        <v>2300.0</v>
      </c>
      <c r="O29" s="12"/>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row>
    <row r="30" spans="1:230" ht="12" customHeight="1" x14ac:dyDescent="0.2">
      <c r="B30" s="273"/>
      <c r="C30" s="274"/>
      <c r="D30" s="274"/>
      <c r="E30" s="274"/>
      <c r="F30" s="274"/>
      <c r="G30" s="274"/>
      <c r="H30" s="274"/>
      <c r="I30" s="275"/>
      <c r="J30" s="102"/>
      <c r="K30" s="8"/>
      <c r="L30" s="133" t="s">
        <v>48</v>
      </c>
      <c r="M30" s="87" t="str">
        <f>'DÖLJS - Ersättningstabeller'!A27</f>
        <v>Sjökabelskylt - Skog (yta 8 x 8 meter)</v>
      </c>
      <c r="N30" s="115" t="n">
        <f>'DÖLJS - Ersättningstabeller'!C27</f>
        <v>2800.0</v>
      </c>
      <c r="O30" s="12"/>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c r="GP30" s="39"/>
      <c r="GQ30" s="39"/>
      <c r="GR30" s="39"/>
      <c r="GS30" s="39"/>
      <c r="GT30" s="39"/>
      <c r="GU30" s="39"/>
      <c r="GV30" s="39"/>
      <c r="GW30" s="39"/>
      <c r="GX30" s="39"/>
      <c r="GY30" s="39"/>
      <c r="GZ30" s="39"/>
      <c r="HA30" s="39"/>
      <c r="HB30" s="39"/>
      <c r="HC30" s="39"/>
      <c r="HD30" s="39"/>
      <c r="HE30" s="39"/>
      <c r="HF30" s="39"/>
      <c r="HG30" s="39"/>
      <c r="HH30" s="39"/>
      <c r="HI30" s="39"/>
      <c r="HJ30" s="39"/>
      <c r="HK30" s="39"/>
      <c r="HL30" s="39"/>
      <c r="HM30" s="39"/>
      <c r="HN30" s="39"/>
      <c r="HO30" s="39"/>
      <c r="HP30" s="39"/>
      <c r="HQ30" s="39"/>
      <c r="HR30" s="39"/>
      <c r="HS30" s="39"/>
      <c r="HT30" s="39"/>
      <c r="HU30" s="39"/>
      <c r="HV30" s="39"/>
    </row>
    <row r="31" spans="1:230" ht="12" customHeight="1" x14ac:dyDescent="0.2">
      <c r="B31" s="276"/>
      <c r="C31" s="277"/>
      <c r="D31" s="277"/>
      <c r="E31" s="277"/>
      <c r="F31" s="277"/>
      <c r="G31" s="277"/>
      <c r="H31" s="277"/>
      <c r="I31" s="278"/>
      <c r="J31" s="103"/>
      <c r="K31" s="8"/>
      <c r="L31" s="151" t="n">
        <f>'DÖLJS - Ersättningstabeller'!B4</f>
        <v>336.04</v>
      </c>
      <c r="M31" s="118" t="str">
        <f>'DÖLJS - Ersättningstabeller'!A28</f>
        <v>Sjökabelskylt - Skog (yta 10 x 10 meter)</v>
      </c>
      <c r="N31" s="115" t="n">
        <f>'DÖLJS - Ersättningstabeller'!C28</f>
        <v>3400.0</v>
      </c>
      <c r="O31" s="12"/>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c r="HK31" s="39"/>
      <c r="HL31" s="39"/>
      <c r="HM31" s="39"/>
      <c r="HN31" s="39"/>
      <c r="HO31" s="39"/>
      <c r="HP31" s="39"/>
      <c r="HQ31" s="39"/>
      <c r="HR31" s="39"/>
      <c r="HS31" s="39"/>
      <c r="HT31" s="39"/>
      <c r="HU31" s="39"/>
      <c r="HV31" s="39"/>
    </row>
    <row r="32" spans="1:230" ht="12" customHeight="1" x14ac:dyDescent="0.2">
      <c r="A32" s="39"/>
      <c r="B32" s="212" t="s">
        <v>32</v>
      </c>
      <c r="C32" s="213"/>
      <c r="D32" s="213"/>
      <c r="E32" s="213"/>
      <c r="F32" s="213"/>
      <c r="G32" s="213"/>
      <c r="H32" s="213"/>
      <c r="I32" s="213"/>
      <c r="J32" s="40" t="n">
        <f>SUM(J30:J31)</f>
        <v>0.0</v>
      </c>
      <c r="K32" s="8"/>
      <c r="L32" s="133" t="s">
        <v>49</v>
      </c>
      <c r="M32" s="120" t="str">
        <f>'DÖLJS - Ersättningstabeller'!A29</f>
        <v>Sjökabelskylt - Jordbruksimp. (yta 6 x 6 meter)</v>
      </c>
      <c r="N32" s="152" t="n">
        <f>'DÖLJS - Ersättningstabeller'!C29</f>
        <v>2700.0</v>
      </c>
      <c r="O32" s="12"/>
    </row>
    <row r="33" spans="1:230" ht="15" customHeight="1" x14ac:dyDescent="0.2">
      <c r="A33" s="39"/>
      <c r="B33" s="198" t="s">
        <v>50</v>
      </c>
      <c r="C33" s="199"/>
      <c r="D33" s="199"/>
      <c r="E33" s="199"/>
      <c r="F33" s="199"/>
      <c r="G33" s="199"/>
      <c r="H33" s="199"/>
      <c r="I33" s="199"/>
      <c r="J33" s="214"/>
      <c r="K33" s="8"/>
      <c r="L33" s="134" t="n">
        <f>'DÖLJS - Ersättningstabeller'!B6</f>
        <v>5000.0</v>
      </c>
      <c r="M33" s="120" t="str">
        <f>'DÖLJS - Ersättningstabeller'!A30</f>
        <v>Sjökabelskylt - Jordbruksimp. (yta 8 x 8 meter)</v>
      </c>
      <c r="N33" s="121" t="n">
        <f>'DÖLJS - Ersättningstabeller'!C30</f>
        <v>3000.0</v>
      </c>
      <c r="O33" s="12"/>
    </row>
    <row r="34" spans="1:230" ht="12" customHeight="1" x14ac:dyDescent="0.2">
      <c r="A34" s="39"/>
      <c r="B34" s="158" t="s">
        <v>51</v>
      </c>
      <c r="C34" s="159"/>
      <c r="D34" s="159"/>
      <c r="E34" s="159"/>
      <c r="F34" s="159"/>
      <c r="G34" s="159"/>
      <c r="H34" s="160"/>
      <c r="I34" s="160"/>
      <c r="J34" s="161"/>
      <c r="K34" s="8"/>
      <c r="L34" s="139" t="s">
        <v>52</v>
      </c>
      <c r="M34" s="120" t="str">
        <f>'DÖLJS - Ersättningstabeller'!A31</f>
        <v>Sjökabelskylt - Jordbruksimp. (yta 10 x 10 meter)</v>
      </c>
      <c r="N34" s="153" t="n">
        <f>'DÖLJS - Ersättningstabeller'!C31</f>
        <v>3400.0</v>
      </c>
      <c r="O34" s="12"/>
    </row>
    <row r="35" spans="1:230" ht="12" customHeight="1" x14ac:dyDescent="0.2">
      <c r="A35" s="39"/>
      <c r="B35" s="247" t="s">
        <v>53</v>
      </c>
      <c r="C35" s="248"/>
      <c r="D35" s="248"/>
      <c r="E35" s="249"/>
      <c r="F35" s="285"/>
      <c r="G35" s="286"/>
      <c r="H35" s="250" t="s">
        <v>54</v>
      </c>
      <c r="I35" s="251"/>
      <c r="J35" s="252"/>
      <c r="K35" s="8"/>
      <c r="L35" s="134" t="n">
        <f>J15+J22+(J27*0.66)+J32+J40+J47+F35</f>
        <v>0.0</v>
      </c>
      <c r="M35" s="119" t="str">
        <f>'DÖLJS - Ersättningstabeller'!A32</f>
        <v>Sjökabelskylt - Övrig mark (yta 6 x 6 meter)</v>
      </c>
      <c r="N35" s="115" t="n">
        <f>'DÖLJS - Ersättningstabeller'!C32</f>
        <v>2700.0</v>
      </c>
    </row>
    <row r="36" spans="1:230" ht="15" customHeight="1" x14ac:dyDescent="0.2">
      <c r="A36" s="39"/>
      <c r="B36" s="198" t="s">
        <v>55</v>
      </c>
      <c r="C36" s="199"/>
      <c r="D36" s="199"/>
      <c r="E36" s="199"/>
      <c r="F36" s="199"/>
      <c r="G36" s="199"/>
      <c r="H36" s="199"/>
      <c r="I36" s="199"/>
      <c r="J36" s="214"/>
      <c r="K36" s="6"/>
      <c r="L36" s="140" t="s">
        <v>56</v>
      </c>
      <c r="M36" s="87" t="str">
        <f>'DÖLJS - Ersättningstabeller'!A33</f>
        <v>Sjökabelskylt - Övrig mark (yta 8 x 8 meter)</v>
      </c>
      <c r="N36" s="115" t="n">
        <f>'DÖLJS - Ersättningstabeller'!C33</f>
        <v>3000.0</v>
      </c>
      <c r="HK36" s="39"/>
      <c r="HL36" s="39"/>
      <c r="HM36" s="39"/>
      <c r="HN36" s="39"/>
      <c r="HO36" s="39"/>
      <c r="HP36" s="39"/>
      <c r="HQ36" s="39"/>
      <c r="HR36" s="39"/>
      <c r="HS36" s="39"/>
      <c r="HT36" s="39"/>
      <c r="HU36" s="39"/>
      <c r="HV36" s="39"/>
    </row>
    <row r="37" spans="1:230" ht="12" customHeight="1" x14ac:dyDescent="0.2">
      <c r="A37" s="39"/>
      <c r="B37" s="183" t="s">
        <v>25</v>
      </c>
      <c r="C37" s="184"/>
      <c r="D37" s="184"/>
      <c r="E37" s="184"/>
      <c r="F37" s="184"/>
      <c r="G37" s="184"/>
      <c r="H37" s="184"/>
      <c r="I37" s="185"/>
      <c r="J37" s="17" t="s">
        <v>28</v>
      </c>
      <c r="K37" s="3"/>
      <c r="L37" s="134" t="n">
        <f>J15+J22+(J27*0.66)+J32+J40+J47+J55</f>
        <v>0.0</v>
      </c>
      <c r="M37" s="88" t="str">
        <f>'DÖLJS - Ersättningstabeller'!A34</f>
        <v>Sjökabelskylt - Övrig mark (yta 10 x 10 meter)</v>
      </c>
      <c r="N37" s="116" t="n">
        <f>'DÖLJS - Ersättningstabeller'!C34</f>
        <v>3400.0</v>
      </c>
      <c r="HJ37" s="39"/>
      <c r="HK37" s="39"/>
      <c r="HL37" s="39"/>
      <c r="HM37" s="39"/>
      <c r="HN37" s="39"/>
      <c r="HO37" s="39"/>
      <c r="HP37" s="39"/>
      <c r="HQ37" s="39"/>
      <c r="HR37" s="39"/>
      <c r="HS37" s="39"/>
      <c r="HT37" s="39"/>
      <c r="HU37" s="39"/>
      <c r="HV37" s="39"/>
    </row>
    <row r="38" spans="1:230" ht="12" customHeight="1" x14ac:dyDescent="0.2">
      <c r="A38" s="39"/>
      <c r="B38" s="165"/>
      <c r="C38" s="166"/>
      <c r="D38" s="166"/>
      <c r="E38" s="166"/>
      <c r="F38" s="166"/>
      <c r="G38" s="166"/>
      <c r="H38" s="166"/>
      <c r="I38" s="166"/>
      <c r="J38" s="102"/>
      <c r="K38" s="3"/>
      <c r="L38" s="140" t="s">
        <v>57</v>
      </c>
      <c r="N38" s="29"/>
      <c r="HJ38" s="39"/>
      <c r="HK38" s="39"/>
      <c r="HL38" s="39"/>
      <c r="HM38" s="39"/>
      <c r="HN38" s="39"/>
      <c r="HO38" s="39"/>
      <c r="HP38" s="39"/>
      <c r="HQ38" s="39"/>
      <c r="HR38" s="39"/>
      <c r="HS38" s="39"/>
      <c r="HT38" s="39"/>
      <c r="HU38" s="39"/>
      <c r="HV38" s="39"/>
    </row>
    <row r="39" spans="1:230" ht="12" customHeight="1" x14ac:dyDescent="0.2">
      <c r="A39" s="39"/>
      <c r="B39" s="167"/>
      <c r="C39" s="168"/>
      <c r="D39" s="168"/>
      <c r="E39" s="168"/>
      <c r="F39" s="168"/>
      <c r="G39" s="168"/>
      <c r="H39" s="168"/>
      <c r="I39" s="168"/>
      <c r="J39" s="103"/>
      <c r="K39" s="3"/>
      <c r="L39" s="134" t="n">
        <f>J15+J22+J27+J32+J40+J47+J52+J55+J56</f>
        <v>0.0</v>
      </c>
      <c r="M39" s="29"/>
      <c r="N39" s="29"/>
      <c r="HJ39" s="39"/>
      <c r="HK39" s="39"/>
      <c r="HL39" s="39"/>
      <c r="HM39" s="39"/>
      <c r="HN39" s="39"/>
      <c r="HO39" s="39"/>
      <c r="HP39" s="39"/>
      <c r="HQ39" s="39"/>
      <c r="HR39" s="39"/>
      <c r="HS39" s="39"/>
      <c r="HT39" s="39"/>
      <c r="HU39" s="39"/>
      <c r="HV39" s="39"/>
    </row>
    <row r="40" spans="1:230" ht="12" customHeight="1" x14ac:dyDescent="0.2">
      <c r="A40" s="39"/>
      <c r="B40" s="283" t="s">
        <v>32</v>
      </c>
      <c r="C40" s="284"/>
      <c r="D40" s="284"/>
      <c r="E40" s="284"/>
      <c r="F40" s="284"/>
      <c r="G40" s="284"/>
      <c r="H40" s="284"/>
      <c r="I40" s="284"/>
      <c r="J40" s="41" t="n">
        <f>SUM(J37:J39)</f>
        <v>0.0</v>
      </c>
      <c r="K40" s="3"/>
      <c r="L40" s="141" t="s">
        <v>58</v>
      </c>
      <c r="HJ40" s="39"/>
      <c r="HK40" s="39"/>
      <c r="HL40" s="39"/>
      <c r="HM40" s="39"/>
      <c r="HN40" s="39"/>
      <c r="HO40" s="39"/>
      <c r="HP40" s="39"/>
      <c r="HQ40" s="39"/>
      <c r="HR40" s="39"/>
      <c r="HS40" s="39"/>
      <c r="HT40" s="39"/>
      <c r="HU40" s="39"/>
      <c r="HV40" s="39"/>
    </row>
    <row r="41" spans="1:230" ht="15" customHeight="1" x14ac:dyDescent="0.2">
      <c r="A41" s="39"/>
      <c r="B41" s="198" t="s">
        <v>59</v>
      </c>
      <c r="C41" s="199"/>
      <c r="D41" s="199"/>
      <c r="E41" s="199"/>
      <c r="F41" s="199"/>
      <c r="G41" s="199"/>
      <c r="H41" s="199"/>
      <c r="I41" s="199"/>
      <c r="J41" s="214"/>
      <c r="K41" s="3"/>
      <c r="L41" s="134" t="n">
        <f>IF(L29*0.2&gt;L37*0.2,L37*0.2,L29*0.2)</f>
        <v>0.0</v>
      </c>
      <c r="M41" s="295" t="s">
        <v>60</v>
      </c>
      <c r="N41" s="296"/>
      <c r="HJ41" s="39"/>
      <c r="HK41" s="39"/>
      <c r="HL41" s="39"/>
      <c r="HM41" s="39"/>
      <c r="HN41" s="39"/>
      <c r="HO41" s="39"/>
      <c r="HP41" s="39"/>
      <c r="HQ41" s="39"/>
      <c r="HR41" s="39"/>
      <c r="HS41" s="39"/>
      <c r="HT41" s="39"/>
      <c r="HU41" s="39"/>
      <c r="HV41" s="39"/>
    </row>
    <row r="42" spans="1:230" ht="12" customHeight="1" x14ac:dyDescent="0.2">
      <c r="A42" s="39"/>
      <c r="B42" s="189" t="s">
        <v>25</v>
      </c>
      <c r="C42" s="190"/>
      <c r="D42" s="190"/>
      <c r="E42" s="42" t="s">
        <v>61</v>
      </c>
      <c r="F42" s="181"/>
      <c r="G42" s="182"/>
      <c r="H42" s="37" t="s">
        <v>26</v>
      </c>
      <c r="I42" s="38" t="s">
        <v>27</v>
      </c>
      <c r="J42" s="45" t="s">
        <v>28</v>
      </c>
      <c r="K42" s="3"/>
      <c r="L42" s="141" t="s">
        <v>62</v>
      </c>
      <c r="M42" s="46" t="s">
        <v>63</v>
      </c>
      <c r="N42" s="47" t="n">
        <f>'DÖLJS - Ersättningstabeller'!C36</f>
        <v>2.4689961832061074</v>
      </c>
      <c r="HJ42" s="39"/>
      <c r="HK42" s="39"/>
      <c r="HL42" s="39"/>
      <c r="HM42" s="39"/>
      <c r="HN42" s="39"/>
      <c r="HO42" s="39"/>
      <c r="HP42" s="39"/>
      <c r="HQ42" s="39"/>
      <c r="HR42" s="39"/>
      <c r="HS42" s="39"/>
      <c r="HT42" s="39"/>
      <c r="HU42" s="39"/>
      <c r="HV42" s="39"/>
    </row>
    <row r="43" spans="1:230" ht="12" customHeight="1" x14ac:dyDescent="0.2">
      <c r="A43" s="39"/>
      <c r="B43" s="186"/>
      <c r="C43" s="187"/>
      <c r="D43" s="187"/>
      <c r="E43" s="187"/>
      <c r="F43" s="187"/>
      <c r="G43" s="188"/>
      <c r="H43" s="104"/>
      <c r="I43" s="104"/>
      <c r="J43" s="52" t="n">
        <f>IF($F$42&lt;&gt;0,H43*I43*VLOOKUP($F$42,'DÖLJS - Ersättningstabeller'!$A$36:$G$40,3,FALSE),0)</f>
        <v>0.0</v>
      </c>
      <c r="K43" s="3"/>
      <c r="L43" s="134" t="n">
        <f>IF(L37*0.2&lt;L29*0.2,IF(L37&lt;5000,L25,L37*0.2),L29*0.2)</f>
        <v>2749.0295165394405</v>
      </c>
      <c r="M43" s="124" t="s">
        <v>64</v>
      </c>
      <c r="N43" s="125" t="n">
        <f>'DÖLJS - Ersättningstabeller'!C37</f>
        <v>3.0247875318066164</v>
      </c>
      <c r="HJ43" s="39"/>
      <c r="HK43" s="39"/>
      <c r="HL43" s="39"/>
      <c r="HM43" s="39"/>
      <c r="HN43" s="39"/>
      <c r="HO43" s="39"/>
      <c r="HP43" s="39"/>
      <c r="HQ43" s="39"/>
      <c r="HR43" s="39"/>
      <c r="HS43" s="39"/>
      <c r="HT43" s="39"/>
      <c r="HU43" s="39"/>
      <c r="HV43" s="39"/>
    </row>
    <row r="44" spans="1:230" ht="12" customHeight="1" x14ac:dyDescent="0.2">
      <c r="A44" s="39"/>
      <c r="B44" s="186"/>
      <c r="C44" s="187"/>
      <c r="D44" s="187"/>
      <c r="E44" s="187"/>
      <c r="F44" s="187"/>
      <c r="G44" s="188"/>
      <c r="H44" s="104"/>
      <c r="I44" s="104"/>
      <c r="J44" s="52" t="n">
        <f>IF($F$42&lt;&gt;0,H44*I44*VLOOKUP($F$42,'DÖLJS - Ersättningstabeller'!$A$36:$G$40,3,FALSE),0)</f>
        <v>0.0</v>
      </c>
      <c r="K44" s="3"/>
      <c r="L44" s="142" t="s">
        <v>65</v>
      </c>
      <c r="M44" s="48" t="s">
        <v>66</v>
      </c>
      <c r="N44" s="49" t="n">
        <f>'DÖLJS - Ersättningstabeller'!C38</f>
        <v>3.484384223918575</v>
      </c>
      <c r="HJ44" s="39"/>
      <c r="HK44" s="39"/>
      <c r="HL44" s="39"/>
      <c r="HM44" s="39"/>
      <c r="HN44" s="39"/>
      <c r="HO44" s="39"/>
      <c r="HP44" s="39"/>
      <c r="HQ44" s="39"/>
      <c r="HR44" s="39"/>
      <c r="HS44" s="39"/>
      <c r="HT44" s="39"/>
      <c r="HU44" s="39"/>
      <c r="HV44" s="39"/>
    </row>
    <row r="45" spans="1:230" ht="12" customHeight="1" x14ac:dyDescent="0.2">
      <c r="A45" s="39"/>
      <c r="B45" s="186"/>
      <c r="C45" s="187"/>
      <c r="D45" s="187"/>
      <c r="E45" s="187"/>
      <c r="F45" s="187"/>
      <c r="G45" s="188"/>
      <c r="H45" s="104"/>
      <c r="I45" s="104"/>
      <c r="J45" s="52" t="n">
        <f>IF($F$42&lt;&gt;0,H45*I45*VLOOKUP($F$42,'DÖLJS - Ersättningstabeller'!$A$36:$G$40,3,FALSE),0)</f>
        <v>0.0</v>
      </c>
      <c r="K45" s="3"/>
      <c r="L45" s="134" t="n">
        <f>IF(L13=FALSE,L25,L43)</f>
        <v>2749.0295165394405</v>
      </c>
      <c r="M45" s="124" t="s">
        <v>67</v>
      </c>
      <c r="N45" s="125" t="n">
        <f>'DÖLJS - Ersättningstabeller'!C39</f>
        <v>4.435642493638678</v>
      </c>
      <c r="HJ45" s="39"/>
      <c r="HK45" s="39"/>
      <c r="HL45" s="39"/>
      <c r="HM45" s="39"/>
      <c r="HN45" s="39"/>
      <c r="HO45" s="39"/>
      <c r="HP45" s="39"/>
      <c r="HQ45" s="39"/>
      <c r="HR45" s="39"/>
      <c r="HS45" s="39"/>
      <c r="HT45" s="39"/>
      <c r="HU45" s="39"/>
      <c r="HV45" s="39"/>
    </row>
    <row r="46" spans="1:230" ht="12" customHeight="1" x14ac:dyDescent="0.2">
      <c r="A46" s="39"/>
      <c r="B46" s="234"/>
      <c r="C46" s="235"/>
      <c r="D46" s="235"/>
      <c r="E46" s="235"/>
      <c r="F46" s="235"/>
      <c r="G46" s="236"/>
      <c r="H46" s="105"/>
      <c r="I46" s="105"/>
      <c r="J46" s="83" t="n">
        <f>IF($F$42&lt;&gt;0,H46*I46*VLOOKUP($F$42,'DÖLJS - Ersättningstabeller'!$A$36:$G$40,3,FALSE),0)</f>
        <v>0.0</v>
      </c>
      <c r="K46" s="3"/>
      <c r="L46" s="141" t="s">
        <v>68</v>
      </c>
      <c r="M46" s="50" t="s">
        <v>69</v>
      </c>
      <c r="N46" s="51" t="n">
        <f>'DÖLJS - Ersättningstabeller'!C40</f>
        <v>4.595966921119594</v>
      </c>
      <c r="HJ46" s="39"/>
      <c r="HK46" s="39"/>
      <c r="HL46" s="39"/>
      <c r="HM46" s="39"/>
      <c r="HN46" s="39"/>
      <c r="HO46" s="39"/>
      <c r="HP46" s="39"/>
      <c r="HQ46" s="39"/>
      <c r="HR46" s="39"/>
      <c r="HS46" s="39"/>
      <c r="HT46" s="39"/>
      <c r="HU46" s="39"/>
      <c r="HV46" s="39"/>
    </row>
    <row r="47" spans="1:230" ht="12" customHeight="1" x14ac:dyDescent="0.2">
      <c r="A47" s="39"/>
      <c r="B47" s="237" t="s">
        <v>32</v>
      </c>
      <c r="C47" s="238"/>
      <c r="D47" s="238"/>
      <c r="E47" s="238"/>
      <c r="F47" s="238"/>
      <c r="G47" s="238"/>
      <c r="H47" s="238"/>
      <c r="I47" s="238"/>
      <c r="J47" s="40" t="n">
        <f>SUM(J43:J46)</f>
        <v>0.0</v>
      </c>
      <c r="K47" s="3"/>
      <c r="L47" s="134" t="n">
        <f>IF(L17=FALSE,L45,L33)</f>
        <v>2749.0295165394405</v>
      </c>
      <c r="HJ47" s="39"/>
      <c r="HK47" s="39"/>
      <c r="HL47" s="39"/>
      <c r="HM47" s="39"/>
      <c r="HN47" s="39"/>
      <c r="HO47" s="39"/>
      <c r="HP47" s="39"/>
      <c r="HQ47" s="39"/>
      <c r="HR47" s="39"/>
      <c r="HS47" s="39"/>
      <c r="HT47" s="39"/>
      <c r="HU47" s="39"/>
      <c r="HV47" s="39"/>
    </row>
    <row r="48" spans="1:230" ht="15" customHeight="1" x14ac:dyDescent="0.2">
      <c r="A48" s="39"/>
      <c r="B48" s="198" t="s">
        <v>70</v>
      </c>
      <c r="C48" s="199"/>
      <c r="D48" s="199"/>
      <c r="E48" s="199"/>
      <c r="F48" s="199"/>
      <c r="G48" s="199"/>
      <c r="H48" s="199"/>
      <c r="I48" s="199"/>
      <c r="J48" s="214"/>
      <c r="M48" s="39"/>
      <c r="HK48" s="39"/>
      <c r="HL48" s="39"/>
      <c r="HM48" s="39"/>
      <c r="HN48" s="39"/>
      <c r="HO48" s="39"/>
      <c r="HP48" s="39"/>
      <c r="HQ48" s="39"/>
      <c r="HR48" s="39"/>
      <c r="HS48" s="39"/>
      <c r="HT48" s="39"/>
      <c r="HU48" s="39"/>
      <c r="HV48" s="39"/>
    </row>
    <row r="49" spans="1:230" ht="12" customHeight="1" x14ac:dyDescent="0.2">
      <c r="A49" s="39"/>
      <c r="B49" s="175" t="s">
        <v>25</v>
      </c>
      <c r="C49" s="176"/>
      <c r="D49" s="176"/>
      <c r="E49" s="176"/>
      <c r="F49" s="176"/>
      <c r="G49" s="176"/>
      <c r="H49" s="43" t="s">
        <v>26</v>
      </c>
      <c r="I49" s="36" t="s">
        <v>71</v>
      </c>
      <c r="J49" s="35" t="s">
        <v>28</v>
      </c>
      <c r="HK49" s="39"/>
      <c r="HL49" s="39"/>
      <c r="HM49" s="39"/>
      <c r="HN49" s="39"/>
      <c r="HO49" s="39"/>
      <c r="HP49" s="39"/>
      <c r="HQ49" s="39"/>
      <c r="HR49" s="39"/>
      <c r="HS49" s="39"/>
      <c r="HT49" s="39"/>
      <c r="HU49" s="39"/>
      <c r="HV49" s="39"/>
    </row>
    <row r="50" spans="1:230" ht="12.75" customHeight="1" x14ac:dyDescent="0.2">
      <c r="A50" s="39"/>
      <c r="B50" s="177"/>
      <c r="C50" s="178"/>
      <c r="D50" s="178"/>
      <c r="E50" s="178"/>
      <c r="F50" s="178"/>
      <c r="G50" s="178"/>
      <c r="H50" s="106"/>
      <c r="I50" s="107"/>
      <c r="J50" s="54" t="n">
        <f>IF(H50&gt;0,VLOOKUP(I50,'DÖLJS - Ersättningstabeller'!$A$43:$E$44,3,FALSE)*H50,0)</f>
        <v>0.0</v>
      </c>
      <c r="HK50" s="39"/>
      <c r="HL50" s="39"/>
      <c r="HM50" s="39"/>
      <c r="HN50" s="39"/>
      <c r="HO50" s="39"/>
      <c r="HP50" s="39"/>
      <c r="HQ50" s="39"/>
      <c r="HR50" s="39"/>
      <c r="HS50" s="39"/>
      <c r="HT50" s="39"/>
      <c r="HU50" s="39"/>
      <c r="HV50" s="39"/>
    </row>
    <row r="51" spans="1:230" ht="12.75" customHeight="1" x14ac:dyDescent="0.2">
      <c r="A51" s="39"/>
      <c r="B51" s="179"/>
      <c r="C51" s="180"/>
      <c r="D51" s="180"/>
      <c r="E51" s="180"/>
      <c r="F51" s="180"/>
      <c r="G51" s="180"/>
      <c r="H51" s="108"/>
      <c r="I51" s="109"/>
      <c r="J51" s="85" t="n">
        <f>IF(H51&gt;0,VLOOKUP(I51,'DÖLJS - Ersättningstabeller'!$A$43:$E$44,3,FALSE)*H51,0)</f>
        <v>0.0</v>
      </c>
      <c r="L51" s="150" t="s">
        <v>72</v>
      </c>
      <c r="HK51" s="39"/>
      <c r="HL51" s="39"/>
      <c r="HM51" s="39"/>
      <c r="HN51" s="39"/>
      <c r="HO51" s="39"/>
      <c r="HP51" s="39"/>
      <c r="HQ51" s="39"/>
      <c r="HR51" s="39"/>
      <c r="HS51" s="39"/>
      <c r="HT51" s="39"/>
      <c r="HU51" s="39"/>
      <c r="HV51" s="39"/>
    </row>
    <row r="52" spans="1:230" ht="12.75" customHeight="1" x14ac:dyDescent="0.2">
      <c r="A52" s="39"/>
      <c r="B52" s="245" t="s">
        <v>32</v>
      </c>
      <c r="C52" s="246"/>
      <c r="D52" s="246"/>
      <c r="E52" s="246"/>
      <c r="F52" s="246"/>
      <c r="G52" s="246"/>
      <c r="H52" s="246"/>
      <c r="I52" s="246"/>
      <c r="J52" s="40" t="n">
        <f>J50+J51</f>
        <v>0.0</v>
      </c>
      <c r="L52" s="134" t="s">
        <v>73</v>
      </c>
      <c r="N52" s="39"/>
      <c r="HE52" s="39"/>
      <c r="HF52" s="39"/>
      <c r="HG52" s="39"/>
      <c r="HH52" s="39"/>
      <c r="HI52" s="39"/>
      <c r="HJ52" s="39"/>
      <c r="HK52" s="39"/>
      <c r="HL52" s="39"/>
      <c r="HM52" s="39"/>
      <c r="HN52" s="39"/>
      <c r="HO52" s="39"/>
      <c r="HP52" s="39"/>
      <c r="HQ52" s="39"/>
      <c r="HR52" s="39"/>
      <c r="HS52" s="39"/>
      <c r="HT52" s="39"/>
      <c r="HU52" s="39"/>
      <c r="HV52" s="39"/>
    </row>
    <row r="53" spans="1:230" ht="15" customHeight="1" x14ac:dyDescent="0.2">
      <c r="A53" s="39"/>
      <c r="B53" s="198" t="s">
        <v>74</v>
      </c>
      <c r="C53" s="199"/>
      <c r="D53" s="199"/>
      <c r="E53" s="199"/>
      <c r="F53" s="199"/>
      <c r="G53" s="199"/>
      <c r="H53" s="199"/>
      <c r="I53" s="199"/>
      <c r="J53" s="214"/>
      <c r="K53" s="39"/>
      <c r="L53" s="134" t="n">
        <f>J15+J22+(J27*0.66)+J32+(F35*0.25)+J40+J47+J52</f>
        <v>0.0</v>
      </c>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s="39"/>
      <c r="EP53" s="39"/>
      <c r="EQ53" s="39"/>
      <c r="ER53" s="39"/>
      <c r="ES53" s="39"/>
      <c r="ET53" s="39"/>
      <c r="EU53" s="39"/>
      <c r="EV53" s="39"/>
      <c r="EW53" s="39"/>
      <c r="EX53" s="39"/>
      <c r="EY53" s="39"/>
      <c r="EZ53" s="39"/>
      <c r="FA53" s="39"/>
      <c r="FB53" s="39"/>
      <c r="FC53" s="39"/>
      <c r="FD53" s="39"/>
      <c r="FE53" s="39"/>
      <c r="FF53" s="39"/>
      <c r="FG53" s="39"/>
      <c r="FH53" s="39"/>
      <c r="FI53" s="39"/>
      <c r="FJ53" s="39"/>
      <c r="FK53" s="39"/>
      <c r="FL53" s="39"/>
      <c r="FM53" s="39"/>
      <c r="FN53" s="39"/>
      <c r="FO53" s="39"/>
      <c r="FP53" s="39"/>
      <c r="FQ53" s="39"/>
      <c r="FR53" s="39"/>
      <c r="FS53" s="39"/>
      <c r="FT53" s="39"/>
      <c r="FU53" s="39"/>
      <c r="FV53" s="39"/>
      <c r="FW53" s="39"/>
      <c r="FX53" s="39"/>
      <c r="FY53" s="39"/>
      <c r="FZ53" s="39"/>
      <c r="GA53" s="39"/>
      <c r="GB53" s="39"/>
      <c r="GC53" s="39"/>
      <c r="GD53" s="39"/>
      <c r="GE53" s="39"/>
      <c r="GF53" s="39"/>
      <c r="GG53" s="39"/>
      <c r="GH53" s="39"/>
      <c r="GI53" s="39"/>
      <c r="GJ53" s="39"/>
      <c r="GK53" s="39"/>
      <c r="GL53" s="39"/>
      <c r="GM53" s="39"/>
      <c r="GN53" s="39"/>
      <c r="GO53" s="39"/>
      <c r="GP53" s="39"/>
      <c r="GQ53" s="39"/>
      <c r="GR53" s="39"/>
      <c r="GS53" s="39"/>
      <c r="GT53" s="39"/>
      <c r="GU53" s="39"/>
      <c r="GV53" s="39"/>
      <c r="GW53" s="39"/>
      <c r="GX53" s="39"/>
      <c r="GY53" s="39"/>
      <c r="GZ53" s="39"/>
      <c r="HA53" s="39"/>
      <c r="HB53" s="39"/>
      <c r="HC53" s="39"/>
      <c r="HD53" s="39"/>
      <c r="HE53" s="39"/>
      <c r="HF53" s="39"/>
      <c r="HG53" s="39"/>
      <c r="HH53" s="39"/>
      <c r="HI53" s="39"/>
      <c r="HJ53" s="39"/>
      <c r="HK53" s="39"/>
      <c r="HL53" s="39"/>
      <c r="HM53" s="39"/>
      <c r="HN53" s="39"/>
      <c r="HO53" s="39"/>
      <c r="HP53" s="39"/>
      <c r="HQ53" s="39"/>
      <c r="HR53" s="39"/>
      <c r="HS53" s="39"/>
      <c r="HT53" s="39"/>
      <c r="HU53" s="39"/>
      <c r="HV53" s="39"/>
    </row>
    <row r="54" spans="1:230" ht="12.75" customHeight="1" x14ac:dyDescent="0.2">
      <c r="A54" s="39"/>
      <c r="B54" s="258" t="s">
        <v>75</v>
      </c>
      <c r="C54" s="259"/>
      <c r="D54" s="259"/>
      <c r="E54" s="259"/>
      <c r="F54" s="259"/>
      <c r="G54" s="259"/>
      <c r="H54" s="259"/>
      <c r="I54" s="259"/>
      <c r="J54" s="111" t="n">
        <f>ROUND((J15+J22+J27+J32+J40+J47),0)</f>
        <v>0.0</v>
      </c>
      <c r="K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c r="EP54" s="39"/>
      <c r="EQ54" s="39"/>
      <c r="ER54" s="39"/>
      <c r="ES54" s="39"/>
      <c r="ET54" s="39"/>
      <c r="EU54" s="39"/>
      <c r="EV54" s="39"/>
      <c r="EW54" s="39"/>
      <c r="EX54" s="39"/>
      <c r="EY54" s="39"/>
      <c r="EZ54" s="39"/>
      <c r="FA54" s="39"/>
      <c r="FB54" s="39"/>
      <c r="FC54" s="39"/>
      <c r="FD54" s="39"/>
      <c r="FE54" s="39"/>
      <c r="FF54" s="39"/>
      <c r="FG54" s="39"/>
      <c r="FH54" s="39"/>
      <c r="FI54" s="39"/>
      <c r="FJ54" s="39"/>
      <c r="FK54" s="39"/>
      <c r="FL54" s="39"/>
      <c r="FM54" s="39"/>
      <c r="FN54" s="39"/>
      <c r="FO54" s="39"/>
      <c r="FP54" s="39"/>
      <c r="FQ54" s="39"/>
      <c r="FR54" s="39"/>
      <c r="FS54" s="39"/>
      <c r="FT54" s="39"/>
      <c r="FU54" s="39"/>
      <c r="FV54" s="39"/>
      <c r="FW54" s="39"/>
      <c r="FX54" s="39"/>
      <c r="FY54" s="39"/>
      <c r="FZ54" s="39"/>
      <c r="GA54" s="39"/>
      <c r="GB54" s="39"/>
      <c r="GC54" s="39"/>
      <c r="GD54" s="39"/>
      <c r="GE54" s="39"/>
      <c r="GF54" s="39"/>
      <c r="GG54" s="39"/>
      <c r="GH54" s="39"/>
      <c r="GI54" s="39"/>
      <c r="GJ54" s="39"/>
      <c r="GK54" s="39"/>
      <c r="GL54" s="39"/>
      <c r="GM54" s="39"/>
      <c r="GN54" s="39"/>
      <c r="GO54" s="39"/>
      <c r="GP54" s="39"/>
      <c r="GQ54" s="39"/>
      <c r="GR54" s="39"/>
      <c r="GS54" s="39"/>
      <c r="GT54" s="39"/>
      <c r="GU54" s="39"/>
      <c r="GV54" s="39"/>
      <c r="GW54" s="39"/>
      <c r="GX54" s="39"/>
      <c r="GY54" s="39"/>
      <c r="GZ54" s="39"/>
      <c r="HA54" s="39"/>
      <c r="HB54" s="39"/>
      <c r="HC54" s="39"/>
      <c r="HD54" s="39"/>
      <c r="HE54" s="39"/>
      <c r="HF54" s="39"/>
      <c r="HG54" s="39"/>
      <c r="HH54" s="39"/>
      <c r="HI54" s="39"/>
      <c r="HJ54" s="39"/>
      <c r="HK54" s="39"/>
      <c r="HL54" s="39"/>
      <c r="HM54" s="39"/>
      <c r="HN54" s="39"/>
      <c r="HO54" s="39"/>
      <c r="HP54" s="39"/>
      <c r="HQ54" s="39"/>
      <c r="HR54" s="39"/>
      <c r="HS54" s="39"/>
      <c r="HT54" s="39"/>
      <c r="HU54" s="39"/>
      <c r="HV54" s="39"/>
    </row>
    <row r="55" spans="1:230" ht="12.75" customHeight="1" x14ac:dyDescent="0.2">
      <c r="A55" s="39"/>
      <c r="B55" s="163" t="s">
        <v>76</v>
      </c>
      <c r="C55" s="164"/>
      <c r="D55" s="164"/>
      <c r="E55" s="164"/>
      <c r="F55" s="164"/>
      <c r="G55" s="164"/>
      <c r="H55" s="164"/>
      <c r="I55" s="164"/>
      <c r="J55" s="112" t="n">
        <f>ROUND((L35*0.25),0)</f>
        <v>0.0</v>
      </c>
      <c r="K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s="39"/>
      <c r="EP55" s="39"/>
      <c r="EQ55" s="39"/>
      <c r="ER55" s="39"/>
      <c r="ES55" s="39"/>
      <c r="ET55" s="39"/>
      <c r="EU55" s="39"/>
      <c r="EV55" s="39"/>
      <c r="EW55" s="39"/>
      <c r="EX55" s="39"/>
      <c r="EY55" s="39"/>
      <c r="EZ55" s="39"/>
      <c r="FA55" s="39"/>
      <c r="FB55" s="39"/>
      <c r="FC55" s="39"/>
      <c r="FD55" s="39"/>
      <c r="FE55" s="39"/>
      <c r="FF55" s="39"/>
      <c r="FG55" s="39"/>
      <c r="FH55" s="39"/>
      <c r="FI55" s="39"/>
      <c r="FJ55" s="39"/>
      <c r="FK55" s="39"/>
      <c r="FL55" s="39"/>
      <c r="FM55" s="39"/>
      <c r="FN55" s="39"/>
      <c r="FO55" s="39"/>
      <c r="FP55" s="39"/>
      <c r="FQ55" s="39"/>
      <c r="FR55" s="39"/>
      <c r="FS55" s="39"/>
      <c r="FT55" s="39"/>
      <c r="FU55" s="39"/>
      <c r="FV55" s="39"/>
      <c r="FW55" s="39"/>
      <c r="FX55" s="39"/>
      <c r="FY55" s="39"/>
      <c r="FZ55" s="39"/>
      <c r="GA55" s="39"/>
      <c r="GB55" s="39"/>
      <c r="GC55" s="39"/>
      <c r="GD55" s="39"/>
      <c r="GE55" s="39"/>
      <c r="GF55" s="39"/>
      <c r="GG55" s="39"/>
      <c r="GH55" s="39"/>
      <c r="GI55" s="39"/>
      <c r="GJ55" s="39"/>
      <c r="GK55" s="39"/>
      <c r="GL55" s="39"/>
      <c r="GM55" s="39"/>
      <c r="GN55" s="39"/>
      <c r="GO55" s="39"/>
      <c r="GP55" s="39"/>
      <c r="GQ55" s="39"/>
      <c r="GR55" s="39"/>
      <c r="GS55" s="39"/>
      <c r="GT55" s="39"/>
      <c r="GU55" s="39"/>
      <c r="GV55" s="39"/>
      <c r="GW55" s="39"/>
      <c r="GX55" s="39"/>
      <c r="GY55" s="39"/>
      <c r="GZ55" s="39"/>
      <c r="HA55" s="39"/>
      <c r="HB55" s="39"/>
      <c r="HC55" s="39"/>
      <c r="HD55" s="39"/>
      <c r="HE55" s="39"/>
      <c r="HF55" s="39"/>
      <c r="HG55" s="39"/>
      <c r="HH55" s="39"/>
      <c r="HI55" s="39"/>
      <c r="HJ55" s="39"/>
      <c r="HK55" s="39"/>
      <c r="HL55" s="39"/>
      <c r="HM55" s="39"/>
      <c r="HN55" s="39"/>
      <c r="HO55" s="39"/>
      <c r="HP55" s="39"/>
      <c r="HQ55" s="39"/>
      <c r="HR55" s="39"/>
      <c r="HS55" s="39"/>
      <c r="HT55" s="39"/>
      <c r="HU55" s="39"/>
      <c r="HV55" s="39"/>
    </row>
    <row r="56" spans="1:230" ht="12.75" customHeight="1" x14ac:dyDescent="0.2">
      <c r="A56" s="39"/>
      <c r="B56" s="243" t="s">
        <v>77</v>
      </c>
      <c r="C56" s="244"/>
      <c r="D56" s="244"/>
      <c r="E56" s="244"/>
      <c r="F56" s="244"/>
      <c r="G56" s="244"/>
      <c r="H56" s="244"/>
      <c r="I56" s="244"/>
      <c r="J56" s="93" t="n">
        <f>ROUND(IF(L13=TRUE,L43,L41),0)</f>
        <v>0.0</v>
      </c>
      <c r="K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s="39"/>
      <c r="EP56" s="39"/>
      <c r="EQ56" s="39"/>
      <c r="ER56" s="39"/>
      <c r="ES56" s="39"/>
      <c r="ET56" s="39"/>
      <c r="EU56" s="39"/>
      <c r="EV56" s="39"/>
      <c r="EW56" s="39"/>
      <c r="EX56" s="39"/>
      <c r="EY56" s="39"/>
      <c r="EZ56" s="39"/>
      <c r="FA56" s="39"/>
      <c r="FB56" s="39"/>
      <c r="FC56" s="39"/>
      <c r="FD56" s="39"/>
      <c r="FE56" s="39"/>
      <c r="FF56" s="39"/>
      <c r="FG56" s="39"/>
      <c r="FH56" s="39"/>
      <c r="FI56" s="39"/>
      <c r="FJ56" s="39"/>
      <c r="FK56" s="39"/>
      <c r="FL56" s="39"/>
      <c r="FM56" s="39"/>
      <c r="FN56" s="39"/>
      <c r="FO56" s="39"/>
      <c r="FP56" s="39"/>
      <c r="FQ56" s="39"/>
      <c r="FR56" s="39"/>
      <c r="FS56" s="39"/>
      <c r="FT56" s="39"/>
      <c r="FU56" s="39"/>
      <c r="FV56" s="39"/>
      <c r="FW56" s="39"/>
      <c r="FX56" s="39"/>
      <c r="FY56" s="39"/>
      <c r="FZ56" s="39"/>
      <c r="GA56" s="39"/>
      <c r="GB56" s="39"/>
      <c r="GC56" s="39"/>
      <c r="GD56" s="39"/>
      <c r="GE56" s="39"/>
      <c r="GF56" s="39"/>
      <c r="GG56" s="39"/>
      <c r="GH56" s="39"/>
      <c r="GI56" s="39"/>
      <c r="GJ56" s="39"/>
      <c r="GK56" s="39"/>
      <c r="GL56" s="39"/>
      <c r="GM56" s="39"/>
      <c r="GN56" s="39"/>
      <c r="GO56" s="39"/>
      <c r="GP56" s="39"/>
      <c r="GQ56" s="39"/>
      <c r="GR56" s="39"/>
      <c r="GS56" s="39"/>
      <c r="GT56" s="39"/>
      <c r="GU56" s="39"/>
      <c r="GV56" s="39"/>
      <c r="GW56" s="39"/>
      <c r="GX56" s="39"/>
      <c r="GY56" s="39"/>
      <c r="GZ56" s="39"/>
      <c r="HA56" s="39"/>
      <c r="HB56" s="39"/>
      <c r="HC56" s="39"/>
      <c r="HD56" s="39"/>
      <c r="HE56" s="39"/>
      <c r="HF56" s="39"/>
      <c r="HG56" s="39"/>
      <c r="HH56" s="39"/>
      <c r="HI56" s="39"/>
      <c r="HJ56" s="39"/>
      <c r="HK56" s="39"/>
      <c r="HL56" s="39"/>
      <c r="HM56" s="39"/>
      <c r="HN56" s="39"/>
      <c r="HO56" s="39"/>
      <c r="HP56" s="39"/>
      <c r="HQ56" s="39"/>
      <c r="HR56" s="39"/>
      <c r="HS56" s="39"/>
      <c r="HT56" s="39"/>
      <c r="HU56" s="39"/>
      <c r="HV56" s="39"/>
    </row>
    <row r="57" spans="1:230" ht="12.75" customHeight="1" x14ac:dyDescent="0.2">
      <c r="A57" s="39"/>
      <c r="B57" s="241" t="str">
        <f>L5</f>
        <v>Grundersättning vid överenskommelse:</v>
      </c>
      <c r="C57" s="242"/>
      <c r="D57" s="242"/>
      <c r="E57" s="242"/>
      <c r="F57" s="242"/>
      <c r="G57" s="242"/>
      <c r="H57" s="242"/>
      <c r="I57" s="242"/>
      <c r="J57" s="93" t="n">
        <f>IF(L15=TRUE,0,IF(L17=TRUE,IF(L47-L39&gt;0,L47-L39,0),IF(L13=TRUE,0,L27)))</f>
        <v>2365.0</v>
      </c>
      <c r="K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c r="EP57" s="39"/>
      <c r="EQ57" s="39"/>
      <c r="ER57" s="39"/>
      <c r="ES57" s="39"/>
      <c r="ET57" s="39"/>
      <c r="EU57" s="39"/>
      <c r="EV57" s="39"/>
      <c r="EW57" s="39"/>
      <c r="EX57" s="39"/>
      <c r="EY57" s="39"/>
      <c r="EZ57" s="39"/>
      <c r="FA57" s="39"/>
      <c r="FB57" s="39"/>
      <c r="FC57" s="39"/>
      <c r="FD57" s="39"/>
      <c r="FE57" s="39"/>
      <c r="FF57" s="39"/>
      <c r="FG57" s="39"/>
      <c r="FH57" s="39"/>
      <c r="FI57" s="39"/>
      <c r="FJ57" s="39"/>
      <c r="FK57" s="39"/>
      <c r="FL57" s="39"/>
      <c r="FM57" s="39"/>
      <c r="FN57" s="39"/>
      <c r="FO57" s="39"/>
      <c r="FP57" s="39"/>
      <c r="FQ57" s="39"/>
      <c r="FR57" s="39"/>
      <c r="FS57" s="39"/>
      <c r="FT57" s="39"/>
      <c r="FU57" s="39"/>
      <c r="FV57" s="39"/>
      <c r="FW57" s="39"/>
      <c r="FX57" s="39"/>
      <c r="FY57" s="39"/>
      <c r="FZ57" s="39"/>
      <c r="GA57" s="39"/>
      <c r="GB57" s="39"/>
      <c r="GC57" s="39"/>
      <c r="GD57" s="39"/>
      <c r="GE57" s="39"/>
      <c r="GF57" s="39"/>
      <c r="GG57" s="39"/>
      <c r="GH57" s="39"/>
      <c r="GI57" s="39"/>
      <c r="GJ57" s="39"/>
      <c r="GK57" s="39"/>
      <c r="GL57" s="39"/>
      <c r="GM57" s="39"/>
      <c r="GN57" s="39"/>
      <c r="GO57" s="39"/>
      <c r="GP57" s="39"/>
      <c r="GQ57" s="39"/>
      <c r="GR57" s="39"/>
      <c r="GS57" s="39"/>
      <c r="GT57" s="39"/>
      <c r="GU57" s="39"/>
      <c r="GV57" s="39"/>
      <c r="GW57" s="39"/>
      <c r="GX57" s="39"/>
      <c r="GY57" s="39"/>
      <c r="GZ57" s="39"/>
      <c r="HA57" s="39"/>
      <c r="HB57" s="39"/>
      <c r="HC57" s="39"/>
      <c r="HD57" s="39"/>
      <c r="HE57" s="39"/>
      <c r="HF57" s="39"/>
      <c r="HG57" s="39"/>
      <c r="HH57" s="39"/>
      <c r="HI57" s="39"/>
      <c r="HJ57" s="39"/>
      <c r="HK57" s="39"/>
      <c r="HL57" s="39"/>
      <c r="HM57" s="39"/>
      <c r="HN57" s="39"/>
      <c r="HO57" s="39"/>
      <c r="HP57" s="39"/>
      <c r="HQ57" s="39"/>
      <c r="HR57" s="39"/>
      <c r="HS57" s="39"/>
      <c r="HT57" s="39"/>
      <c r="HU57" s="39"/>
      <c r="HV57" s="39"/>
    </row>
    <row r="58" spans="1:230" ht="18.75" customHeight="1" x14ac:dyDescent="0.2">
      <c r="A58" s="39"/>
      <c r="B58" s="172" t="s">
        <v>78</v>
      </c>
      <c r="C58" s="173"/>
      <c r="D58" s="173"/>
      <c r="E58" s="173"/>
      <c r="F58" s="173"/>
      <c r="G58" s="173"/>
      <c r="H58" s="173"/>
      <c r="I58" s="173"/>
      <c r="J58" s="55" t="n">
        <f>ROUND((J52+J54+J55+J56+J57),0)</f>
        <v>2365.0</v>
      </c>
      <c r="K58" s="39"/>
      <c r="M58" s="39"/>
      <c r="N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c r="EP58" s="39"/>
      <c r="EQ58" s="39"/>
      <c r="ER58" s="39"/>
      <c r="ES58" s="39"/>
      <c r="ET58" s="39"/>
      <c r="EU58" s="39"/>
      <c r="EV58" s="39"/>
      <c r="EW58" s="39"/>
      <c r="EX58" s="39"/>
      <c r="EY58" s="39"/>
      <c r="EZ58" s="39"/>
      <c r="FA58" s="39"/>
      <c r="FB58" s="39"/>
      <c r="FC58" s="39"/>
      <c r="FD58" s="39"/>
      <c r="FE58" s="39"/>
      <c r="FF58" s="39"/>
      <c r="FG58" s="39"/>
      <c r="FH58" s="39"/>
      <c r="FI58" s="39"/>
      <c r="FJ58" s="39"/>
      <c r="FK58" s="39"/>
      <c r="FL58" s="39"/>
      <c r="FM58" s="39"/>
      <c r="FN58" s="39"/>
      <c r="FO58" s="39"/>
      <c r="FP58" s="39"/>
      <c r="FQ58" s="39"/>
      <c r="FR58" s="39"/>
      <c r="FS58" s="39"/>
      <c r="FT58" s="39"/>
      <c r="FU58" s="39"/>
      <c r="FV58" s="39"/>
      <c r="FW58" s="39"/>
      <c r="FX58" s="39"/>
      <c r="FY58" s="39"/>
      <c r="FZ58" s="39"/>
      <c r="GA58" s="39"/>
      <c r="GB58" s="39"/>
      <c r="GC58" s="39"/>
      <c r="GD58" s="39"/>
      <c r="GE58" s="39"/>
      <c r="GF58" s="39"/>
      <c r="GG58" s="39"/>
      <c r="GH58" s="39"/>
      <c r="GI58" s="39"/>
      <c r="GJ58" s="39"/>
      <c r="GK58" s="39"/>
      <c r="GL58" s="39"/>
      <c r="GM58" s="39"/>
      <c r="GN58" s="39"/>
      <c r="GO58" s="39"/>
      <c r="GP58" s="39"/>
      <c r="GQ58" s="39"/>
      <c r="GR58" s="39"/>
      <c r="GS58" s="39"/>
      <c r="GT58" s="39"/>
      <c r="GU58" s="39"/>
      <c r="GV58" s="39"/>
      <c r="GW58" s="39"/>
      <c r="GX58" s="39"/>
      <c r="GY58" s="39"/>
      <c r="GZ58" s="39"/>
      <c r="HA58" s="39"/>
      <c r="HB58" s="39"/>
      <c r="HC58" s="39"/>
      <c r="HD58" s="39"/>
      <c r="HE58" s="39"/>
      <c r="HF58" s="39"/>
      <c r="HG58" s="39"/>
      <c r="HH58" s="39"/>
      <c r="HI58" s="39"/>
      <c r="HJ58" s="39"/>
      <c r="HK58" s="39"/>
      <c r="HL58" s="39"/>
      <c r="HM58" s="39"/>
      <c r="HN58" s="39"/>
      <c r="HO58" s="39"/>
      <c r="HP58" s="39"/>
      <c r="HQ58" s="39"/>
      <c r="HR58" s="39"/>
      <c r="HS58" s="39"/>
      <c r="HT58" s="39"/>
      <c r="HU58" s="39"/>
      <c r="HV58" s="39"/>
    </row>
    <row r="59" spans="1:230" ht="49.5" customHeight="1" x14ac:dyDescent="0.2">
      <c r="A59" s="39"/>
      <c r="B59" s="171"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71"/>
      <c r="D59" s="171"/>
      <c r="E59" s="171"/>
      <c r="F59" s="171"/>
      <c r="G59" s="171"/>
      <c r="H59" s="171"/>
      <c r="I59" s="171"/>
      <c r="J59" s="171"/>
      <c r="K59" s="39"/>
      <c r="M59" s="92"/>
      <c r="N59" s="26"/>
      <c r="O59" s="39"/>
      <c r="P59" s="92"/>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c r="EP59" s="39"/>
      <c r="EQ59" s="39"/>
      <c r="ER59" s="39"/>
      <c r="ES59" s="39"/>
      <c r="ET59" s="39"/>
      <c r="EU59" s="39"/>
      <c r="EV59" s="39"/>
      <c r="EW59" s="39"/>
      <c r="EX59" s="39"/>
      <c r="EY59" s="39"/>
      <c r="EZ59" s="39"/>
      <c r="FA59" s="39"/>
      <c r="FB59" s="39"/>
      <c r="FC59" s="39"/>
      <c r="FD59" s="39"/>
      <c r="FE59" s="39"/>
      <c r="FF59" s="39"/>
      <c r="FG59" s="39"/>
      <c r="FH59" s="39"/>
      <c r="FI59" s="39"/>
      <c r="FJ59" s="39"/>
      <c r="FK59" s="39"/>
      <c r="FL59" s="39"/>
      <c r="FM59" s="39"/>
      <c r="FN59" s="39"/>
      <c r="FO59" s="39"/>
      <c r="FP59" s="39"/>
      <c r="FQ59" s="39"/>
      <c r="FR59" s="39"/>
      <c r="FS59" s="39"/>
      <c r="FT59" s="39"/>
      <c r="FU59" s="39"/>
      <c r="FV59" s="39"/>
      <c r="FW59" s="39"/>
      <c r="FX59" s="39"/>
      <c r="FY59" s="39"/>
      <c r="FZ59" s="39"/>
      <c r="GA59" s="39"/>
      <c r="GB59" s="39"/>
      <c r="GC59" s="39"/>
      <c r="GD59" s="39"/>
      <c r="GE59" s="39"/>
      <c r="GF59" s="39"/>
      <c r="GG59" s="39"/>
      <c r="GH59" s="39"/>
      <c r="GI59" s="39"/>
      <c r="GJ59" s="39"/>
      <c r="GK59" s="39"/>
      <c r="GL59" s="39"/>
      <c r="GM59" s="39"/>
      <c r="GN59" s="39"/>
      <c r="GO59" s="39"/>
      <c r="GP59" s="39"/>
      <c r="GQ59" s="39"/>
      <c r="GR59" s="39"/>
      <c r="GS59" s="39"/>
      <c r="GT59" s="39"/>
      <c r="GU59" s="39"/>
      <c r="GV59" s="39"/>
      <c r="GW59" s="39"/>
      <c r="GX59" s="39"/>
      <c r="GY59" s="39"/>
      <c r="GZ59" s="39"/>
      <c r="HA59" s="39"/>
      <c r="HB59" s="39"/>
      <c r="HC59" s="39"/>
      <c r="HD59" s="39"/>
      <c r="HE59" s="39"/>
      <c r="HF59" s="39"/>
      <c r="HG59" s="39"/>
      <c r="HH59" s="39"/>
      <c r="HI59" s="39"/>
      <c r="HJ59" s="39"/>
      <c r="HK59" s="39"/>
      <c r="HL59" s="39"/>
      <c r="HM59" s="39"/>
      <c r="HN59" s="39"/>
      <c r="HO59" s="39"/>
      <c r="HP59" s="39"/>
      <c r="HQ59" s="39"/>
      <c r="HR59" s="39"/>
      <c r="HS59" s="39"/>
      <c r="HT59" s="39"/>
      <c r="HU59" s="39"/>
      <c r="HV59" s="39"/>
    </row>
    <row r="60" spans="1:230" ht="42.75" customHeight="1" x14ac:dyDescent="0.2">
      <c r="A60" s="39"/>
      <c r="B60" s="174" t="n">
        <f>IF(L11=TRUE,L9,0)</f>
        <v>0.0</v>
      </c>
      <c r="C60" s="174"/>
      <c r="D60" s="174"/>
      <c r="E60" s="174"/>
      <c r="F60" s="174"/>
      <c r="G60" s="174"/>
      <c r="H60" s="174"/>
      <c r="I60" s="174"/>
      <c r="J60" s="174"/>
      <c r="K60" s="39"/>
      <c r="L60" s="144"/>
      <c r="N60" s="26"/>
      <c r="O60" s="26"/>
      <c r="P60" s="26"/>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c r="GP60" s="39"/>
      <c r="GQ60" s="39"/>
      <c r="GR60" s="39"/>
      <c r="GS60" s="39"/>
      <c r="GT60" s="39"/>
      <c r="GU60" s="39"/>
      <c r="GV60" s="39"/>
      <c r="GW60" s="39"/>
      <c r="GX60" s="39"/>
      <c r="GY60" s="39"/>
      <c r="GZ60" s="39"/>
      <c r="HA60" s="39"/>
      <c r="HB60" s="39"/>
      <c r="HC60" s="39"/>
      <c r="HD60" s="39"/>
      <c r="HE60" s="39"/>
      <c r="HF60" s="39"/>
      <c r="HG60" s="39"/>
      <c r="HH60" s="39"/>
      <c r="HI60" s="39"/>
      <c r="HJ60" s="39"/>
      <c r="HK60" s="39"/>
      <c r="HL60" s="39"/>
      <c r="HM60" s="39"/>
      <c r="HN60" s="39"/>
      <c r="HO60" s="39"/>
      <c r="HP60" s="39"/>
      <c r="HQ60" s="39"/>
      <c r="HR60" s="39"/>
      <c r="HS60" s="39"/>
      <c r="HT60" s="39"/>
      <c r="HU60" s="39"/>
      <c r="HV60" s="39"/>
    </row>
    <row r="61" spans="1:230" s="44" customFormat="1" ht="12" x14ac:dyDescent="0.2">
      <c r="A61" s="24"/>
      <c r="B61" s="162" t="s">
        <v>79</v>
      </c>
      <c r="C61" s="162"/>
      <c r="D61" s="162"/>
      <c r="E61" s="162"/>
      <c r="F61" s="162"/>
      <c r="G61" s="162"/>
      <c r="H61" s="162"/>
      <c r="I61" s="162"/>
      <c r="J61" s="162"/>
      <c r="K61" s="26"/>
      <c r="L61" s="144"/>
      <c r="M61" s="1"/>
      <c r="N61" s="1"/>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6"/>
      <c r="FN61" s="26"/>
      <c r="FO61" s="26"/>
      <c r="FP61" s="26"/>
      <c r="FQ61" s="26"/>
      <c r="FR61" s="26"/>
      <c r="FS61" s="26"/>
      <c r="FT61" s="26"/>
      <c r="FU61" s="26"/>
      <c r="FV61" s="26"/>
      <c r="FW61" s="26"/>
      <c r="FX61" s="26"/>
      <c r="FY61" s="26"/>
      <c r="FZ61" s="26"/>
      <c r="GA61" s="26"/>
      <c r="GB61" s="26"/>
      <c r="GC61" s="26"/>
      <c r="GD61" s="26"/>
      <c r="GE61" s="26"/>
      <c r="GF61" s="26"/>
      <c r="GG61" s="26"/>
      <c r="GH61" s="26"/>
      <c r="GI61" s="26"/>
      <c r="GJ61" s="26"/>
      <c r="GK61" s="26"/>
      <c r="GL61" s="26"/>
      <c r="GM61" s="26"/>
      <c r="GN61" s="26"/>
      <c r="GO61" s="26"/>
      <c r="GP61" s="26"/>
      <c r="GQ61" s="26"/>
      <c r="GR61" s="26"/>
      <c r="GS61" s="26"/>
      <c r="GT61" s="26"/>
      <c r="GU61" s="26"/>
      <c r="GV61" s="26"/>
      <c r="GW61" s="26"/>
      <c r="GX61" s="26"/>
      <c r="GY61" s="26"/>
      <c r="GZ61" s="26"/>
      <c r="HA61" s="26"/>
      <c r="HB61" s="26"/>
      <c r="HC61" s="26"/>
      <c r="HD61" s="26"/>
      <c r="HE61" s="26"/>
      <c r="HF61" s="26"/>
      <c r="HG61" s="26"/>
      <c r="HH61" s="26"/>
      <c r="HI61" s="26"/>
      <c r="HJ61" s="26"/>
      <c r="HK61" s="26"/>
      <c r="HL61" s="26"/>
      <c r="HM61" s="26"/>
      <c r="HN61" s="26"/>
      <c r="HO61" s="26"/>
      <c r="HP61" s="26"/>
      <c r="HQ61" s="26"/>
      <c r="HR61" s="26"/>
      <c r="HS61" s="26"/>
      <c r="HT61" s="26"/>
      <c r="HU61" s="26"/>
      <c r="HV61" s="26"/>
    </row>
    <row r="62" spans="1:230" ht="11.25" customHeight="1" thickBot="1" x14ac:dyDescent="0.25">
      <c r="B62" s="239" t="s">
        <v>80</v>
      </c>
      <c r="C62" s="240"/>
      <c r="D62" s="240"/>
      <c r="E62" s="25" t="s">
        <v>81</v>
      </c>
      <c r="F62" s="25" t="s">
        <v>28</v>
      </c>
      <c r="G62" s="169" t="s">
        <v>82</v>
      </c>
      <c r="H62" s="169"/>
      <c r="I62" s="169"/>
      <c r="J62" s="170"/>
      <c r="L62" s="145" t="s">
        <v>83</v>
      </c>
      <c r="HV62" s="39"/>
    </row>
    <row r="63" spans="1:230" s="44" customFormat="1" ht="30" customHeight="1" thickBot="1" x14ac:dyDescent="0.25">
      <c r="A63" s="24"/>
      <c r="B63" s="306" t="s">
        <v>148</v>
      </c>
      <c r="C63" s="307"/>
      <c r="D63" s="308"/>
      <c r="E63" s="56" t="n">
        <v>0.5</v>
      </c>
      <c r="F63" s="57" t="n">
        <f>IF(L63&gt;$J$58,"Fel andel",L63)</f>
        <v>1182.5</v>
      </c>
      <c r="G63" s="268" t="s">
        <v>84</v>
      </c>
      <c r="H63" s="269"/>
      <c r="I63" s="269"/>
      <c r="J63" s="270"/>
      <c r="K63" s="26"/>
      <c r="L63" s="146" t="n">
        <f>$J$58*E63</f>
        <v>1182.5</v>
      </c>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6"/>
      <c r="FN63" s="26"/>
      <c r="FO63" s="26"/>
      <c r="FP63" s="26"/>
      <c r="FQ63" s="26"/>
      <c r="FR63" s="26"/>
      <c r="FS63" s="26"/>
      <c r="FT63" s="26"/>
      <c r="FU63" s="26"/>
      <c r="FV63" s="26"/>
      <c r="FW63" s="26"/>
      <c r="FX63" s="26"/>
      <c r="FY63" s="26"/>
      <c r="FZ63" s="26"/>
      <c r="GA63" s="26"/>
      <c r="GB63" s="26"/>
      <c r="GC63" s="26"/>
      <c r="GD63" s="26"/>
      <c r="GE63" s="26"/>
      <c r="GF63" s="26"/>
      <c r="GG63" s="26"/>
      <c r="GH63" s="26"/>
      <c r="GI63" s="26"/>
      <c r="GJ63" s="26"/>
      <c r="GK63" s="26"/>
      <c r="GL63" s="26"/>
      <c r="GM63" s="26"/>
      <c r="GN63" s="26"/>
      <c r="GO63" s="26"/>
      <c r="GP63" s="26"/>
      <c r="GQ63" s="26"/>
      <c r="GR63" s="26"/>
      <c r="GS63" s="26"/>
      <c r="GT63" s="26"/>
      <c r="GU63" s="26"/>
      <c r="GV63" s="26"/>
      <c r="GW63" s="26"/>
      <c r="GX63" s="26"/>
      <c r="GY63" s="26"/>
      <c r="GZ63" s="26"/>
      <c r="HA63" s="26"/>
      <c r="HB63" s="26"/>
      <c r="HC63" s="26"/>
      <c r="HD63" s="26"/>
      <c r="HE63" s="26"/>
      <c r="HF63" s="26"/>
      <c r="HG63" s="26"/>
      <c r="HH63" s="26"/>
      <c r="HI63" s="26"/>
      <c r="HJ63" s="26"/>
      <c r="HK63" s="26"/>
      <c r="HL63" s="26"/>
      <c r="HM63" s="26"/>
      <c r="HN63" s="26"/>
      <c r="HO63" s="26"/>
      <c r="HP63" s="26"/>
      <c r="HQ63" s="26"/>
      <c r="HR63" s="26"/>
      <c r="HS63" s="26"/>
      <c r="HT63" s="26"/>
      <c r="HU63" s="26"/>
    </row>
    <row r="64" spans="1:230" s="44" customFormat="1" ht="30" customHeight="1" x14ac:dyDescent="0.2">
      <c r="A64" s="24"/>
      <c r="B64" s="271" t="s">
        <v>85</v>
      </c>
      <c r="C64" s="272"/>
      <c r="D64" s="272"/>
      <c r="E64" s="272" t="s">
        <v>86</v>
      </c>
      <c r="F64" s="272"/>
      <c r="G64" s="262" t="s">
        <v>87</v>
      </c>
      <c r="H64" s="263"/>
      <c r="I64" s="263"/>
      <c r="J64" s="264"/>
      <c r="K64" s="26"/>
      <c r="L64" s="144"/>
      <c r="M64" s="1"/>
      <c r="N64" s="1"/>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6"/>
      <c r="FN64" s="26"/>
      <c r="FO64" s="26"/>
      <c r="FP64" s="26"/>
      <c r="FQ64" s="26"/>
      <c r="FR64" s="26"/>
      <c r="FS64" s="26"/>
      <c r="FT64" s="26"/>
      <c r="FU64" s="26"/>
      <c r="FV64" s="26"/>
      <c r="FW64" s="26"/>
      <c r="FX64" s="26"/>
      <c r="FY64" s="26"/>
      <c r="FZ64" s="26"/>
      <c r="GA64" s="26"/>
      <c r="GB64" s="26"/>
      <c r="GC64" s="26"/>
      <c r="GD64" s="26"/>
      <c r="GE64" s="26"/>
      <c r="GF64" s="26"/>
      <c r="GG64" s="26"/>
      <c r="GH64" s="26"/>
      <c r="GI64" s="26"/>
      <c r="GJ64" s="26"/>
      <c r="GK64" s="26"/>
      <c r="GL64" s="26"/>
      <c r="GM64" s="26"/>
      <c r="GN64" s="26"/>
      <c r="GO64" s="26"/>
      <c r="GP64" s="26"/>
      <c r="GQ64" s="26"/>
      <c r="GR64" s="26"/>
      <c r="GS64" s="26"/>
      <c r="GT64" s="26"/>
      <c r="GU64" s="26"/>
      <c r="GV64" s="26"/>
      <c r="GW64" s="26"/>
      <c r="GX64" s="26"/>
      <c r="GY64" s="26"/>
      <c r="GZ64" s="26"/>
      <c r="HA64" s="26"/>
      <c r="HB64" s="26"/>
      <c r="HC64" s="26"/>
      <c r="HD64" s="26"/>
      <c r="HE64" s="26"/>
      <c r="HF64" s="26"/>
      <c r="HG64" s="26"/>
      <c r="HH64" s="26"/>
      <c r="HI64" s="26"/>
      <c r="HJ64" s="26"/>
      <c r="HK64" s="26"/>
      <c r="HL64" s="26"/>
      <c r="HM64" s="26"/>
      <c r="HN64" s="26"/>
      <c r="HO64" s="26"/>
      <c r="HP64" s="26"/>
      <c r="HQ64" s="26"/>
      <c r="HR64" s="26"/>
      <c r="HS64" s="26"/>
      <c r="HT64" s="26"/>
      <c r="HU64" s="26"/>
    </row>
    <row r="65" spans="1:230" ht="30" customHeight="1" x14ac:dyDescent="0.2">
      <c r="B65" s="287" t="s">
        <v>88</v>
      </c>
      <c r="C65" s="156"/>
      <c r="D65" s="155" t="s">
        <v>89</v>
      </c>
      <c r="E65" s="156"/>
      <c r="F65" s="288"/>
      <c r="G65" s="155" t="s">
        <v>90</v>
      </c>
      <c r="H65" s="156"/>
      <c r="I65" s="156"/>
      <c r="J65" s="157"/>
      <c r="L65" s="14"/>
      <c r="HV65" s="39"/>
    </row>
    <row r="66" spans="1:230" ht="15" customHeight="1" x14ac:dyDescent="0.2">
      <c r="B66" s="309" t="s">
        <v>91</v>
      </c>
      <c r="C66" s="309"/>
      <c r="D66" s="309"/>
      <c r="E66" s="309"/>
      <c r="F66" s="309"/>
      <c r="G66" s="309"/>
      <c r="H66" s="309"/>
      <c r="I66" s="309"/>
      <c r="J66" s="309"/>
      <c r="M66" s="26"/>
      <c r="N66" s="26"/>
    </row>
    <row r="67" spans="1:230" s="44" customFormat="1" ht="37.5" customHeight="1" x14ac:dyDescent="0.2">
      <c r="A67" s="24"/>
      <c r="B67" s="310"/>
      <c r="C67" s="310"/>
      <c r="D67" s="310"/>
      <c r="E67" s="310"/>
      <c r="F67" s="310"/>
      <c r="G67" s="310"/>
      <c r="H67" s="310"/>
      <c r="I67" s="310"/>
      <c r="J67" s="310"/>
      <c r="K67" s="26"/>
      <c r="L67" s="143"/>
      <c r="M67" s="1"/>
      <c r="N67" s="1"/>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row>
    <row r="68" spans="1:230" ht="11.25" customHeight="1" thickBot="1" x14ac:dyDescent="0.25">
      <c r="B68" s="239" t="str">
        <f>B62</f>
        <v>Fastighetsägare (personnr/org.nr)</v>
      </c>
      <c r="C68" s="240"/>
      <c r="D68" s="240"/>
      <c r="E68" s="25" t="s">
        <v>81</v>
      </c>
      <c r="F68" s="25" t="s">
        <v>28</v>
      </c>
      <c r="G68" s="169" t="s">
        <v>82</v>
      </c>
      <c r="H68" s="169"/>
      <c r="I68" s="169"/>
      <c r="J68" s="170"/>
      <c r="L68" s="145" t="s">
        <v>92</v>
      </c>
      <c r="M68" s="26"/>
      <c r="N68" s="26"/>
    </row>
    <row r="69" spans="1:230" s="44" customFormat="1" ht="30" customHeight="1" thickBot="1" x14ac:dyDescent="0.25">
      <c r="A69" s="24"/>
      <c r="B69" s="306" t="s">
        <v>149</v>
      </c>
      <c r="C69" s="307"/>
      <c r="D69" s="308"/>
      <c r="E69" s="56" t="n">
        <v>0.5</v>
      </c>
      <c r="F69" s="57" t="n">
        <f>IF(L69&gt;$J$58,"Fel andel",L69)</f>
        <v>1182.5</v>
      </c>
      <c r="G69" s="268" t="s">
        <v>84</v>
      </c>
      <c r="H69" s="269"/>
      <c r="I69" s="269"/>
      <c r="J69" s="270"/>
      <c r="K69" s="26"/>
      <c r="L69" s="146" t="n">
        <f>$J$58*E69</f>
        <v>1182.5</v>
      </c>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6"/>
      <c r="FN69" s="26"/>
      <c r="FO69" s="26"/>
      <c r="FP69" s="26"/>
      <c r="FQ69" s="26"/>
      <c r="FR69" s="26"/>
      <c r="FS69" s="26"/>
      <c r="FT69" s="26"/>
      <c r="FU69" s="26"/>
      <c r="FV69" s="26"/>
      <c r="FW69" s="26"/>
      <c r="FX69" s="26"/>
      <c r="FY69" s="26"/>
      <c r="FZ69" s="26"/>
      <c r="GA69" s="26"/>
      <c r="GB69" s="26"/>
      <c r="GC69" s="26"/>
      <c r="GD69" s="26"/>
      <c r="GE69" s="26"/>
      <c r="GF69" s="26"/>
      <c r="GG69" s="26"/>
      <c r="GH69" s="26"/>
      <c r="GI69" s="26"/>
      <c r="GJ69" s="26"/>
      <c r="GK69" s="26"/>
      <c r="GL69" s="26"/>
      <c r="GM69" s="26"/>
      <c r="GN69" s="26"/>
      <c r="GO69" s="26"/>
      <c r="GP69" s="26"/>
      <c r="GQ69" s="26"/>
      <c r="GR69" s="26"/>
      <c r="GS69" s="26"/>
      <c r="GT69" s="26"/>
      <c r="GU69" s="26"/>
      <c r="GV69" s="26"/>
      <c r="GW69" s="26"/>
      <c r="GX69" s="26"/>
      <c r="GY69" s="26"/>
      <c r="GZ69" s="26"/>
      <c r="HA69" s="26"/>
      <c r="HB69" s="26"/>
      <c r="HC69" s="26"/>
      <c r="HD69" s="26"/>
      <c r="HE69" s="26"/>
      <c r="HF69" s="26"/>
      <c r="HG69" s="26"/>
      <c r="HH69" s="26"/>
      <c r="HI69" s="26"/>
      <c r="HJ69" s="26"/>
      <c r="HK69" s="26"/>
      <c r="HL69" s="26"/>
      <c r="HM69" s="26"/>
      <c r="HN69" s="26"/>
      <c r="HO69" s="26"/>
      <c r="HP69" s="26"/>
      <c r="HQ69" s="26"/>
      <c r="HR69" s="26"/>
      <c r="HS69" s="26"/>
      <c r="HT69" s="26"/>
      <c r="HU69" s="26"/>
      <c r="HV69" s="26"/>
    </row>
    <row r="70" spans="1:230" s="44" customFormat="1" ht="30" customHeight="1" x14ac:dyDescent="0.2">
      <c r="A70" s="24"/>
      <c r="B70" s="271" t="s">
        <v>85</v>
      </c>
      <c r="C70" s="272"/>
      <c r="D70" s="272"/>
      <c r="E70" s="272" t="s">
        <v>86</v>
      </c>
      <c r="F70" s="272"/>
      <c r="G70" s="262" t="s">
        <v>87</v>
      </c>
      <c r="H70" s="263"/>
      <c r="I70" s="263"/>
      <c r="J70" s="264"/>
      <c r="K70" s="26"/>
      <c r="L70" s="147"/>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6"/>
      <c r="FN70" s="26"/>
      <c r="FO70" s="26"/>
      <c r="FP70" s="26"/>
      <c r="FQ70" s="26"/>
      <c r="FR70" s="26"/>
      <c r="FS70" s="26"/>
      <c r="FT70" s="26"/>
      <c r="FU70" s="26"/>
      <c r="FV70" s="26"/>
      <c r="FW70" s="26"/>
      <c r="FX70" s="26"/>
      <c r="FY70" s="26"/>
      <c r="FZ70" s="26"/>
      <c r="GA70" s="26"/>
      <c r="GB70" s="26"/>
      <c r="GC70" s="26"/>
      <c r="GD70" s="26"/>
      <c r="GE70" s="26"/>
      <c r="GF70" s="26"/>
      <c r="GG70" s="26"/>
      <c r="GH70" s="26"/>
      <c r="GI70" s="26"/>
      <c r="GJ70" s="26"/>
      <c r="GK70" s="26"/>
      <c r="GL70" s="26"/>
      <c r="GM70" s="26"/>
      <c r="GN70" s="26"/>
      <c r="GO70" s="26"/>
      <c r="GP70" s="26"/>
      <c r="GQ70" s="26"/>
      <c r="GR70" s="26"/>
      <c r="GS70" s="26"/>
      <c r="GT70" s="26"/>
      <c r="GU70" s="26"/>
      <c r="GV70" s="26"/>
      <c r="GW70" s="26"/>
      <c r="GX70" s="26"/>
      <c r="GY70" s="26"/>
      <c r="GZ70" s="26"/>
      <c r="HA70" s="26"/>
      <c r="HB70" s="26"/>
      <c r="HC70" s="26"/>
      <c r="HD70" s="26"/>
      <c r="HE70" s="26"/>
      <c r="HF70" s="26"/>
      <c r="HG70" s="26"/>
      <c r="HH70" s="26"/>
      <c r="HI70" s="26"/>
      <c r="HJ70" s="26"/>
      <c r="HK70" s="26"/>
      <c r="HL70" s="26"/>
      <c r="HM70" s="26"/>
      <c r="HN70" s="26"/>
      <c r="HO70" s="26"/>
      <c r="HP70" s="26"/>
      <c r="HQ70" s="26"/>
      <c r="HR70" s="26"/>
      <c r="HS70" s="26"/>
      <c r="HT70" s="26"/>
      <c r="HU70" s="26"/>
      <c r="HV70" s="26"/>
    </row>
    <row r="71" spans="1:230" s="44" customFormat="1" ht="30" customHeight="1" x14ac:dyDescent="0.2">
      <c r="A71" s="24"/>
      <c r="B71" s="287" t="s">
        <v>88</v>
      </c>
      <c r="C71" s="156"/>
      <c r="D71" s="155" t="s">
        <v>89</v>
      </c>
      <c r="E71" s="156"/>
      <c r="F71" s="288"/>
      <c r="G71" s="155" t="s">
        <v>90</v>
      </c>
      <c r="H71" s="156"/>
      <c r="I71" s="156"/>
      <c r="J71" s="157"/>
      <c r="K71" s="26"/>
      <c r="L71" s="147"/>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6"/>
      <c r="FN71" s="26"/>
      <c r="FO71" s="26"/>
      <c r="FP71" s="26"/>
      <c r="FQ71" s="26"/>
      <c r="FR71" s="26"/>
      <c r="FS71" s="26"/>
      <c r="FT71" s="26"/>
      <c r="FU71" s="26"/>
      <c r="FV71" s="26"/>
      <c r="FW71" s="26"/>
      <c r="FX71" s="26"/>
      <c r="FY71" s="26"/>
      <c r="FZ71" s="26"/>
      <c r="GA71" s="26"/>
      <c r="GB71" s="26"/>
      <c r="GC71" s="26"/>
      <c r="GD71" s="26"/>
      <c r="GE71" s="26"/>
      <c r="GF71" s="26"/>
      <c r="GG71" s="26"/>
      <c r="GH71" s="26"/>
      <c r="GI71" s="26"/>
      <c r="GJ71" s="26"/>
      <c r="GK71" s="26"/>
      <c r="GL71" s="26"/>
      <c r="GM71" s="26"/>
      <c r="GN71" s="26"/>
      <c r="GO71" s="26"/>
      <c r="GP71" s="26"/>
      <c r="GQ71" s="26"/>
      <c r="GR71" s="26"/>
      <c r="GS71" s="26"/>
      <c r="GT71" s="26"/>
      <c r="GU71" s="26"/>
      <c r="GV71" s="26"/>
      <c r="GW71" s="26"/>
      <c r="GX71" s="26"/>
      <c r="GY71" s="26"/>
      <c r="GZ71" s="26"/>
      <c r="HA71" s="26"/>
      <c r="HB71" s="26"/>
      <c r="HC71" s="26"/>
      <c r="HD71" s="26"/>
      <c r="HE71" s="26"/>
      <c r="HF71" s="26"/>
      <c r="HG71" s="26"/>
      <c r="HH71" s="26"/>
      <c r="HI71" s="26"/>
      <c r="HJ71" s="26"/>
      <c r="HK71" s="26"/>
      <c r="HL71" s="26"/>
      <c r="HM71" s="26"/>
      <c r="HN71" s="26"/>
      <c r="HO71" s="26"/>
      <c r="HP71" s="26"/>
      <c r="HQ71" s="26"/>
      <c r="HR71" s="26"/>
      <c r="HS71" s="26"/>
      <c r="HT71" s="26"/>
      <c r="HU71" s="26"/>
      <c r="HV71" s="26"/>
    </row>
    <row r="72" spans="1:230" s="44" customFormat="1" ht="22.5" customHeight="1" x14ac:dyDescent="0.2">
      <c r="A72" s="24"/>
      <c r="B72" s="30"/>
      <c r="C72" s="30"/>
      <c r="D72" s="30"/>
      <c r="E72" s="30"/>
      <c r="F72" s="30"/>
      <c r="G72" s="30"/>
      <c r="H72" s="30"/>
      <c r="I72" s="30"/>
      <c r="J72" s="30"/>
      <c r="K72" s="26"/>
      <c r="L72" s="147"/>
      <c r="M72" s="1"/>
      <c r="N72" s="1"/>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6"/>
      <c r="FN72" s="26"/>
      <c r="FO72" s="26"/>
      <c r="FP72" s="26"/>
      <c r="FQ72" s="26"/>
      <c r="FR72" s="26"/>
      <c r="FS72" s="26"/>
      <c r="FT72" s="26"/>
      <c r="FU72" s="26"/>
      <c r="FV72" s="26"/>
      <c r="FW72" s="26"/>
      <c r="FX72" s="26"/>
      <c r="FY72" s="26"/>
      <c r="FZ72" s="26"/>
      <c r="GA72" s="26"/>
      <c r="GB72" s="26"/>
      <c r="GC72" s="26"/>
      <c r="GD72" s="26"/>
      <c r="GE72" s="26"/>
      <c r="GF72" s="26"/>
      <c r="GG72" s="26"/>
      <c r="GH72" s="26"/>
      <c r="GI72" s="26"/>
      <c r="GJ72" s="26"/>
      <c r="GK72" s="26"/>
      <c r="GL72" s="26"/>
      <c r="GM72" s="26"/>
      <c r="GN72" s="26"/>
      <c r="GO72" s="26"/>
      <c r="GP72" s="26"/>
      <c r="GQ72" s="26"/>
      <c r="GR72" s="26"/>
      <c r="GS72" s="26"/>
      <c r="GT72" s="26"/>
      <c r="GU72" s="26"/>
      <c r="GV72" s="26"/>
      <c r="GW72" s="26"/>
      <c r="GX72" s="26"/>
      <c r="GY72" s="26"/>
      <c r="GZ72" s="26"/>
      <c r="HA72" s="26"/>
      <c r="HB72" s="26"/>
      <c r="HC72" s="26"/>
      <c r="HD72" s="26"/>
      <c r="HE72" s="26"/>
      <c r="HF72" s="26"/>
      <c r="HG72" s="26"/>
      <c r="HH72" s="26"/>
      <c r="HI72" s="26"/>
      <c r="HJ72" s="26"/>
      <c r="HK72" s="26"/>
      <c r="HL72" s="26"/>
      <c r="HM72" s="26"/>
      <c r="HN72" s="26"/>
      <c r="HO72" s="26"/>
      <c r="HP72" s="26"/>
      <c r="HQ72" s="26"/>
      <c r="HR72" s="26"/>
      <c r="HS72" s="26"/>
      <c r="HT72" s="26"/>
      <c r="HU72" s="26"/>
      <c r="HV72" s="26"/>
    </row>
    <row r="73" spans="1:230" ht="11.25" customHeight="1" thickBot="1" x14ac:dyDescent="0.25">
      <c r="B73" s="239" t="str">
        <f>B62</f>
        <v>Fastighetsägare (personnr/org.nr)</v>
      </c>
      <c r="C73" s="240"/>
      <c r="D73" s="240"/>
      <c r="E73" s="25" t="s">
        <v>81</v>
      </c>
      <c r="F73" s="25" t="s">
        <v>28</v>
      </c>
      <c r="G73" s="169" t="s">
        <v>82</v>
      </c>
      <c r="H73" s="169"/>
      <c r="I73" s="169"/>
      <c r="J73" s="170"/>
      <c r="L73" s="145" t="s">
        <v>92</v>
      </c>
      <c r="M73" s="26"/>
      <c r="N73" s="26"/>
    </row>
    <row r="74" spans="1:230" s="44" customFormat="1" ht="30" customHeight="1" thickBot="1" x14ac:dyDescent="0.25">
      <c r="A74" s="24"/>
      <c r="B74" s="265"/>
      <c r="C74" s="266"/>
      <c r="D74" s="267"/>
      <c r="E74" s="56"/>
      <c r="F74" s="57" t="n">
        <f>IF(L74&gt;$J$58,"Fel andel",L74)</f>
        <v>0.0</v>
      </c>
      <c r="G74" s="268" t="str">
        <f>G69</f>
        <v>Underskrift/Datum:</v>
      </c>
      <c r="H74" s="269"/>
      <c r="I74" s="269"/>
      <c r="J74" s="270"/>
      <c r="K74" s="26"/>
      <c r="L74" s="146" t="n">
        <f>$J$58*E74</f>
        <v>0.0</v>
      </c>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6"/>
      <c r="FN74" s="26"/>
      <c r="FO74" s="26"/>
      <c r="FP74" s="26"/>
      <c r="FQ74" s="26"/>
      <c r="FR74" s="26"/>
      <c r="FS74" s="26"/>
      <c r="FT74" s="26"/>
      <c r="FU74" s="26"/>
      <c r="FV74" s="26"/>
      <c r="FW74" s="26"/>
      <c r="FX74" s="26"/>
      <c r="FY74" s="26"/>
      <c r="FZ74" s="26"/>
      <c r="GA74" s="26"/>
      <c r="GB74" s="26"/>
      <c r="GC74" s="26"/>
      <c r="GD74" s="26"/>
      <c r="GE74" s="26"/>
      <c r="GF74" s="26"/>
      <c r="GG74" s="26"/>
      <c r="GH74" s="26"/>
      <c r="GI74" s="26"/>
      <c r="GJ74" s="26"/>
      <c r="GK74" s="26"/>
      <c r="GL74" s="26"/>
      <c r="GM74" s="26"/>
      <c r="GN74" s="26"/>
      <c r="GO74" s="26"/>
      <c r="GP74" s="26"/>
      <c r="GQ74" s="26"/>
      <c r="GR74" s="26"/>
      <c r="GS74" s="26"/>
      <c r="GT74" s="26"/>
      <c r="GU74" s="26"/>
      <c r="GV74" s="26"/>
      <c r="GW74" s="26"/>
      <c r="GX74" s="26"/>
      <c r="GY74" s="26"/>
      <c r="GZ74" s="26"/>
      <c r="HA74" s="26"/>
      <c r="HB74" s="26"/>
      <c r="HC74" s="26"/>
      <c r="HD74" s="26"/>
      <c r="HE74" s="26"/>
      <c r="HF74" s="26"/>
      <c r="HG74" s="26"/>
      <c r="HH74" s="26"/>
      <c r="HI74" s="26"/>
      <c r="HJ74" s="26"/>
      <c r="HK74" s="26"/>
      <c r="HL74" s="26"/>
      <c r="HM74" s="26"/>
      <c r="HN74" s="26"/>
      <c r="HO74" s="26"/>
      <c r="HP74" s="26"/>
      <c r="HQ74" s="26"/>
      <c r="HR74" s="26"/>
      <c r="HS74" s="26"/>
      <c r="HT74" s="26"/>
      <c r="HU74" s="26"/>
      <c r="HV74" s="26"/>
    </row>
    <row r="75" spans="1:230" s="44" customFormat="1" ht="30" customHeight="1" x14ac:dyDescent="0.2">
      <c r="A75" s="24"/>
      <c r="B75" s="271" t="s">
        <v>85</v>
      </c>
      <c r="C75" s="272"/>
      <c r="D75" s="272"/>
      <c r="E75" s="272" t="s">
        <v>86</v>
      </c>
      <c r="F75" s="272"/>
      <c r="G75" s="262" t="s">
        <v>87</v>
      </c>
      <c r="H75" s="263"/>
      <c r="I75" s="263"/>
      <c r="J75" s="264"/>
      <c r="K75" s="26"/>
      <c r="L75" s="147"/>
      <c r="M75" s="1"/>
      <c r="N75" s="1"/>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6"/>
      <c r="FN75" s="26"/>
      <c r="FO75" s="26"/>
      <c r="FP75" s="26"/>
      <c r="FQ75" s="26"/>
      <c r="FR75" s="26"/>
      <c r="FS75" s="26"/>
      <c r="FT75" s="26"/>
      <c r="FU75" s="26"/>
      <c r="FV75" s="26"/>
      <c r="FW75" s="26"/>
      <c r="FX75" s="26"/>
      <c r="FY75" s="26"/>
      <c r="FZ75" s="26"/>
      <c r="GA75" s="26"/>
      <c r="GB75" s="26"/>
      <c r="GC75" s="26"/>
      <c r="GD75" s="26"/>
      <c r="GE75" s="26"/>
      <c r="GF75" s="26"/>
      <c r="GG75" s="26"/>
      <c r="GH75" s="26"/>
      <c r="GI75" s="26"/>
      <c r="GJ75" s="26"/>
      <c r="GK75" s="26"/>
      <c r="GL75" s="26"/>
      <c r="GM75" s="26"/>
      <c r="GN75" s="26"/>
      <c r="GO75" s="26"/>
      <c r="GP75" s="26"/>
      <c r="GQ75" s="26"/>
      <c r="GR75" s="26"/>
      <c r="GS75" s="26"/>
      <c r="GT75" s="26"/>
      <c r="GU75" s="26"/>
      <c r="GV75" s="26"/>
      <c r="GW75" s="26"/>
      <c r="GX75" s="26"/>
      <c r="GY75" s="26"/>
      <c r="GZ75" s="26"/>
      <c r="HA75" s="26"/>
      <c r="HB75" s="26"/>
      <c r="HC75" s="26"/>
      <c r="HD75" s="26"/>
      <c r="HE75" s="26"/>
      <c r="HF75" s="26"/>
      <c r="HG75" s="26"/>
      <c r="HH75" s="26"/>
      <c r="HI75" s="26"/>
      <c r="HJ75" s="26"/>
      <c r="HK75" s="26"/>
      <c r="HL75" s="26"/>
      <c r="HM75" s="26"/>
      <c r="HN75" s="26"/>
      <c r="HO75" s="26"/>
      <c r="HP75" s="26"/>
      <c r="HQ75" s="26"/>
      <c r="HR75" s="26"/>
      <c r="HS75" s="26"/>
      <c r="HT75" s="26"/>
      <c r="HU75" s="26"/>
      <c r="HV75" s="26"/>
    </row>
    <row r="76" spans="1:230" ht="30" customHeight="1" x14ac:dyDescent="0.2">
      <c r="B76" s="287" t="s">
        <v>88</v>
      </c>
      <c r="C76" s="156"/>
      <c r="D76" s="155" t="s">
        <v>89</v>
      </c>
      <c r="E76" s="156"/>
      <c r="F76" s="288"/>
      <c r="G76" s="155" t="s">
        <v>90</v>
      </c>
      <c r="H76" s="156"/>
      <c r="I76" s="156"/>
      <c r="J76" s="157"/>
      <c r="L76" s="147"/>
    </row>
    <row r="77" spans="1:230" ht="22.5" customHeight="1" x14ac:dyDescent="0.2">
      <c r="B77" s="305"/>
      <c r="C77" s="305"/>
      <c r="D77" s="305"/>
      <c r="E77" s="305"/>
      <c r="F77" s="305"/>
      <c r="G77" s="305"/>
      <c r="H77" s="305"/>
      <c r="I77" s="305"/>
      <c r="J77" s="305"/>
    </row>
    <row r="78" spans="1:230" ht="11.25" customHeight="1" thickBot="1" x14ac:dyDescent="0.25">
      <c r="B78" s="239" t="str">
        <f>B62</f>
        <v>Fastighetsägare (personnr/org.nr)</v>
      </c>
      <c r="C78" s="240"/>
      <c r="D78" s="240"/>
      <c r="E78" s="25" t="s">
        <v>81</v>
      </c>
      <c r="F78" s="25" t="s">
        <v>28</v>
      </c>
      <c r="G78" s="169" t="s">
        <v>82</v>
      </c>
      <c r="H78" s="169"/>
      <c r="I78" s="169"/>
      <c r="J78" s="170"/>
      <c r="L78" s="145" t="s">
        <v>92</v>
      </c>
    </row>
    <row r="79" spans="1:230" ht="30" customHeight="1" thickBot="1" x14ac:dyDescent="0.25">
      <c r="B79" s="265"/>
      <c r="C79" s="266"/>
      <c r="D79" s="267"/>
      <c r="E79" s="56"/>
      <c r="F79" s="57" t="n">
        <f>IF(L79&gt;$J$58,"Fel andel",L79)</f>
        <v>0.0</v>
      </c>
      <c r="G79" s="268" t="str">
        <f>G74</f>
        <v>Underskrift/Datum:</v>
      </c>
      <c r="H79" s="269"/>
      <c r="I79" s="269"/>
      <c r="J79" s="270"/>
      <c r="L79" s="146" t="n">
        <f>$J$58*E79</f>
        <v>0.0</v>
      </c>
    </row>
    <row r="80" spans="1:230" ht="30" customHeight="1" x14ac:dyDescent="0.2">
      <c r="B80" s="271" t="s">
        <v>85</v>
      </c>
      <c r="C80" s="272"/>
      <c r="D80" s="272"/>
      <c r="E80" s="272" t="s">
        <v>86</v>
      </c>
      <c r="F80" s="272"/>
      <c r="G80" s="262" t="s">
        <v>87</v>
      </c>
      <c r="H80" s="263"/>
      <c r="I80" s="263"/>
      <c r="J80" s="264"/>
    </row>
    <row r="81" spans="2:12" ht="30" customHeight="1" x14ac:dyDescent="0.2">
      <c r="B81" s="287" t="s">
        <v>88</v>
      </c>
      <c r="C81" s="156"/>
      <c r="D81" s="155" t="s">
        <v>89</v>
      </c>
      <c r="E81" s="156"/>
      <c r="F81" s="288"/>
      <c r="G81" s="155" t="s">
        <v>90</v>
      </c>
      <c r="H81" s="156"/>
      <c r="I81" s="156"/>
      <c r="J81" s="157"/>
    </row>
    <row r="82" spans="2:12" ht="22.5" customHeight="1" x14ac:dyDescent="0.2"/>
    <row r="83" spans="2:12" ht="11.25" customHeight="1" thickBot="1" x14ac:dyDescent="0.25">
      <c r="B83" s="239" t="str">
        <f>B62</f>
        <v>Fastighetsägare (personnr/org.nr)</v>
      </c>
      <c r="C83" s="240"/>
      <c r="D83" s="240"/>
      <c r="E83" s="25" t="s">
        <v>81</v>
      </c>
      <c r="F83" s="25" t="s">
        <v>28</v>
      </c>
      <c r="G83" s="169" t="s">
        <v>82</v>
      </c>
      <c r="H83" s="169"/>
      <c r="I83" s="169"/>
      <c r="J83" s="170"/>
      <c r="L83" s="145" t="s">
        <v>92</v>
      </c>
    </row>
    <row r="84" spans="2:12" ht="30" customHeight="1" thickBot="1" x14ac:dyDescent="0.25">
      <c r="B84" s="265"/>
      <c r="C84" s="266"/>
      <c r="D84" s="267"/>
      <c r="E84" s="56"/>
      <c r="F84" s="57" t="n">
        <f>IF(L84&gt;$J$58,"Fel andel",L84)</f>
        <v>0.0</v>
      </c>
      <c r="G84" s="268" t="str">
        <f>G79</f>
        <v>Underskrift/Datum:</v>
      </c>
      <c r="H84" s="269"/>
      <c r="I84" s="269"/>
      <c r="J84" s="270"/>
      <c r="L84" s="146" t="n">
        <f>$J$58*E84</f>
        <v>0.0</v>
      </c>
    </row>
    <row r="85" spans="2:12" ht="30" customHeight="1" x14ac:dyDescent="0.2">
      <c r="B85" s="271" t="s">
        <v>85</v>
      </c>
      <c r="C85" s="272"/>
      <c r="D85" s="272"/>
      <c r="E85" s="272" t="s">
        <v>86</v>
      </c>
      <c r="F85" s="272"/>
      <c r="G85" s="262" t="s">
        <v>87</v>
      </c>
      <c r="H85" s="263"/>
      <c r="I85" s="263"/>
      <c r="J85" s="264"/>
    </row>
    <row r="86" spans="2:12" ht="30" customHeight="1" x14ac:dyDescent="0.2">
      <c r="B86" s="287" t="s">
        <v>88</v>
      </c>
      <c r="C86" s="156"/>
      <c r="D86" s="155" t="s">
        <v>89</v>
      </c>
      <c r="E86" s="156"/>
      <c r="F86" s="288"/>
      <c r="G86" s="155" t="s">
        <v>90</v>
      </c>
      <c r="H86" s="156"/>
      <c r="I86" s="156"/>
      <c r="J86" s="157"/>
    </row>
    <row r="87" spans="2:12" ht="22.5" customHeight="1" x14ac:dyDescent="0.2"/>
    <row r="88" spans="2:12" ht="11.25" customHeight="1" thickBot="1" x14ac:dyDescent="0.25">
      <c r="B88" s="239" t="str">
        <f>B62</f>
        <v>Fastighetsägare (personnr/org.nr)</v>
      </c>
      <c r="C88" s="240"/>
      <c r="D88" s="240"/>
      <c r="E88" s="25" t="s">
        <v>81</v>
      </c>
      <c r="F88" s="25" t="s">
        <v>28</v>
      </c>
      <c r="G88" s="169" t="s">
        <v>82</v>
      </c>
      <c r="H88" s="169"/>
      <c r="I88" s="169"/>
      <c r="J88" s="170"/>
      <c r="L88" s="145" t="s">
        <v>92</v>
      </c>
    </row>
    <row r="89" spans="2:12" ht="30" customHeight="1" thickBot="1" x14ac:dyDescent="0.25">
      <c r="B89" s="265"/>
      <c r="C89" s="266"/>
      <c r="D89" s="267"/>
      <c r="E89" s="56"/>
      <c r="F89" s="57" t="n">
        <f>IF(L89&gt;$J$58,"Fel andel",L89)</f>
        <v>0.0</v>
      </c>
      <c r="G89" s="268" t="str">
        <f>G84</f>
        <v>Underskrift/Datum:</v>
      </c>
      <c r="H89" s="269"/>
      <c r="I89" s="269"/>
      <c r="J89" s="270"/>
      <c r="L89" s="146" t="n">
        <f>$J$58*E89</f>
        <v>0.0</v>
      </c>
    </row>
    <row r="90" spans="2:12" ht="30" customHeight="1" x14ac:dyDescent="0.2">
      <c r="B90" s="271" t="s">
        <v>85</v>
      </c>
      <c r="C90" s="272"/>
      <c r="D90" s="272"/>
      <c r="E90" s="272" t="s">
        <v>86</v>
      </c>
      <c r="F90" s="272"/>
      <c r="G90" s="262" t="s">
        <v>87</v>
      </c>
      <c r="H90" s="263"/>
      <c r="I90" s="263"/>
      <c r="J90" s="264"/>
    </row>
    <row r="91" spans="2:12" ht="30" customHeight="1" x14ac:dyDescent="0.2">
      <c r="B91" s="287" t="s">
        <v>88</v>
      </c>
      <c r="C91" s="156"/>
      <c r="D91" s="155" t="s">
        <v>89</v>
      </c>
      <c r="E91" s="156"/>
      <c r="F91" s="288"/>
      <c r="G91" s="155" t="s">
        <v>90</v>
      </c>
      <c r="H91" s="156"/>
      <c r="I91" s="156"/>
      <c r="J91" s="157"/>
    </row>
    <row r="92" spans="2:12" ht="22.5" customHeight="1" x14ac:dyDescent="0.2"/>
    <row r="93" spans="2:12" ht="11.25" customHeight="1" thickBot="1" x14ac:dyDescent="0.25">
      <c r="B93" s="239" t="str">
        <f>B62</f>
        <v>Fastighetsägare (personnr/org.nr)</v>
      </c>
      <c r="C93" s="240"/>
      <c r="D93" s="240"/>
      <c r="E93" s="25" t="s">
        <v>81</v>
      </c>
      <c r="F93" s="25" t="s">
        <v>28</v>
      </c>
      <c r="G93" s="169" t="s">
        <v>82</v>
      </c>
      <c r="H93" s="169"/>
      <c r="I93" s="169"/>
      <c r="J93" s="170"/>
      <c r="L93" s="145" t="s">
        <v>92</v>
      </c>
    </row>
    <row r="94" spans="2:12" ht="30" customHeight="1" thickBot="1" x14ac:dyDescent="0.25">
      <c r="B94" s="265"/>
      <c r="C94" s="266"/>
      <c r="D94" s="267"/>
      <c r="E94" s="56"/>
      <c r="F94" s="57" t="n">
        <f>IF(L94&gt;$J$58,"Fel andel",L94)</f>
        <v>0.0</v>
      </c>
      <c r="G94" s="268" t="str">
        <f>G84</f>
        <v>Underskrift/Datum:</v>
      </c>
      <c r="H94" s="269"/>
      <c r="I94" s="269"/>
      <c r="J94" s="270"/>
      <c r="L94" s="146" t="n">
        <f>$J$58*E94</f>
        <v>0.0</v>
      </c>
    </row>
    <row r="95" spans="2:12" ht="30" customHeight="1" x14ac:dyDescent="0.2">
      <c r="B95" s="271" t="s">
        <v>85</v>
      </c>
      <c r="C95" s="272"/>
      <c r="D95" s="272"/>
      <c r="E95" s="272" t="s">
        <v>86</v>
      </c>
      <c r="F95" s="272"/>
      <c r="G95" s="262" t="s">
        <v>87</v>
      </c>
      <c r="H95" s="263"/>
      <c r="I95" s="263"/>
      <c r="J95" s="264"/>
    </row>
    <row r="96" spans="2:12" ht="30" customHeight="1" x14ac:dyDescent="0.2">
      <c r="B96" s="287" t="s">
        <v>88</v>
      </c>
      <c r="C96" s="156"/>
      <c r="D96" s="155" t="s">
        <v>89</v>
      </c>
      <c r="E96" s="156"/>
      <c r="F96" s="288"/>
      <c r="G96" s="155" t="s">
        <v>90</v>
      </c>
      <c r="H96" s="156"/>
      <c r="I96" s="156"/>
      <c r="J96" s="157"/>
    </row>
    <row r="97" spans="2:12" ht="22.5" customHeight="1" x14ac:dyDescent="0.2"/>
    <row r="98" spans="2:12" ht="11.25" customHeight="1" thickBot="1" x14ac:dyDescent="0.25">
      <c r="B98" s="239" t="str">
        <f>B62</f>
        <v>Fastighetsägare (personnr/org.nr)</v>
      </c>
      <c r="C98" s="240"/>
      <c r="D98" s="240"/>
      <c r="E98" s="25" t="s">
        <v>81</v>
      </c>
      <c r="F98" s="25" t="s">
        <v>28</v>
      </c>
      <c r="G98" s="169" t="s">
        <v>82</v>
      </c>
      <c r="H98" s="169"/>
      <c r="I98" s="169"/>
      <c r="J98" s="170"/>
      <c r="L98" s="145" t="s">
        <v>92</v>
      </c>
    </row>
    <row r="99" spans="2:12" ht="30" customHeight="1" thickBot="1" x14ac:dyDescent="0.25">
      <c r="B99" s="265"/>
      <c r="C99" s="266"/>
      <c r="D99" s="267"/>
      <c r="E99" s="56"/>
      <c r="F99" s="57" t="n">
        <f>IF(L99&gt;$J$58,"Fel andel",L99)</f>
        <v>0.0</v>
      </c>
      <c r="G99" s="268" t="str">
        <f>G89</f>
        <v>Underskrift/Datum:</v>
      </c>
      <c r="H99" s="269"/>
      <c r="I99" s="269"/>
      <c r="J99" s="270"/>
      <c r="L99" s="146" t="n">
        <f>$J$58*E99</f>
        <v>0.0</v>
      </c>
    </row>
    <row r="100" spans="2:12" ht="30" customHeight="1" x14ac:dyDescent="0.2">
      <c r="B100" s="271" t="s">
        <v>85</v>
      </c>
      <c r="C100" s="272"/>
      <c r="D100" s="272"/>
      <c r="E100" s="272" t="s">
        <v>86</v>
      </c>
      <c r="F100" s="272"/>
      <c r="G100" s="262" t="s">
        <v>87</v>
      </c>
      <c r="H100" s="263"/>
      <c r="I100" s="263"/>
      <c r="J100" s="264"/>
    </row>
    <row r="101" spans="2:12" ht="30" customHeight="1" x14ac:dyDescent="0.2">
      <c r="B101" s="287" t="s">
        <v>88</v>
      </c>
      <c r="C101" s="156"/>
      <c r="D101" s="155" t="s">
        <v>89</v>
      </c>
      <c r="E101" s="156"/>
      <c r="F101" s="288"/>
      <c r="G101" s="155" t="s">
        <v>90</v>
      </c>
      <c r="H101" s="156"/>
      <c r="I101" s="156"/>
      <c r="J101" s="157"/>
    </row>
    <row r="102" spans="2:12" ht="12.75" customHeight="1" x14ac:dyDescent="0.2">
      <c r="B102" s="304" t="s">
        <v>93</v>
      </c>
      <c r="C102" s="304"/>
      <c r="D102" s="304"/>
      <c r="E102" s="304"/>
      <c r="F102" s="304"/>
      <c r="G102" s="304"/>
      <c r="H102" s="304"/>
      <c r="I102" s="304"/>
      <c r="J102" s="304"/>
    </row>
    <row r="103" spans="2:12" ht="12.75" customHeight="1" x14ac:dyDescent="0.2">
      <c r="B103" s="303" t="n">
        <f>IF((E63+E69+E74+E79+E84+E89+E94+E99)=1,0,"SUMMAN AV DE LAGFARNA ÄGARNAS ANDELAR ÄR INTE = 1")</f>
        <v>0.0</v>
      </c>
      <c r="C103" s="303"/>
      <c r="D103" s="303"/>
      <c r="E103" s="303"/>
      <c r="F103" s="303"/>
      <c r="G103" s="303"/>
      <c r="H103" s="303"/>
      <c r="I103" s="303"/>
      <c r="J103" s="303"/>
    </row>
  </sheetData>
  <sheetProtection algorithmName="SHA-512" hashValue="qiphnZ1u0yDiIODucCn/XfVo7GSVVmJxZIPp+cfqNITPd3yKzTDFhABaREW1H03vd8S2nJj2rSkdwZrd4aiFHQ==" saltValue="QfDJBanmx1WjQvAfUOBweg==" spinCount="100000" sheet="1" selectLockedCells="1"/>
  <mergeCells count="178">
    <mergeCell ref="G71:J71"/>
    <mergeCell ref="G83:J83"/>
    <mergeCell ref="B84:D84"/>
    <mergeCell ref="G84:J84"/>
    <mergeCell ref="B74:D74"/>
    <mergeCell ref="G74:J74"/>
    <mergeCell ref="B80:D80"/>
    <mergeCell ref="B71:C71"/>
    <mergeCell ref="B63:D63"/>
    <mergeCell ref="G76:J76"/>
    <mergeCell ref="B75:D75"/>
    <mergeCell ref="G75:J75"/>
    <mergeCell ref="D71:F71"/>
    <mergeCell ref="B70:D70"/>
    <mergeCell ref="E70:F70"/>
    <mergeCell ref="G70:J70"/>
    <mergeCell ref="B69:D69"/>
    <mergeCell ref="B68:D68"/>
    <mergeCell ref="G68:J68"/>
    <mergeCell ref="G69:J69"/>
    <mergeCell ref="B66:J66"/>
    <mergeCell ref="B67:J67"/>
    <mergeCell ref="B65:C65"/>
    <mergeCell ref="D65:F65"/>
    <mergeCell ref="G80:J80"/>
    <mergeCell ref="G81:J81"/>
    <mergeCell ref="B78:D78"/>
    <mergeCell ref="D96:F96"/>
    <mergeCell ref="G96:J96"/>
    <mergeCell ref="G79:J79"/>
    <mergeCell ref="B81:C81"/>
    <mergeCell ref="B83:D83"/>
    <mergeCell ref="G78:J78"/>
    <mergeCell ref="D81:F81"/>
    <mergeCell ref="B103:J103"/>
    <mergeCell ref="B102:J102"/>
    <mergeCell ref="B77:J77"/>
    <mergeCell ref="B73:D73"/>
    <mergeCell ref="G73:J73"/>
    <mergeCell ref="E75:F75"/>
    <mergeCell ref="B76:C76"/>
    <mergeCell ref="D76:F76"/>
    <mergeCell ref="E80:F80"/>
    <mergeCell ref="B88:D88"/>
    <mergeCell ref="G88:J88"/>
    <mergeCell ref="B89:D89"/>
    <mergeCell ref="G89:J89"/>
    <mergeCell ref="B90:D90"/>
    <mergeCell ref="E90:F90"/>
    <mergeCell ref="G90:J90"/>
    <mergeCell ref="B85:D85"/>
    <mergeCell ref="G85:J85"/>
    <mergeCell ref="B79:D79"/>
    <mergeCell ref="G86:J86"/>
    <mergeCell ref="B96:C96"/>
    <mergeCell ref="E85:F85"/>
    <mergeCell ref="B86:C86"/>
    <mergeCell ref="D86:F86"/>
    <mergeCell ref="M3:N3"/>
    <mergeCell ref="M6:N6"/>
    <mergeCell ref="M7:N7"/>
    <mergeCell ref="M41:N41"/>
    <mergeCell ref="Q15:R15"/>
    <mergeCell ref="M8:N8"/>
    <mergeCell ref="M16:N16"/>
    <mergeCell ref="M4:N4"/>
    <mergeCell ref="M9:N9"/>
    <mergeCell ref="M5:N5"/>
    <mergeCell ref="G101:J101"/>
    <mergeCell ref="G91:J91"/>
    <mergeCell ref="B98:D98"/>
    <mergeCell ref="G98:J98"/>
    <mergeCell ref="B91:C91"/>
    <mergeCell ref="D91:F91"/>
    <mergeCell ref="E100:F100"/>
    <mergeCell ref="B101:C101"/>
    <mergeCell ref="D101:F101"/>
    <mergeCell ref="B93:D93"/>
    <mergeCell ref="G93:J93"/>
    <mergeCell ref="B94:D94"/>
    <mergeCell ref="G94:J94"/>
    <mergeCell ref="B95:D95"/>
    <mergeCell ref="E95:F95"/>
    <mergeCell ref="G95:J95"/>
    <mergeCell ref="F19:H19"/>
    <mergeCell ref="F20:H20"/>
    <mergeCell ref="F21:H21"/>
    <mergeCell ref="B17:E17"/>
    <mergeCell ref="B18:E18"/>
    <mergeCell ref="B19:E19"/>
    <mergeCell ref="B20:E20"/>
    <mergeCell ref="B21:E21"/>
    <mergeCell ref="G100:J100"/>
    <mergeCell ref="B99:D99"/>
    <mergeCell ref="G99:J99"/>
    <mergeCell ref="B100:D100"/>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6"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9525</xdr:colOff>
                    <xdr:row>0</xdr:row>
                    <xdr:rowOff>85725</xdr:rowOff>
                  </from>
                  <to>
                    <xdr:col>3</xdr:col>
                    <xdr:colOff>476250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9525</xdr:colOff>
                    <xdr:row>55</xdr:row>
                    <xdr:rowOff>85725</xdr:rowOff>
                  </from>
                  <to>
                    <xdr:col>3</xdr:col>
                    <xdr:colOff>247650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542925</xdr:colOff>
                    <xdr:row>0</xdr:row>
                    <xdr:rowOff>85725</xdr:rowOff>
                  </from>
                  <to>
                    <xdr:col>5</xdr:col>
                    <xdr:colOff>590550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657225</xdr:colOff>
                    <xdr:row>0</xdr:row>
                    <xdr:rowOff>85725</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D1"/>
  <sheetViews>
    <sheetView showGridLines="0" showRowColHeaders="0" topLeftCell="A19" zoomScaleNormal="100" workbookViewId="0">
      <selection activeCell="H70" sqref="H70"/>
    </sheetView>
  </sheetViews>
  <sheetFormatPr defaultRowHeight="20.25" customHeight="1" x14ac:dyDescent="0.2"/>
  <cols>
    <col min="1" max="1" customWidth="true" style="21" width="32.42578125" collapsed="false"/>
    <col min="2" max="4" customWidth="true" width="21.42578125" collapsed="false"/>
    <col min="5" max="5" customWidth="true" width="38.42578125" collapsed="false"/>
  </cols>
  <sheetData>
    <row r="1" spans="2:4" ht="20.25" customHeight="1" x14ac:dyDescent="0.2">
      <c r="B1" s="23"/>
      <c r="C1" s="23"/>
      <c r="D1" s="22"/>
    </row>
  </sheetData>
  <sheetProtection password="D793"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I44"/>
  <sheetViews>
    <sheetView showGridLines="0" zoomScaleNormal="100" workbookViewId="0">
      <pane ySplit="8" topLeftCell="A27" activePane="bottomLeft" state="frozen"/>
      <selection pane="bottomLeft" activeCell="B3" sqref="B3"/>
    </sheetView>
  </sheetViews>
  <sheetFormatPr defaultColWidth="21.42578125" defaultRowHeight="18.75" customHeight="1" x14ac:dyDescent="0.2"/>
  <cols>
    <col min="1" max="1" bestFit="true" customWidth="true" style="79" width="40.42578125" collapsed="false"/>
    <col min="2" max="2" customWidth="true" style="60" width="17.85546875" collapsed="false"/>
    <col min="3" max="3" customWidth="true" style="68" width="17.85546875" collapsed="false"/>
    <col min="4" max="5" customWidth="true" style="60" width="17.85546875" collapsed="false"/>
    <col min="6" max="6" customWidth="true" style="60" width="5.42578125" collapsed="false"/>
    <col min="7" max="7" customWidth="true" style="81" width="24.28515625" collapsed="false"/>
    <col min="8" max="8" customWidth="true" style="60" width="24.28515625" collapsed="false"/>
    <col min="9" max="16384" style="60" width="21.42578125" collapsed="false"/>
  </cols>
  <sheetData>
    <row r="1" spans="1:9" ht="18.75" customHeight="1" x14ac:dyDescent="0.2">
      <c r="A1" s="339" t="s">
        <v>94</v>
      </c>
      <c r="B1" s="339"/>
      <c r="C1" s="338" t="s">
        <v>95</v>
      </c>
      <c r="D1" s="338"/>
      <c r="E1" s="338"/>
    </row>
    <row r="2" spans="1:9" ht="18.75" customHeight="1" x14ac:dyDescent="0.2">
      <c r="A2" s="75"/>
      <c r="B2" s="75"/>
      <c r="C2" s="71"/>
      <c r="D2" s="71"/>
      <c r="E2" s="71"/>
    </row>
    <row r="3" spans="1:9" ht="18.75" customHeight="1" x14ac:dyDescent="0.2">
      <c r="A3" s="78" t="s">
        <v>96</v>
      </c>
      <c r="B3" s="73">
        <v>47300</v>
      </c>
      <c r="C3" s="320" t="s">
        <v>97</v>
      </c>
      <c r="D3" s="320"/>
      <c r="E3" s="66" t="n">
        <f>B3*0.05</f>
        <v>2365.0</v>
      </c>
      <c r="G3" s="313" t="s">
        <v>98</v>
      </c>
      <c r="H3" s="313"/>
      <c r="I3" s="313"/>
    </row>
    <row r="4" spans="1:9" ht="18.75" customHeight="1" x14ac:dyDescent="0.2">
      <c r="A4" s="78" t="s">
        <v>99</v>
      </c>
      <c r="B4" s="74">
        <v>336.04</v>
      </c>
      <c r="C4" s="320" t="s">
        <v>100</v>
      </c>
      <c r="D4" s="320"/>
      <c r="E4" s="89">
        <v>330.72</v>
      </c>
      <c r="G4" s="335" t="s">
        <v>101</v>
      </c>
      <c r="H4" s="336" t="s">
        <v>102</v>
      </c>
      <c r="I4" s="337" t="s">
        <v>103</v>
      </c>
    </row>
    <row r="5" spans="1:9" ht="18.75" customHeight="1" x14ac:dyDescent="0.2">
      <c r="A5" s="78" t="s">
        <v>104</v>
      </c>
      <c r="B5" s="74">
        <v>119.2</v>
      </c>
      <c r="C5" s="320" t="s">
        <v>105</v>
      </c>
      <c r="D5" s="320"/>
      <c r="E5" s="90">
        <v>314.39999999999998</v>
      </c>
      <c r="G5" s="335"/>
      <c r="H5" s="336"/>
      <c r="I5" s="337"/>
    </row>
    <row r="6" spans="1:9" ht="18.75" customHeight="1" x14ac:dyDescent="0.2">
      <c r="A6" s="78" t="s">
        <v>106</v>
      </c>
      <c r="B6" s="73">
        <v>5000</v>
      </c>
      <c r="C6" s="320" t="s">
        <v>107</v>
      </c>
      <c r="D6" s="320"/>
      <c r="E6" s="91">
        <v>105.3</v>
      </c>
      <c r="G6" s="335"/>
      <c r="H6" s="336"/>
      <c r="I6" s="337"/>
    </row>
    <row r="7" spans="1:9" ht="18.75" customHeight="1" x14ac:dyDescent="0.2">
      <c r="B7" s="69"/>
      <c r="C7" s="69"/>
      <c r="D7" s="76"/>
      <c r="E7" s="77"/>
      <c r="G7" s="335"/>
      <c r="H7" s="336"/>
      <c r="I7" s="337"/>
    </row>
    <row r="8" spans="1:9" ht="36" x14ac:dyDescent="0.2">
      <c r="A8" s="80" t="s">
        <v>108</v>
      </c>
      <c r="B8" s="70" t="s">
        <v>109</v>
      </c>
      <c r="C8" s="70" t="s">
        <v>110</v>
      </c>
      <c r="D8" s="70" t="s">
        <v>111</v>
      </c>
      <c r="E8" s="70" t="s">
        <v>112</v>
      </c>
    </row>
    <row r="9" spans="1:9" s="61" customFormat="1" ht="18.75" customHeight="1" x14ac:dyDescent="0.2">
      <c r="A9" s="321" t="s">
        <v>113</v>
      </c>
      <c r="B9" s="322"/>
      <c r="C9" s="322"/>
      <c r="D9" s="322"/>
      <c r="E9" s="323"/>
      <c r="G9" s="82"/>
    </row>
    <row r="10" spans="1:9" ht="18.75" customHeight="1" x14ac:dyDescent="0.2">
      <c r="A10" s="78" t="s">
        <v>114</v>
      </c>
      <c r="B10" s="62">
        <v>4</v>
      </c>
      <c r="C10" s="63" t="n">
        <f>B10*($B$4/$E$4)</f>
        <v>4.064344460570876</v>
      </c>
      <c r="D10" s="64" t="n">
        <f>C10*1.25</f>
        <v>5.080430575713595</v>
      </c>
      <c r="E10" s="64" t="n">
        <f>D10*1.2</f>
        <v>6.096516690856314</v>
      </c>
    </row>
    <row r="11" spans="1:9" s="72" customFormat="1" ht="18.75" customHeight="1" x14ac:dyDescent="0.2">
      <c r="A11" s="324" t="s">
        <v>115</v>
      </c>
      <c r="B11" s="325"/>
      <c r="C11" s="325"/>
      <c r="D11" s="325"/>
      <c r="E11" s="326"/>
      <c r="G11" s="81"/>
      <c r="H11" s="76"/>
    </row>
    <row r="12" spans="1:9" ht="18.75" customHeight="1" x14ac:dyDescent="0.2">
      <c r="A12" s="78" t="s">
        <v>39</v>
      </c>
      <c r="B12" s="65">
        <v>500</v>
      </c>
      <c r="C12" s="66" t="n">
        <f>ROUND(B12*($B$4/$E$4),-2)</f>
        <v>500.0</v>
      </c>
      <c r="D12" s="67" t="n">
        <f>C12*1.25</f>
        <v>625.0</v>
      </c>
      <c r="E12" s="67" t="n">
        <f t="shared" ref="E12:E13" si="0">D12*1.2</f>
        <v>750.0</v>
      </c>
    </row>
    <row r="13" spans="1:9" ht="18.75" customHeight="1" x14ac:dyDescent="0.2">
      <c r="A13" s="78" t="s">
        <v>116</v>
      </c>
      <c r="B13" s="65">
        <v>500</v>
      </c>
      <c r="C13" s="66" t="n">
        <f t="shared" ref="C13:C14" si="1">ROUND(B13*($B$4/$E$4),-2)</f>
        <v>500.0</v>
      </c>
      <c r="D13" s="67" t="n">
        <f>C13*1.25</f>
        <v>625.0</v>
      </c>
      <c r="E13" s="67" t="n">
        <f t="shared" si="0"/>
        <v>750.0</v>
      </c>
    </row>
    <row r="14" spans="1:9" ht="18.75" customHeight="1" x14ac:dyDescent="0.2">
      <c r="A14" s="78" t="s">
        <v>117</v>
      </c>
      <c r="B14" s="65">
        <v>500</v>
      </c>
      <c r="C14" s="66" t="n">
        <f t="shared" si="1"/>
        <v>500.0</v>
      </c>
      <c r="D14" s="67" t="n">
        <f>C14*1.25</f>
        <v>625.0</v>
      </c>
      <c r="E14" s="67" t="n">
        <f t="shared" ref="E14" si="2">D14*1.2</f>
        <v>750.0</v>
      </c>
    </row>
    <row r="15" spans="1:9" s="72" customFormat="1" ht="18.75" customHeight="1" x14ac:dyDescent="0.2">
      <c r="A15" s="327" t="s">
        <v>118</v>
      </c>
      <c r="B15" s="328"/>
      <c r="C15" s="328"/>
      <c r="D15" s="328"/>
      <c r="E15" s="329"/>
      <c r="G15" s="82"/>
    </row>
    <row r="16" spans="1:9" ht="18.75" customHeight="1" x14ac:dyDescent="0.2">
      <c r="A16" s="78" t="s">
        <v>119</v>
      </c>
      <c r="B16" s="65">
        <v>2300</v>
      </c>
      <c r="C16" s="66" t="n">
        <f>ROUND(B16*($B$4/$E$4),-2)</f>
        <v>2300.0</v>
      </c>
      <c r="D16" s="67" t="n">
        <f>C16*1.25</f>
        <v>2875.0</v>
      </c>
      <c r="E16" s="67" t="n">
        <f>D16*1.2</f>
        <v>3450.0</v>
      </c>
    </row>
    <row r="17" spans="1:9" ht="18.75" customHeight="1" x14ac:dyDescent="0.2">
      <c r="A17" s="78" t="s">
        <v>120</v>
      </c>
      <c r="B17" s="65">
        <v>2800</v>
      </c>
      <c r="C17" s="66" t="n">
        <f t="shared" ref="C17:C34" si="3">ROUND(B17*($B$4/$E$4),-2)</f>
        <v>2800.0</v>
      </c>
      <c r="D17" s="67" t="n">
        <f t="shared" ref="D17:D22" si="4">C17*1.25</f>
        <v>3500.0</v>
      </c>
      <c r="E17" s="67" t="n">
        <f t="shared" ref="E17:E22" si="5">D17*1.2</f>
        <v>4200.0</v>
      </c>
    </row>
    <row r="18" spans="1:9" ht="18.75" customHeight="1" x14ac:dyDescent="0.2">
      <c r="A18" s="78" t="s">
        <v>121</v>
      </c>
      <c r="B18" s="65">
        <v>3300</v>
      </c>
      <c r="C18" s="66" t="n">
        <f t="shared" si="3"/>
        <v>3400.0</v>
      </c>
      <c r="D18" s="67" t="n">
        <f t="shared" si="4"/>
        <v>4250.0</v>
      </c>
      <c r="E18" s="67" t="n">
        <f t="shared" si="5"/>
        <v>5100.0</v>
      </c>
    </row>
    <row r="19" spans="1:9" ht="18.75" customHeight="1" x14ac:dyDescent="0.2">
      <c r="A19" s="78" t="s">
        <v>122</v>
      </c>
      <c r="B19" s="65">
        <v>2700</v>
      </c>
      <c r="C19" s="66" t="n">
        <f t="shared" si="3"/>
        <v>2700.0</v>
      </c>
      <c r="D19" s="67" t="n">
        <f t="shared" si="4"/>
        <v>3375.0</v>
      </c>
      <c r="E19" s="67" t="n">
        <f t="shared" si="5"/>
        <v>4050.0</v>
      </c>
    </row>
    <row r="20" spans="1:9" ht="18.75" customHeight="1" x14ac:dyDescent="0.2">
      <c r="A20" s="78" t="s">
        <v>123</v>
      </c>
      <c r="B20" s="65">
        <v>3000</v>
      </c>
      <c r="C20" s="66" t="n">
        <f t="shared" si="3"/>
        <v>3000.0</v>
      </c>
      <c r="D20" s="67" t="n">
        <f t="shared" si="4"/>
        <v>3750.0</v>
      </c>
      <c r="E20" s="67" t="n">
        <f t="shared" si="5"/>
        <v>4500.0</v>
      </c>
      <c r="H20" s="76"/>
      <c r="I20" s="77"/>
    </row>
    <row r="21" spans="1:9" ht="18.75" customHeight="1" x14ac:dyDescent="0.2">
      <c r="A21" s="78" t="s">
        <v>124</v>
      </c>
      <c r="B21" s="65">
        <v>3300</v>
      </c>
      <c r="C21" s="66" t="n">
        <f t="shared" si="3"/>
        <v>3400.0</v>
      </c>
      <c r="D21" s="67" t="n">
        <f t="shared" si="4"/>
        <v>4250.0</v>
      </c>
      <c r="E21" s="67" t="n">
        <f t="shared" si="5"/>
        <v>5100.0</v>
      </c>
      <c r="H21" s="76"/>
      <c r="I21" s="77"/>
    </row>
    <row r="22" spans="1:9" ht="18.75" customHeight="1" x14ac:dyDescent="0.2">
      <c r="A22" s="78" t="s">
        <v>125</v>
      </c>
      <c r="B22" s="65">
        <v>2700</v>
      </c>
      <c r="C22" s="66" t="n">
        <f t="shared" si="3"/>
        <v>2700.0</v>
      </c>
      <c r="D22" s="67" t="n">
        <f t="shared" si="4"/>
        <v>3375.0</v>
      </c>
      <c r="E22" s="67" t="n">
        <f t="shared" si="5"/>
        <v>4050.0</v>
      </c>
      <c r="H22" s="76"/>
      <c r="I22" s="77"/>
    </row>
    <row r="23" spans="1:9" ht="18.75" customHeight="1" x14ac:dyDescent="0.2">
      <c r="A23" s="78" t="s">
        <v>126</v>
      </c>
      <c r="B23" s="65">
        <v>3000</v>
      </c>
      <c r="C23" s="66" t="n">
        <f t="shared" si="3"/>
        <v>3000.0</v>
      </c>
      <c r="D23" s="67" t="n">
        <f>C23*1.25</f>
        <v>3750.0</v>
      </c>
      <c r="E23" s="67" t="n">
        <f>D23*1.2</f>
        <v>4500.0</v>
      </c>
    </row>
    <row r="24" spans="1:9" ht="18.75" customHeight="1" x14ac:dyDescent="0.2">
      <c r="A24" s="78" t="s">
        <v>127</v>
      </c>
      <c r="B24" s="65">
        <v>3300</v>
      </c>
      <c r="C24" s="66" t="n">
        <f t="shared" si="3"/>
        <v>3400.0</v>
      </c>
      <c r="D24" s="67" t="n">
        <f>C24*1.25</f>
        <v>4250.0</v>
      </c>
      <c r="E24" s="67" t="n">
        <f>D24*1.2</f>
        <v>5100.0</v>
      </c>
    </row>
    <row r="25" spans="1:9" s="72" customFormat="1" ht="18.75" customHeight="1" x14ac:dyDescent="0.2">
      <c r="A25" s="330" t="s">
        <v>128</v>
      </c>
      <c r="B25" s="331"/>
      <c r="C25" s="331"/>
      <c r="D25" s="331"/>
      <c r="E25" s="332"/>
      <c r="G25" s="82"/>
    </row>
    <row r="26" spans="1:9" s="72" customFormat="1" ht="18.75" customHeight="1" x14ac:dyDescent="0.2">
      <c r="A26" s="78" t="s">
        <v>129</v>
      </c>
      <c r="B26" s="65">
        <v>2300</v>
      </c>
      <c r="C26" s="66" t="n">
        <f t="shared" ref="C26:C28" si="6">ROUND(B26*($B$4/$E$4),-2)</f>
        <v>2300.0</v>
      </c>
      <c r="D26" s="67" t="n">
        <f>C26*1.25</f>
        <v>2875.0</v>
      </c>
      <c r="E26" s="67" t="n">
        <f>D26*1.2</f>
        <v>3450.0</v>
      </c>
      <c r="G26" s="82"/>
    </row>
    <row r="27" spans="1:9" s="72" customFormat="1" ht="18.75" customHeight="1" x14ac:dyDescent="0.2">
      <c r="A27" s="78" t="s">
        <v>130</v>
      </c>
      <c r="B27" s="65">
        <v>2800</v>
      </c>
      <c r="C27" s="66" t="n">
        <f t="shared" si="6"/>
        <v>2800.0</v>
      </c>
      <c r="D27" s="67" t="n">
        <f t="shared" ref="D27:D28" si="7">C27*1.25</f>
        <v>3500.0</v>
      </c>
      <c r="E27" s="67" t="n">
        <f t="shared" ref="E27:E34" si="8">D27*1.2</f>
        <v>4200.0</v>
      </c>
      <c r="G27" s="82"/>
    </row>
    <row r="28" spans="1:9" s="72" customFormat="1" ht="18.75" customHeight="1" x14ac:dyDescent="0.2">
      <c r="A28" s="78" t="s">
        <v>131</v>
      </c>
      <c r="B28" s="65">
        <v>3300</v>
      </c>
      <c r="C28" s="66" t="n">
        <f t="shared" si="6"/>
        <v>3400.0</v>
      </c>
      <c r="D28" s="67" t="n">
        <f t="shared" si="7"/>
        <v>4250.0</v>
      </c>
      <c r="E28" s="67" t="n">
        <f t="shared" si="8"/>
        <v>5100.0</v>
      </c>
      <c r="G28" s="82"/>
    </row>
    <row r="29" spans="1:9" s="72" customFormat="1" ht="18.75" customHeight="1" x14ac:dyDescent="0.2">
      <c r="A29" s="78" t="s">
        <v>132</v>
      </c>
      <c r="B29" s="65">
        <v>2700</v>
      </c>
      <c r="C29" s="66" t="n">
        <f t="shared" ref="C29:C31" si="9">ROUND(B29*($B$4/$E$4),-2)</f>
        <v>2700.0</v>
      </c>
      <c r="D29" s="67" t="n">
        <f t="shared" ref="D29:D31" si="10">C29*1.25</f>
        <v>3375.0</v>
      </c>
      <c r="E29" s="67" t="n">
        <f t="shared" si="8"/>
        <v>4050.0</v>
      </c>
      <c r="G29" s="82"/>
    </row>
    <row r="30" spans="1:9" s="72" customFormat="1" ht="18.75" customHeight="1" x14ac:dyDescent="0.2">
      <c r="A30" s="78" t="s">
        <v>133</v>
      </c>
      <c r="B30" s="65">
        <v>3000</v>
      </c>
      <c r="C30" s="66" t="n">
        <f t="shared" si="9"/>
        <v>3000.0</v>
      </c>
      <c r="D30" s="67" t="n">
        <f t="shared" si="10"/>
        <v>3750.0</v>
      </c>
      <c r="E30" s="67" t="n">
        <f t="shared" si="8"/>
        <v>4500.0</v>
      </c>
      <c r="G30" s="82"/>
    </row>
    <row r="31" spans="1:9" s="72" customFormat="1" ht="18.75" customHeight="1" x14ac:dyDescent="0.2">
      <c r="A31" s="78" t="s">
        <v>134</v>
      </c>
      <c r="B31" s="65">
        <v>3300</v>
      </c>
      <c r="C31" s="66" t="n">
        <f t="shared" si="9"/>
        <v>3400.0</v>
      </c>
      <c r="D31" s="67" t="n">
        <f t="shared" si="10"/>
        <v>4250.0</v>
      </c>
      <c r="E31" s="67" t="n">
        <f t="shared" si="8"/>
        <v>5100.0</v>
      </c>
      <c r="G31" s="82"/>
    </row>
    <row r="32" spans="1:9" ht="18.75" customHeight="1" x14ac:dyDescent="0.2">
      <c r="A32" s="78" t="s">
        <v>135</v>
      </c>
      <c r="B32" s="65">
        <v>2700</v>
      </c>
      <c r="C32" s="66" t="n">
        <f t="shared" si="3"/>
        <v>2700.0</v>
      </c>
      <c r="D32" s="67" t="n">
        <f>C32*1.25</f>
        <v>3375.0</v>
      </c>
      <c r="E32" s="67" t="n">
        <f t="shared" si="8"/>
        <v>4050.0</v>
      </c>
    </row>
    <row r="33" spans="1:7" ht="18.75" customHeight="1" x14ac:dyDescent="0.2">
      <c r="A33" s="78" t="s">
        <v>136</v>
      </c>
      <c r="B33" s="65">
        <v>3000</v>
      </c>
      <c r="C33" s="66" t="n">
        <f t="shared" si="3"/>
        <v>3000.0</v>
      </c>
      <c r="D33" s="67" t="n">
        <f t="shared" ref="D33" si="11">C33*1.25</f>
        <v>3750.0</v>
      </c>
      <c r="E33" s="67" t="n">
        <f t="shared" si="8"/>
        <v>4500.0</v>
      </c>
    </row>
    <row r="34" spans="1:7" ht="18.75" customHeight="1" x14ac:dyDescent="0.2">
      <c r="A34" s="78" t="s">
        <v>137</v>
      </c>
      <c r="B34" s="65">
        <v>3300</v>
      </c>
      <c r="C34" s="66" t="n">
        <f t="shared" si="3"/>
        <v>3400.0</v>
      </c>
      <c r="D34" s="67" t="n">
        <f t="shared" ref="D34" si="12">C34*1.25</f>
        <v>4250.0</v>
      </c>
      <c r="E34" s="67" t="n">
        <f t="shared" si="8"/>
        <v>5100.0</v>
      </c>
    </row>
    <row r="35" spans="1:7" s="72" customFormat="1" ht="18.75" customHeight="1" x14ac:dyDescent="0.2">
      <c r="A35" s="314" t="s">
        <v>138</v>
      </c>
      <c r="B35" s="315"/>
      <c r="C35" s="315"/>
      <c r="D35" s="315"/>
      <c r="E35" s="316"/>
      <c r="G35" s="82"/>
    </row>
    <row r="36" spans="1:7" ht="18.75" customHeight="1" x14ac:dyDescent="0.2">
      <c r="A36" s="78" t="s">
        <v>139</v>
      </c>
      <c r="B36" s="62">
        <v>2.31</v>
      </c>
      <c r="C36" s="63" t="n">
        <f>B36*($B$4/$E$5)</f>
        <v>2.4689961832061074</v>
      </c>
      <c r="D36" s="64" t="n">
        <f>C36*1.25</f>
        <v>3.086245229007634</v>
      </c>
      <c r="E36" s="64" t="n">
        <f>D36*1.2</f>
        <v>3.703494274809161</v>
      </c>
    </row>
    <row r="37" spans="1:7" ht="18.75" customHeight="1" x14ac:dyDescent="0.2">
      <c r="A37" s="78" t="s">
        <v>140</v>
      </c>
      <c r="B37" s="62">
        <v>2.83</v>
      </c>
      <c r="C37" s="63" t="n">
        <f t="shared" ref="C37:C41" si="13">B37*($B$4/$E$5)</f>
        <v>3.0247875318066164</v>
      </c>
      <c r="D37" s="64" t="n">
        <f>C37*1.25</f>
        <v>3.7809844147582705</v>
      </c>
      <c r="E37" s="64" t="n">
        <f t="shared" ref="E37:E40" si="14">D37*1.2</f>
        <v>4.537181297709925</v>
      </c>
    </row>
    <row r="38" spans="1:7" ht="18.75" customHeight="1" x14ac:dyDescent="0.2">
      <c r="A38" s="78" t="s">
        <v>66</v>
      </c>
      <c r="B38" s="62">
        <v>3.26</v>
      </c>
      <c r="C38" s="63" t="n">
        <f t="shared" si="13"/>
        <v>3.484384223918575</v>
      </c>
      <c r="D38" s="64" t="n">
        <f>C38*1.25</f>
        <v>4.355480279898219</v>
      </c>
      <c r="E38" s="64" t="n">
        <f t="shared" si="14"/>
        <v>5.226576335877863</v>
      </c>
    </row>
    <row r="39" spans="1:7" ht="18.75" customHeight="1" x14ac:dyDescent="0.2">
      <c r="A39" s="78" t="s">
        <v>67</v>
      </c>
      <c r="B39" s="62">
        <v>4.1500000000000004</v>
      </c>
      <c r="C39" s="63" t="n">
        <f t="shared" si="13"/>
        <v>4.435642493638678</v>
      </c>
      <c r="D39" s="64" t="n">
        <f>C39*1.25</f>
        <v>5.5445531170483475</v>
      </c>
      <c r="E39" s="64" t="n">
        <f t="shared" si="14"/>
        <v>6.653463740458017</v>
      </c>
    </row>
    <row r="40" spans="1:7" ht="18.75" customHeight="1" x14ac:dyDescent="0.2">
      <c r="A40" s="78" t="s">
        <v>69</v>
      </c>
      <c r="B40" s="62">
        <v>4.3</v>
      </c>
      <c r="C40" s="63" t="n">
        <f t="shared" si="13"/>
        <v>4.595966921119594</v>
      </c>
      <c r="D40" s="64" t="n">
        <f>C40*1.25</f>
        <v>5.744958651399492</v>
      </c>
      <c r="E40" s="64" t="n">
        <f t="shared" si="14"/>
        <v>6.893950381679391</v>
      </c>
    </row>
    <row r="41" spans="1:7" ht="18.75" customHeight="1" x14ac:dyDescent="0.2">
      <c r="A41" s="78" t="s">
        <v>141</v>
      </c>
      <c r="B41" s="65">
        <v>2572</v>
      </c>
      <c r="C41" s="66" t="n">
        <f t="shared" si="13"/>
        <v>2749.0295165394405</v>
      </c>
      <c r="D41" s="333" t="s">
        <v>142</v>
      </c>
      <c r="E41" s="334"/>
    </row>
    <row r="42" spans="1:7" s="72" customFormat="1" ht="18.75" customHeight="1" x14ac:dyDescent="0.2">
      <c r="A42" s="317" t="s">
        <v>143</v>
      </c>
      <c r="B42" s="318"/>
      <c r="C42" s="318"/>
      <c r="D42" s="318"/>
      <c r="E42" s="319"/>
      <c r="G42" s="82"/>
    </row>
    <row r="43" spans="1:7" ht="18.75" customHeight="1" x14ac:dyDescent="0.2">
      <c r="A43" s="78" t="s">
        <v>144</v>
      </c>
      <c r="B43" s="62">
        <v>9.65</v>
      </c>
      <c r="C43" s="63" t="n">
        <f>B43*($B$5/$E$6)</f>
        <v>10.923836657169991</v>
      </c>
      <c r="D43" s="311" t="s">
        <v>142</v>
      </c>
      <c r="E43" s="312"/>
    </row>
    <row r="44" spans="1:7" ht="18.75" customHeight="1" x14ac:dyDescent="0.2">
      <c r="A44" s="78" t="s">
        <v>145</v>
      </c>
      <c r="B44" s="62">
        <v>3.75</v>
      </c>
      <c r="C44" s="63" t="n">
        <f>B44*($B$5/$E$6)</f>
        <v>4.245014245014246</v>
      </c>
      <c r="D44" s="311" t="s">
        <v>142</v>
      </c>
      <c r="E44" s="312"/>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69" orientation="landscape"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D87E485C8F21544BD4FD962084D1038" ma:contentTypeVersion="11" ma:contentTypeDescription="Create a new document." ma:contentTypeScope="" ma:versionID="6215dfb8267cdb1b971d313b01001a3b">
  <xsd:schema xmlns:xsd="http://www.w3.org/2001/XMLSchema" xmlns:xs="http://www.w3.org/2001/XMLSchema" xmlns:p="http://schemas.microsoft.com/office/2006/metadata/properties" xmlns:ns2="b66e2f29-665f-4f78-8a80-a323f48c5253" xmlns:ns3="5adccfea-69a1-4c77-80aa-787cfd99c7d3" targetNamespace="http://schemas.microsoft.com/office/2006/metadata/properties" ma:root="true" ma:fieldsID="260dcbd04f471fdec22b5579e4f7dc79" ns2:_="" ns3:_="">
    <xsd:import namespace="b66e2f29-665f-4f78-8a80-a323f48c5253"/>
    <xsd:import namespace="5adccfea-69a1-4c77-80aa-787cfd99c7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6e2f29-665f-4f78-8a80-a323f48c52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dccfea-69a1-4c77-80aa-787cfd99c7d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B95298-99A5-4E64-84C0-A5A1C95A7A0F}">
  <ds:schemaRefs>
    <ds:schemaRef ds:uri="http://schemas.microsoft.com/sharepoint/v3/contenttype/forms"/>
  </ds:schemaRefs>
</ds:datastoreItem>
</file>

<file path=customXml/itemProps2.xml><?xml version="1.0" encoding="utf-8"?>
<ds:datastoreItem xmlns:ds="http://schemas.openxmlformats.org/officeDocument/2006/customXml" ds:itemID="{1304A8BE-D34B-437F-8D5F-82BB895921F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A7FC8BC-E11A-419B-AC29-FA0FF0267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6e2f29-665f-4f78-8a80-a323f48c5253"/>
    <ds:schemaRef ds:uri="5adccfea-69a1-4c77-80aa-787cfd99c7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Henriksson Fredrik (DS-UR)</dc:creator>
  <cp:lastModifiedBy>Christoffer Karlsson</cp:lastModifiedBy>
  <dcterms:modified xsi:type="dcterms:W3CDTF">2021-12-01T13:34:42Z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078f18-5869-4731-b500-31db4ddffaf3_Enabled">
    <vt:lpwstr>True</vt:lpwstr>
  </property>
  <property fmtid="{D5CDD505-2E9C-101B-9397-08002B2CF9AE}" pid="3" name="MSIP_Label_7d078f18-5869-4731-b500-31db4ddffaf3_SiteId">
    <vt:lpwstr>f8be18a6-f648-4a47-be73-86d6c5c6604d</vt:lpwstr>
  </property>
  <property fmtid="{D5CDD505-2E9C-101B-9397-08002B2CF9AE}" pid="4" name="MSIP_Label_7d078f18-5869-4731-b500-31db4ddffaf3_Owner">
    <vt:lpwstr>fehe@eur.corp.vattenfall.com</vt:lpwstr>
  </property>
  <property fmtid="{D5CDD505-2E9C-101B-9397-08002B2CF9AE}" pid="5" name="MSIP_Label_7d078f18-5869-4731-b500-31db4ddffaf3_SetDate">
    <vt:lpwstr>2019-11-22T08:06:43.5255478Z</vt:lpwstr>
  </property>
  <property fmtid="{D5CDD505-2E9C-101B-9397-08002B2CF9AE}" pid="6" name="MSIP_Label_7d078f18-5869-4731-b500-31db4ddffaf3_Name">
    <vt:lpwstr>No Label</vt:lpwstr>
  </property>
  <property fmtid="{D5CDD505-2E9C-101B-9397-08002B2CF9AE}" pid="7" name="MSIP_Label_7d078f18-5869-4731-b500-31db4ddffaf3_Application">
    <vt:lpwstr>Microsoft Azure Information Protection</vt:lpwstr>
  </property>
  <property fmtid="{D5CDD505-2E9C-101B-9397-08002B2CF9AE}" pid="8" name="MSIP_Label_7d078f18-5869-4731-b500-31db4ddffaf3_ActionId">
    <vt:lpwstr>a655fe6a-5aa5-412d-8e7b-b73e6461e234</vt:lpwstr>
  </property>
  <property fmtid="{D5CDD505-2E9C-101B-9397-08002B2CF9AE}" pid="9" name="MSIP_Label_7d078f18-5869-4731-b500-31db4ddffaf3_Extended_MSFT_Method">
    <vt:lpwstr>Manual</vt:lpwstr>
  </property>
  <property fmtid="{D5CDD505-2E9C-101B-9397-08002B2CF9AE}" pid="10" name="MSIP_Label_501a185c-e864-4184-9fe4-a9e9112e1a61_Enabled">
    <vt:lpwstr>True</vt:lpwstr>
  </property>
  <property fmtid="{D5CDD505-2E9C-101B-9397-08002B2CF9AE}" pid="11" name="MSIP_Label_501a185c-e864-4184-9fe4-a9e9112e1a61_SiteId">
    <vt:lpwstr>f8be18a6-f648-4a47-be73-86d6c5c6604d</vt:lpwstr>
  </property>
  <property fmtid="{D5CDD505-2E9C-101B-9397-08002B2CF9AE}" pid="12" name="MSIP_Label_501a185c-e864-4184-9fe4-a9e9112e1a61_Owner">
    <vt:lpwstr>fehe@eur.corp.vattenfall.com</vt:lpwstr>
  </property>
  <property fmtid="{D5CDD505-2E9C-101B-9397-08002B2CF9AE}" pid="13" name="MSIP_Label_501a185c-e864-4184-9fe4-a9e9112e1a61_SetDate">
    <vt:lpwstr>2019-11-22T08:06:43.5255478Z</vt:lpwstr>
  </property>
  <property fmtid="{D5CDD505-2E9C-101B-9397-08002B2CF9AE}" pid="14" name="MSIP_Label_501a185c-e864-4184-9fe4-a9e9112e1a61_Name">
    <vt:lpwstr>C2 - Internal</vt:lpwstr>
  </property>
  <property fmtid="{D5CDD505-2E9C-101B-9397-08002B2CF9AE}" pid="15" name="MSIP_Label_501a185c-e864-4184-9fe4-a9e9112e1a61_Application">
    <vt:lpwstr>Microsoft Azure Information Protection</vt:lpwstr>
  </property>
  <property fmtid="{D5CDD505-2E9C-101B-9397-08002B2CF9AE}" pid="16" name="MSIP_Label_501a185c-e864-4184-9fe4-a9e9112e1a61_ActionId">
    <vt:lpwstr>a655fe6a-5aa5-412d-8e7b-b73e6461e234</vt:lpwstr>
  </property>
  <property fmtid="{D5CDD505-2E9C-101B-9397-08002B2CF9AE}" pid="17" name="MSIP_Label_501a185c-e864-4184-9fe4-a9e9112e1a61_Parent">
    <vt:lpwstr>7d078f18-5869-4731-b500-31db4ddffaf3</vt:lpwstr>
  </property>
  <property fmtid="{D5CDD505-2E9C-101B-9397-08002B2CF9AE}" pid="18" name="MSIP_Label_501a185c-e864-4184-9fe4-a9e9112e1a61_Extended_MSFT_Method">
    <vt:lpwstr>Manual</vt:lpwstr>
  </property>
  <property fmtid="{D5CDD505-2E9C-101B-9397-08002B2CF9AE}" pid="19" name="Sensitivity">
    <vt:lpwstr>No Label C2 - Internal</vt:lpwstr>
  </property>
  <property fmtid="{D5CDD505-2E9C-101B-9397-08002B2CF9AE}" pid="20" name="ContentTypeId">
    <vt:lpwstr>0x010100CD87E485C8F21544BD4FD962084D1038</vt:lpwstr>
  </property>
</Properties>
</file>