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codeName="ThisWorkbook"/>
  <mc:AlternateContent xmlns:mc="http://schemas.openxmlformats.org/markup-compatibility/2006">
    <mc:Choice Requires="x15">
      <x15ac:absPath xmlns:x15ac="http://schemas.microsoft.com/office/spreadsheetml/2010/11/ac" url="C:\Users\jalle\xplore\backend\markkoll\src\test\resources\varderingsprotokoll\"/>
    </mc:Choice>
  </mc:AlternateContent>
  <xr:revisionPtr revIDLastSave="0" documentId="13_ncr:1_{BFC0EC84-B7C4-42EF-9B41-9206CEBA1069}" xr6:coauthVersionLast="47" xr6:coauthVersionMax="47"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5460" yWindow="2295" windowWidth="19905" windowHeight="9555"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_xlnm.Print_Area" localSheetId="1">Förklaringar!$A$1:$M$69</definedName>
    <definedName name="_xlnm.Print_Area" localSheetId="0">Värderingsprotokoll!$A$1:$K$103</definedName>
    <definedName name="Rader">"Åker!($n$7)!$a$2:$a$8"</definedName>
    <definedName name="SS">#REF!</definedName>
    <definedName name="SSK">#REF!</definedName>
    <definedName name="Storskogsbru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<sst xmlns="http://schemas.openxmlformats.org/spreadsheetml/2006/main" count="244" uniqueCount="148">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</sst>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Currency" xfId="1" builtinId="4"/>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0</xdr:row>
          <xdr:rowOff>95250</xdr:rowOff>
        </xdr:from>
        <xdr:to>
          <xdr:col>3</xdr:col>
          <xdr:colOff>476250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55</xdr:row>
          <xdr:rowOff>95250</xdr:rowOff>
        </xdr:from>
        <xdr:to>
          <xdr:col>3</xdr:col>
          <xdr:colOff>247650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552450</xdr:colOff>
          <xdr:row>0</xdr:row>
          <xdr:rowOff>95250</xdr:rowOff>
        </xdr:from>
        <xdr:to>
          <xdr:col>5</xdr:col>
          <xdr:colOff>590550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666750</xdr:colOff>
          <xdr:row>0</xdr:row>
          <xdr:rowOff>95250</xdr:rowOff>
        </xdr:from>
        <xdr:to>
          <xdr:col>8</xdr:col>
          <xdr:colOff>323850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topLeftCell="A22" zoomScaleNormal="100" zoomScaleSheetLayoutView="100" workbookViewId="0">
      <selection activeCell="F35" sqref="F35:G35"/>
    </sheetView>
  </sheetViews>
  <sheetFormatPr defaultColWidth="11.5703125" defaultRowHeight="12.75" customHeight="1" x14ac:dyDescent="0.2"/>
  <cols>
    <col min="1" max="1" width="6.28515625" style="12" customWidth="1"/>
    <col min="2" max="2" width="13.28515625" style="1" customWidth="1"/>
    <col min="3" max="3" width="7.7109375" style="1" customWidth="1"/>
    <col min="4" max="4" width="12.7109375" style="1" customWidth="1"/>
    <col min="5" max="5" width="9.42578125" style="1" customWidth="1"/>
    <col min="6" max="6" width="12.7109375" style="1" customWidth="1"/>
    <col min="7" max="7" width="11.42578125" style="1" customWidth="1"/>
    <col min="8" max="8" width="11.42578125" style="16" customWidth="1"/>
    <col min="9" max="9" width="11.42578125" style="1" customWidth="1"/>
    <col min="10" max="10" width="13.5703125" style="17" customWidth="1"/>
    <col min="11" max="11" width="6.42578125" style="2" customWidth="1"/>
    <col min="12" max="12" width="54.42578125" style="161" hidden="1" customWidth="1"/>
    <col min="13" max="13" width="42.7109375" style="1" customWidth="1"/>
    <col min="14" max="16" width="14.28515625" style="1" customWidth="1"/>
    <col min="17" max="230" width="10.28515625" style="1" customWidth="1"/>
    <col min="231" max="16384" width="11.5703125" style="44"/>
  </cols>
  <sheetData>
    <row r="1" spans="1:230" s="2" customFormat="1" ht="22.5" customHeight="1" x14ac:dyDescent="0.3">
      <c r="A1" s="4"/>
      <c r="G1" s="43"/>
      <c r="H1" s="20"/>
      <c r="I1" s="22"/>
      <c r="J1" s="21"/>
      <c r="K1" s="3"/>
      <c r="L1" s="144" t="s">
        <v>44</v>
      </c>
    </row>
    <row r="2" spans="1:230" s="2" customFormat="1" ht="15" customHeight="1" x14ac:dyDescent="0.25">
      <c r="A2" s="4"/>
      <c r="B2" s="290" t="str">
        <f>L3</f>
        <v>VÄRDERINGSPROTOKOLL</v>
      </c>
      <c r="C2" s="291"/>
      <c r="D2" s="291"/>
      <c r="E2" s="291"/>
      <c r="F2" s="291"/>
      <c r="G2" s="11"/>
      <c r="H2" s="15"/>
      <c r="I2" s="11"/>
      <c r="J2" s="30"/>
      <c r="K2" s="3"/>
      <c r="L2" s="145" t="s">
        <v>133</v>
      </c>
    </row>
    <row r="3" spans="1:230" s="2" customFormat="1" ht="15" customHeight="1" x14ac:dyDescent="0.2">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
      <c r="B11" s="286"/>
      <c r="C11" s="287"/>
      <c r="D11" s="287"/>
      <c r="E11" s="287"/>
      <c r="F11" s="287"/>
      <c r="G11" s="288"/>
      <c r="H11" s="110"/>
      <c r="I11" s="111"/>
      <c r="J11" s="57">
        <f>IF(I11=0,0,H11*($L$19+($L$19*0.25)*(I11-1)))</f>
        <v>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
      <c r="B12" s="219"/>
      <c r="C12" s="220"/>
      <c r="D12" s="220"/>
      <c r="E12" s="220"/>
      <c r="F12" s="220"/>
      <c r="G12" s="289"/>
      <c r="H12" s="112"/>
      <c r="I12" s="111"/>
      <c r="J12" s="57">
        <f>IF(I12=0,0,H12*($L$19+($L$19*0.25)*(I12-1)))</f>
        <v>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f>IF(I13=0,0,H13*($L$19+($L$19*0.25)*(I13-1)))</f>
        <v>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f>IF(I14=0,0,H14*($L$19+($L$19*0.25)*(I14-1)))</f>
        <v>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
      <c r="B15" s="230" t="s">
        <v>4</v>
      </c>
      <c r="C15" s="231"/>
      <c r="D15" s="231"/>
      <c r="E15" s="231"/>
      <c r="F15" s="231"/>
      <c r="G15" s="231"/>
      <c r="H15" s="231"/>
      <c r="I15" s="231"/>
      <c r="J15" s="99">
        <f>SUM(J11:J14)</f>
        <v>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
      <c r="B17" s="217" t="s">
        <v>56</v>
      </c>
      <c r="C17" s="218"/>
      <c r="D17" s="218"/>
      <c r="E17" s="218"/>
      <c r="F17" s="236" t="s">
        <v>37</v>
      </c>
      <c r="G17" s="237"/>
      <c r="H17" s="238"/>
      <c r="I17" s="35" t="s">
        <v>5</v>
      </c>
      <c r="J17" s="38" t="s">
        <v>3</v>
      </c>
      <c r="K17" s="7"/>
      <c r="L17" s="150" t="b">
        <v>0</v>
      </c>
      <c r="M17" s="172" t="str">
        <f>'DÖLJS - Ersättningstabeller'!A12</f>
        <v>Kabelskåp - Skog</v>
      </c>
      <c r="N17" s="135">
        <f>'DÖLJS - Ersättningstabeller'!C12</f>
        <v>500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
      <c r="B18" s="219"/>
      <c r="C18" s="220"/>
      <c r="D18" s="220"/>
      <c r="E18" s="220"/>
      <c r="F18" s="235"/>
      <c r="G18" s="235"/>
      <c r="H18" s="235"/>
      <c r="I18" s="115"/>
      <c r="J18" s="58">
        <f>IF(I18&gt;0,(VLOOKUP(F18,'DÖLJS - Ersättningstabeller'!$A$11:$C$34,3,FALSE))*I18,0)</f>
        <v>0</v>
      </c>
      <c r="K18" s="8"/>
      <c r="L18" s="151" t="s">
        <v>127</v>
      </c>
      <c r="M18" s="103" t="str">
        <f>'DÖLJS - Ersättningstabeller'!A13</f>
        <v>Kabelskåp - Jordbruksimp.</v>
      </c>
      <c r="N18" s="133">
        <f>'DÖLJS - Ersättningstabeller'!C13</f>
        <v>500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
      <c r="B19" s="219"/>
      <c r="C19" s="220"/>
      <c r="D19" s="220"/>
      <c r="E19" s="220"/>
      <c r="F19" s="215"/>
      <c r="G19" s="215"/>
      <c r="H19" s="215"/>
      <c r="I19" s="116"/>
      <c r="J19" s="57">
        <f>IF(I19&gt;0,(VLOOKUP(F19,'DÖLJS - Ersättningstabeller'!$A$11:$C$34,3,FALSE))*I19,0)</f>
        <v>0</v>
      </c>
      <c r="K19" s="8"/>
      <c r="L19" s="152">
        <f>'DÖLJS - Ersättningstabeller'!C10</f>
        <v>4.1901306240928875</v>
      </c>
      <c r="M19" s="136" t="str">
        <f>'DÖLJS - Ersättningstabeller'!A14</f>
        <v>Kabelskåp - Övrig mark</v>
      </c>
      <c r="N19" s="133">
        <f>'DÖLJS - Ersättningstabeller'!C14</f>
        <v>500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
      <c r="B20" s="219"/>
      <c r="C20" s="220"/>
      <c r="D20" s="220"/>
      <c r="E20" s="220"/>
      <c r="F20" s="215"/>
      <c r="G20" s="215"/>
      <c r="H20" s="215"/>
      <c r="I20" s="116"/>
      <c r="J20" s="57">
        <f>IF(I20&gt;0,(VLOOKUP(F20,'DÖLJS - Ersättningstabeller'!$A$11:$C$34,3,FALSE))*I20,0)</f>
        <v>0</v>
      </c>
      <c r="K20" s="31"/>
      <c r="L20" s="153" t="s">
        <v>128</v>
      </c>
      <c r="M20" s="138" t="str">
        <f>'DÖLJS - Ersättningstabeller'!A16</f>
        <v>Nätstation - Skog (yta 6 x 6 meter)</v>
      </c>
      <c r="N20" s="170">
        <f>'DÖLJS - Ersättningstabeller'!C16</f>
        <v>2400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
      <c r="B21" s="221"/>
      <c r="C21" s="222"/>
      <c r="D21" s="222"/>
      <c r="E21" s="223"/>
      <c r="F21" s="216"/>
      <c r="G21" s="216"/>
      <c r="H21" s="216"/>
      <c r="I21" s="117"/>
      <c r="J21" s="98">
        <f>IF(I21&gt;0,(VLOOKUP(F21,'DÖLJS - Ersättningstabeller'!$A$11:$C$34,3,FALSE))*I21,0)</f>
        <v>0</v>
      </c>
      <c r="K21" s="8"/>
      <c r="L21" s="154">
        <f>'DÖLJS - Ersättningstabeller'!C43</f>
        <v>11.656980056980057</v>
      </c>
      <c r="M21" s="138" t="str">
        <f>'DÖLJS - Ersättningstabeller'!A17</f>
        <v>Nätstation - Skog (yta 8 x 8 meter)</v>
      </c>
      <c r="N21" s="139">
        <f>'DÖLJS - Ersättningstabeller'!C17</f>
        <v>2900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
      <c r="B22" s="243" t="s">
        <v>4</v>
      </c>
      <c r="C22" s="244"/>
      <c r="D22" s="244"/>
      <c r="E22" s="244"/>
      <c r="F22" s="244"/>
      <c r="G22" s="244"/>
      <c r="H22" s="244"/>
      <c r="I22" s="244"/>
      <c r="J22" s="45">
        <f>SUM(J18:J21)</f>
        <v>0</v>
      </c>
      <c r="K22" s="8"/>
      <c r="L22" s="153" t="s">
        <v>129</v>
      </c>
      <c r="M22" s="138" t="str">
        <f>'DÖLJS - Ersättningstabeller'!A18</f>
        <v>Nätstation - Skog (yta 10 x 10 meter)</v>
      </c>
      <c r="N22" s="171">
        <f>'DÖLJS - Ersättningstabeller'!C18</f>
        <v>3500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
      <c r="B23" s="232" t="s">
        <v>62</v>
      </c>
      <c r="C23" s="233"/>
      <c r="D23" s="233"/>
      <c r="E23" s="233"/>
      <c r="F23" s="233"/>
      <c r="G23" s="233"/>
      <c r="H23" s="233"/>
      <c r="I23" s="233"/>
      <c r="J23" s="234"/>
      <c r="K23" s="10"/>
      <c r="L23" s="154">
        <f>'DÖLJS - Ersättningstabeller'!C44</f>
        <v>4.5299145299145298</v>
      </c>
      <c r="M23" s="137" t="str">
        <f>'DÖLJS - Ersättningstabeller'!A19</f>
        <v>Nätstation - Jordbruksimp. (yta 6 x6 meter)</v>
      </c>
      <c r="N23" s="133">
        <f>'DÖLJS - Ersättningstabeller'!C19</f>
        <v>2800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f>'DÖLJS - Ersättningstabeller'!C20</f>
        <v>3100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f>'DÖLJS - Ersättningstabeller'!C41</f>
        <v>2834.1083969465653</v>
      </c>
      <c r="M25" s="136" t="str">
        <f>'DÖLJS - Ersättningstabeller'!A21</f>
        <v>Nätstation - Jordbruksimp. (yta 10 x 10 meter)</v>
      </c>
      <c r="N25" s="133">
        <f>'DÖLJS - Ersättningstabeller'!C21</f>
        <v>3500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f>'DÖLJS - Ersättningstabeller'!C22</f>
        <v>2800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
      <c r="B27" s="243" t="s">
        <v>4</v>
      </c>
      <c r="C27" s="244"/>
      <c r="D27" s="244"/>
      <c r="E27" s="244"/>
      <c r="F27" s="244"/>
      <c r="G27" s="244"/>
      <c r="H27" s="244"/>
      <c r="I27" s="244"/>
      <c r="J27" s="45">
        <f>SUM(J25:J26)</f>
        <v>0</v>
      </c>
      <c r="K27" s="9"/>
      <c r="L27" s="152">
        <f>'DÖLJS - Ersättningstabeller'!E3</f>
        <v>2415</v>
      </c>
      <c r="M27" s="138" t="str">
        <f>'DÖLJS - Ersättningstabeller'!A23</f>
        <v>Nätstation - Övrig mark (yta 8 x 8 meter)</v>
      </c>
      <c r="N27" s="139">
        <f>'DÖLJS - Ersättningstabeller'!C23</f>
        <v>3100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f>'DÖLJS - Ersättningstabeller'!C24</f>
        <v>3500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f>'DÖLJS - Ersättningstabeller'!B3</f>
        <v>48300</v>
      </c>
      <c r="M29" s="137" t="str">
        <f>'DÖLJS - Ersättningstabeller'!A26</f>
        <v>Sjökabelskylt - Skog (yta 6 x 6 meter)</v>
      </c>
      <c r="N29" s="133">
        <f>'DÖLJS - Ersättningstabeller'!C26</f>
        <v>2400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f>'DÖLJS - Ersättningstabeller'!C27</f>
        <v>2900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f>'DÖLJS - Ersättningstabeller'!B4</f>
        <v>346.44</v>
      </c>
      <c r="M31" s="136" t="str">
        <f>'DÖLJS - Ersättningstabeller'!A28</f>
        <v>Sjökabelskylt - Skog (yta 10 x 10 meter)</v>
      </c>
      <c r="N31" s="133">
        <f>'DÖLJS - Ersättningstabeller'!C28</f>
        <v>3500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
      <c r="A32" s="44"/>
      <c r="B32" s="230" t="s">
        <v>4</v>
      </c>
      <c r="C32" s="231"/>
      <c r="D32" s="231"/>
      <c r="E32" s="231"/>
      <c r="F32" s="231"/>
      <c r="G32" s="231"/>
      <c r="H32" s="231"/>
      <c r="I32" s="231"/>
      <c r="J32" s="45">
        <f>SUM(J30:J31)</f>
        <v>0</v>
      </c>
      <c r="K32" s="9"/>
      <c r="L32" s="151" t="s">
        <v>140</v>
      </c>
      <c r="M32" s="138" t="str">
        <f>'DÖLJS - Ersättningstabeller'!A29</f>
        <v>Sjökabelskylt - Jordbruksimp. (yta 6 x 6 meter)</v>
      </c>
      <c r="N32" s="170">
        <f>'DÖLJS - Ersättningstabeller'!C29</f>
        <v>2800</v>
      </c>
      <c r="O32" s="14"/>
    </row>
    <row r="33" spans="1:230" ht="15" customHeight="1" x14ac:dyDescent="0.2">
      <c r="A33" s="44"/>
      <c r="B33" s="232" t="s">
        <v>70</v>
      </c>
      <c r="C33" s="233"/>
      <c r="D33" s="233"/>
      <c r="E33" s="233"/>
      <c r="F33" s="233"/>
      <c r="G33" s="233"/>
      <c r="H33" s="233"/>
      <c r="I33" s="233"/>
      <c r="J33" s="234"/>
      <c r="K33" s="9"/>
      <c r="L33" s="152">
        <f>'DÖLJS - Ersättningstabeller'!B6</f>
        <v>5000</v>
      </c>
      <c r="M33" s="138" t="str">
        <f>'DÖLJS - Ersättningstabeller'!A30</f>
        <v>Sjökabelskylt - Jordbruksimp. (yta 8 x 8 meter)</v>
      </c>
      <c r="N33" s="139">
        <f>'DÖLJS - Ersättningstabeller'!C30</f>
        <v>3100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f>'DÖLJS - Ersättningstabeller'!C31</f>
        <v>3500</v>
      </c>
      <c r="O34" s="14"/>
    </row>
    <row r="35" spans="1:230" ht="12" customHeight="1" x14ac:dyDescent="0.2">
      <c r="A35" s="44"/>
      <c r="B35" s="251" t="s">
        <v>38</v>
      </c>
      <c r="C35" s="252"/>
      <c r="D35" s="252"/>
      <c r="E35" s="253"/>
      <c r="F35" s="241">
        <v>1234.56</v>
      </c>
      <c r="G35" s="242"/>
      <c r="H35" s="254" t="s">
        <v>71</v>
      </c>
      <c r="I35" s="255"/>
      <c r="J35" s="256"/>
      <c r="K35" s="9"/>
      <c r="L35" s="152">
        <f>J15+J22+(J27*0.66)+J32+J40+J47+F35</f>
        <v>1234.56</v>
      </c>
      <c r="M35" s="137" t="str">
        <f>'DÖLJS - Ersättningstabeller'!A32</f>
        <v>Sjökabelskylt - Övrig mark (yta 6 x 6 meter)</v>
      </c>
      <c r="N35" s="133">
        <f>'DÖLJS - Ersättningstabeller'!C32</f>
        <v>2800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f>'DÖLJS - Ersättningstabeller'!C33</f>
        <v>3100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f>J15+J22+(J27*0.66)+J32+J40+J47+J55</f>
        <v>309</v>
      </c>
      <c r="M37" s="104" t="str">
        <f>'DÖLJS - Ersättningstabeller'!A34</f>
        <v>Sjökabelskylt - Övrig mark (yta 10 x 10 meter)</v>
      </c>
      <c r="N37" s="134">
        <f>'DÖLJS - Ersättningstabeller'!C34</f>
        <v>3500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f>J15+J22+J27+J32+J40+J47+J52+J55+J56</f>
        <v>371</v>
      </c>
      <c r="M39" s="32"/>
      <c r="N39" s="32"/>
      <c r="HJ39" s="44"/>
      <c r="HK39" s="44"/>
      <c r="HL39" s="44"/>
      <c r="HM39" s="44"/>
      <c r="HN39" s="44"/>
      <c r="HO39" s="44"/>
      <c r="HP39" s="44"/>
      <c r="HQ39" s="44"/>
      <c r="HR39" s="44"/>
      <c r="HS39" s="44"/>
      <c r="HT39" s="44"/>
      <c r="HU39" s="44"/>
      <c r="HV39" s="44"/>
    </row>
    <row r="40" spans="1:230" ht="12" customHeight="1" x14ac:dyDescent="0.2">
      <c r="A40" s="44"/>
      <c r="B40" s="239" t="s">
        <v>4</v>
      </c>
      <c r="C40" s="240"/>
      <c r="D40" s="240"/>
      <c r="E40" s="240"/>
      <c r="F40" s="240"/>
      <c r="G40" s="240"/>
      <c r="H40" s="240"/>
      <c r="I40" s="240"/>
      <c r="J40" s="46">
        <f>SUM(J37:J39)</f>
        <v>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f>IF(L29*0.2&gt;L37*0.2,L37*0.2,L29*0.2)</f>
        <v>61.800000000000004</v>
      </c>
      <c r="M41" s="207" t="s">
        <v>23</v>
      </c>
      <c r="N41" s="208"/>
      <c r="HJ41" s="44"/>
      <c r="HK41" s="44"/>
      <c r="HL41" s="44"/>
      <c r="HM41" s="44"/>
      <c r="HN41" s="44"/>
      <c r="HO41" s="44"/>
      <c r="HP41" s="44"/>
      <c r="HQ41" s="44"/>
      <c r="HR41" s="44"/>
      <c r="HS41" s="44"/>
      <c r="HT41" s="44"/>
      <c r="HU41" s="44"/>
      <c r="HV41" s="44"/>
    </row>
    <row r="42" spans="1:230" ht="12" customHeight="1" x14ac:dyDescent="0.2">
      <c r="A42" s="44"/>
      <c r="B42" s="328" t="s">
        <v>34</v>
      </c>
      <c r="C42" s="329"/>
      <c r="D42" s="329"/>
      <c r="E42" s="47" t="s">
        <v>39</v>
      </c>
      <c r="F42" s="323"/>
      <c r="G42" s="324"/>
      <c r="H42" s="41" t="s">
        <v>6</v>
      </c>
      <c r="I42" s="42" t="s">
        <v>7</v>
      </c>
      <c r="J42" s="50" t="s">
        <v>3</v>
      </c>
      <c r="K42" s="12"/>
      <c r="L42" s="159" t="s">
        <v>137</v>
      </c>
      <c r="M42" s="51" t="s">
        <v>11</v>
      </c>
      <c r="N42" s="52">
        <f>'DÖLJS - Ersättningstabeller'!C36</f>
        <v>2.5454083969465655</v>
      </c>
      <c r="HJ42" s="44"/>
      <c r="HK42" s="44"/>
      <c r="HL42" s="44"/>
      <c r="HM42" s="44"/>
      <c r="HN42" s="44"/>
      <c r="HO42" s="44"/>
      <c r="HP42" s="44"/>
      <c r="HQ42" s="44"/>
      <c r="HR42" s="44"/>
      <c r="HS42" s="44"/>
      <c r="HT42" s="44"/>
      <c r="HU42" s="44"/>
      <c r="HV42" s="44"/>
    </row>
    <row r="43" spans="1:230" ht="12" customHeight="1" x14ac:dyDescent="0.2">
      <c r="A43" s="44"/>
      <c r="B43" s="219"/>
      <c r="C43" s="220"/>
      <c r="D43" s="220"/>
      <c r="E43" s="220"/>
      <c r="F43" s="220"/>
      <c r="G43" s="289"/>
      <c r="H43" s="120"/>
      <c r="I43" s="120"/>
      <c r="J43" s="57">
        <f>IF($F$42&lt;&gt;0,H43*I43*VLOOKUP($F$42,'DÖLJS - Ersättningstabeller'!$A$36:$G$40,3,FALSE),0)</f>
        <v>0</v>
      </c>
      <c r="K43" s="12"/>
      <c r="L43" s="152">
        <f>IF(L37*0.2&lt;L29*0.2,IF(L37&lt;5000,L25,L37*0.2),L29*0.2)</f>
        <v>2834.1083969465653</v>
      </c>
      <c r="M43" s="142" t="s">
        <v>12</v>
      </c>
      <c r="N43" s="143">
        <f>'DÖLJS - Ersättningstabeller'!C37</f>
        <v>3.1184007633587791</v>
      </c>
      <c r="HJ43" s="44"/>
      <c r="HK43" s="44"/>
      <c r="HL43" s="44"/>
      <c r="HM43" s="44"/>
      <c r="HN43" s="44"/>
      <c r="HO43" s="44"/>
      <c r="HP43" s="44"/>
      <c r="HQ43" s="44"/>
      <c r="HR43" s="44"/>
      <c r="HS43" s="44"/>
      <c r="HT43" s="44"/>
      <c r="HU43" s="44"/>
      <c r="HV43" s="44"/>
    </row>
    <row r="44" spans="1:230" ht="12" customHeight="1" x14ac:dyDescent="0.2">
      <c r="A44" s="44"/>
      <c r="B44" s="219"/>
      <c r="C44" s="220"/>
      <c r="D44" s="220"/>
      <c r="E44" s="220"/>
      <c r="F44" s="220"/>
      <c r="G44" s="289"/>
      <c r="H44" s="120"/>
      <c r="I44" s="120"/>
      <c r="J44" s="57">
        <f>IF($F$42&lt;&gt;0,H44*I44*VLOOKUP($F$42,'DÖLJS - Ersättningstabeller'!$A$36:$G$40,3,FALSE),0)</f>
        <v>0</v>
      </c>
      <c r="K44" s="12"/>
      <c r="L44" s="160" t="s">
        <v>138</v>
      </c>
      <c r="M44" s="53" t="s">
        <v>13</v>
      </c>
      <c r="N44" s="54">
        <f>'DÖLJS - Ersättningstabeller'!C38</f>
        <v>3.5922213740458018</v>
      </c>
      <c r="HJ44" s="44"/>
      <c r="HK44" s="44"/>
      <c r="HL44" s="44"/>
      <c r="HM44" s="44"/>
      <c r="HN44" s="44"/>
      <c r="HO44" s="44"/>
      <c r="HP44" s="44"/>
      <c r="HQ44" s="44"/>
      <c r="HR44" s="44"/>
      <c r="HS44" s="44"/>
      <c r="HT44" s="44"/>
      <c r="HU44" s="44"/>
      <c r="HV44" s="44"/>
    </row>
    <row r="45" spans="1:230" ht="12" customHeight="1" x14ac:dyDescent="0.2">
      <c r="A45" s="44"/>
      <c r="B45" s="219"/>
      <c r="C45" s="220"/>
      <c r="D45" s="220"/>
      <c r="E45" s="220"/>
      <c r="F45" s="220"/>
      <c r="G45" s="289"/>
      <c r="H45" s="120"/>
      <c r="I45" s="120"/>
      <c r="J45" s="57">
        <f>IF($F$42&lt;&gt;0,H45*I45*VLOOKUP($F$42,'DÖLJS - Ersättningstabeller'!$A$36:$G$40,3,FALSE),0)</f>
        <v>0</v>
      </c>
      <c r="K45" s="12"/>
      <c r="L45" s="152">
        <f>IF(L13=FALSE,L25,L43)</f>
        <v>2834.1083969465653</v>
      </c>
      <c r="M45" s="142" t="s">
        <v>14</v>
      </c>
      <c r="N45" s="143">
        <f>'DÖLJS - Ersättningstabeller'!C39</f>
        <v>4.5729198473282455</v>
      </c>
      <c r="HJ45" s="44"/>
      <c r="HK45" s="44"/>
      <c r="HL45" s="44"/>
      <c r="HM45" s="44"/>
      <c r="HN45" s="44"/>
      <c r="HO45" s="44"/>
      <c r="HP45" s="44"/>
      <c r="HQ45" s="44"/>
      <c r="HR45" s="44"/>
      <c r="HS45" s="44"/>
      <c r="HT45" s="44"/>
      <c r="HU45" s="44"/>
      <c r="HV45" s="44"/>
    </row>
    <row r="46" spans="1:230" ht="12" customHeight="1" x14ac:dyDescent="0.2">
      <c r="A46" s="44"/>
      <c r="B46" s="221"/>
      <c r="C46" s="222"/>
      <c r="D46" s="222"/>
      <c r="E46" s="222"/>
      <c r="F46" s="222"/>
      <c r="G46" s="223"/>
      <c r="H46" s="121"/>
      <c r="I46" s="121"/>
      <c r="J46" s="98">
        <f>IF($F$42&lt;&gt;0,H46*I46*VLOOKUP($F$42,'DÖLJS - Ersättningstabeller'!$A$36:$G$40,3,FALSE),0)</f>
        <v>0</v>
      </c>
      <c r="K46" s="12"/>
      <c r="L46" s="159" t="s">
        <v>139</v>
      </c>
      <c r="M46" s="55" t="s">
        <v>15</v>
      </c>
      <c r="N46" s="56">
        <f>'DÖLJS - Ersättningstabeller'!C40</f>
        <v>4.7382061068702299</v>
      </c>
      <c r="HJ46" s="44"/>
      <c r="HK46" s="44"/>
      <c r="HL46" s="44"/>
      <c r="HM46" s="44"/>
      <c r="HN46" s="44"/>
      <c r="HO46" s="44"/>
      <c r="HP46" s="44"/>
      <c r="HQ46" s="44"/>
      <c r="HR46" s="44"/>
      <c r="HS46" s="44"/>
      <c r="HT46" s="44"/>
      <c r="HU46" s="44"/>
      <c r="HV46" s="44"/>
    </row>
    <row r="47" spans="1:230" ht="12" customHeight="1" x14ac:dyDescent="0.2">
      <c r="A47" s="44"/>
      <c r="B47" s="243" t="s">
        <v>4</v>
      </c>
      <c r="C47" s="244"/>
      <c r="D47" s="244"/>
      <c r="E47" s="244"/>
      <c r="F47" s="244"/>
      <c r="G47" s="244"/>
      <c r="H47" s="244"/>
      <c r="I47" s="244"/>
      <c r="J47" s="45">
        <f>SUM(J43:J46)</f>
        <v>0</v>
      </c>
      <c r="K47" s="12"/>
      <c r="L47" s="152">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f>IF(H50&gt;0,VLOOKUP(I50,'DÖLJS - Ersättningstabeller'!$A$43:$E$44,3,FALSE)*H50,0)</f>
        <v>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f>IF(H51&gt;0,VLOOKUP(I51,'DÖLJS - Ersättningstabeller'!$A$43:$E$44,3,FALSE)*H51,0)</f>
        <v>0</v>
      </c>
      <c r="L51" s="168" t="s">
        <v>143</v>
      </c>
      <c r="HK51" s="44"/>
      <c r="HL51" s="44"/>
      <c r="HM51" s="44"/>
      <c r="HN51" s="44"/>
      <c r="HO51" s="44"/>
      <c r="HP51" s="44"/>
      <c r="HQ51" s="44"/>
      <c r="HR51" s="44"/>
      <c r="HS51" s="44"/>
      <c r="HT51" s="44"/>
      <c r="HU51" s="44"/>
      <c r="HV51" s="44"/>
    </row>
    <row r="52" spans="1:230" ht="12.75" customHeight="1" x14ac:dyDescent="0.2">
      <c r="A52" s="44"/>
      <c r="B52" s="249" t="s">
        <v>4</v>
      </c>
      <c r="C52" s="250"/>
      <c r="D52" s="250"/>
      <c r="E52" s="250"/>
      <c r="F52" s="250"/>
      <c r="G52" s="250"/>
      <c r="H52" s="250"/>
      <c r="I52" s="250"/>
      <c r="J52" s="45">
        <f>J50+J51</f>
        <v>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f>J15+J22+(J27*0.66)+J32+(F35*0.25)+J40+J47+J52</f>
        <v>308.64</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f>ROUND((J15+J22+J27+J32+J40+J47),0)</f>
        <v>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
      <c r="A55" s="44"/>
      <c r="B55" s="309" t="s">
        <v>53</v>
      </c>
      <c r="C55" s="310"/>
      <c r="D55" s="310"/>
      <c r="E55" s="310"/>
      <c r="F55" s="310"/>
      <c r="G55" s="310"/>
      <c r="H55" s="310"/>
      <c r="I55" s="310"/>
      <c r="J55" s="128">
        <f>ROUND((L35*0.25),0)</f>
        <v>309</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
      <c r="A56" s="44"/>
      <c r="B56" s="247" t="s">
        <v>118</v>
      </c>
      <c r="C56" s="248"/>
      <c r="D56" s="248"/>
      <c r="E56" s="248"/>
      <c r="F56" s="248"/>
      <c r="G56" s="248"/>
      <c r="H56" s="248"/>
      <c r="I56" s="248"/>
      <c r="J56" s="109">
        <f>ROUND(IF(L13=TRUE,L43,L41),0)</f>
        <v>62</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
      <c r="A57" s="44"/>
      <c r="B57" s="245" t="str">
        <f>L5</f>
        <v>Grundersättning vid överenskommelse:</v>
      </c>
      <c r="C57" s="246"/>
      <c r="D57" s="246"/>
      <c r="E57" s="246"/>
      <c r="F57" s="246"/>
      <c r="G57" s="246"/>
      <c r="H57" s="246"/>
      <c r="I57" s="246"/>
      <c r="J57" s="109">
        <f>IF(L15=TRUE,0,IF(L17=TRUE,IF(L47-L39&gt;0,L47-L39,0),IF(L13=TRUE,0,L27)))</f>
        <v>2415</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f>ROUND((J52+J54+J55+J56+J57),0)</f>
        <v>2786</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f>IF(L11=TRUE,L9,0)</f>
        <v>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f>IF(L63&gt;$J$58,"Fel andel",L63)</f>
        <v>0</v>
      </c>
      <c r="G63" s="181" t="s">
        <v>60</v>
      </c>
      <c r="H63" s="182"/>
      <c r="I63" s="182"/>
      <c r="J63" s="183"/>
      <c r="K63" s="28"/>
      <c r="L63" s="164">
        <f>$J$58*E63</f>
        <v>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f>IF(L70&gt;$J$58,"Fel andel",L70)</f>
        <v>0</v>
      </c>
      <c r="G70" s="181" t="s">
        <v>60</v>
      </c>
      <c r="H70" s="182"/>
      <c r="I70" s="182"/>
      <c r="J70" s="183"/>
      <c r="K70" s="28"/>
      <c r="L70" s="164">
        <f>$J$58*E70</f>
        <v>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f>IF(L75&gt;$J$58,"Fel andel",L75)</f>
        <v>0</v>
      </c>
      <c r="G75" s="181" t="str">
        <f>G70</f>
        <v>Underskrift/Datum:</v>
      </c>
      <c r="H75" s="182"/>
      <c r="I75" s="182"/>
      <c r="J75" s="183"/>
      <c r="K75" s="28"/>
      <c r="L75" s="164">
        <f>$J$58*E75</f>
        <v>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f>IF(L80&gt;$J$58,"Fel andel",L80)</f>
        <v>0</v>
      </c>
      <c r="G80" s="181" t="str">
        <f>G75</f>
        <v>Underskrift/Datum:</v>
      </c>
      <c r="H80" s="182"/>
      <c r="I80" s="182"/>
      <c r="J80" s="183"/>
      <c r="L80" s="164">
        <f>$J$58*E80</f>
        <v>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f>IF(L85&gt;$J$58,"Fel andel",L85)</f>
        <v>0</v>
      </c>
      <c r="G85" s="181" t="str">
        <f>G80</f>
        <v>Underskrift/Datum:</v>
      </c>
      <c r="H85" s="182"/>
      <c r="I85" s="182"/>
      <c r="J85" s="183"/>
      <c r="L85" s="164">
        <f>$J$58*E85</f>
        <v>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f>IF(L90&gt;$J$58,"Fel andel",L90)</f>
        <v>0</v>
      </c>
      <c r="G90" s="181" t="str">
        <f>G85</f>
        <v>Underskrift/Datum:</v>
      </c>
      <c r="H90" s="182"/>
      <c r="I90" s="182"/>
      <c r="J90" s="183"/>
      <c r="L90" s="164">
        <f>$J$58*E90</f>
        <v>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f>IF(L95&gt;$J$58,"Fel andel",L95)</f>
        <v>0</v>
      </c>
      <c r="G95" s="181" t="str">
        <f>G85</f>
        <v>Underskrift/Datum:</v>
      </c>
      <c r="H95" s="182"/>
      <c r="I95" s="182"/>
      <c r="J95" s="183"/>
      <c r="L95" s="164">
        <f>$J$58*E95</f>
        <v>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f>IF(L100&gt;$J$58,"Fel andel",L100)</f>
        <v>0</v>
      </c>
      <c r="G100" s="181" t="str">
        <f>G90</f>
        <v>Underskrift/Datum:</v>
      </c>
      <c r="H100" s="182"/>
      <c r="I100" s="182"/>
      <c r="J100" s="183"/>
      <c r="L100" s="164">
        <f>$J$58*E100</f>
        <v>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xmlns:mc="http://schemas.openxmlformats.org/markup-compatibility/2006">
    <mc:Choice Requires="x14">
      <controls>
        <mc:AlternateContent xmlns:mc="http://schemas.openxmlformats.org/markup-compatibility/2006">
          <mc:Choice Requires="x14">
            <control shapeId="1053" r:id="rId4" name="Check Box 1">
              <controlPr defaultSize="0" print="0" autoFill="0" autoLine="0" autoPict="0" altText="">
                <anchor moveWithCells="1" sizeWithCells="1">
                  <from>
                    <xdr:col>1</xdr:col>
                    <xdr:colOff>19050</xdr:colOff>
                    <xdr:row>0</xdr:row>
                    <xdr:rowOff>95250</xdr:rowOff>
                  </from>
                  <to>
                    <xdr:col>3</xdr:col>
                    <xdr:colOff>476250</xdr:colOff>
                    <xdr:row>1</xdr:row>
                    <xdr:rowOff>0</xdr:rowOff>
                  </to>
                </anchor>
              </controlPr>
            </control>
          </mc:Choice>
        </mc:AlternateContent>
        <mc:AlternateContent xmlns:mc="http://schemas.openxmlformats.org/markup-compatibility/2006">
          <mc:Choice Requires="x14">
            <control shapeId="1056" r:id="rId5" name="Check Box 1">
              <controlPr defaultSize="0" print="0" autoFill="0" autoLine="0" autoPict="0" altText="">
                <anchor moveWithCells="1" sizeWithCells="1">
                  <from>
                    <xdr:col>1</xdr:col>
                    <xdr:colOff>19050</xdr:colOff>
                    <xdr:row>55</xdr:row>
                    <xdr:rowOff>95250</xdr:rowOff>
                  </from>
                  <to>
                    <xdr:col>3</xdr:col>
                    <xdr:colOff>247650</xdr:colOff>
                    <xdr:row>56</xdr:row>
                    <xdr:rowOff>76200</xdr:rowOff>
                  </to>
                </anchor>
              </controlPr>
            </control>
          </mc:Choice>
        </mc:AlternateContent>
        <mc:AlternateContent xmlns:mc="http://schemas.openxmlformats.org/markup-compatibility/2006">
          <mc:Choice Requires="x14">
            <control shapeId="1066" r:id="rId6" name="Check Box 1">
              <controlPr defaultSize="0" print="0" autoFill="0" autoLine="0" autoPict="0" altText="">
                <anchor moveWithCells="1" sizeWithCells="1">
                  <from>
                    <xdr:col>3</xdr:col>
                    <xdr:colOff>552450</xdr:colOff>
                    <xdr:row>0</xdr:row>
                    <xdr:rowOff>95250</xdr:rowOff>
                  </from>
                  <to>
                    <xdr:col>5</xdr:col>
                    <xdr:colOff>590550</xdr:colOff>
                    <xdr:row>1</xdr:row>
                    <xdr:rowOff>0</xdr:rowOff>
                  </to>
                </anchor>
              </controlPr>
            </control>
          </mc:Choice>
        </mc:AlternateContent>
        <mc:AlternateContent xmlns:mc="http://schemas.openxmlformats.org/markup-compatibility/2006">
          <mc:Choice Requires="x14">
            <control shapeId="1067" r:id="rId7" name="Check Box 1">
              <controlPr defaultSize="0" print="0" autoFill="0" autoLine="0" autoPict="0" altText="">
                <anchor moveWithCells="1" sizeWithCells="1">
                  <from>
                    <xdr:col>5</xdr:col>
                    <xdr:colOff>666750</xdr:colOff>
                    <xdr:row>0</xdr:row>
                    <xdr:rowOff>95250</xdr:rowOff>
                  </from>
                  <to>
                    <xdr:col>8</xdr:col>
                    <xdr:colOff>323850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A1:G54"/>
  <sheetViews>
    <sheetView showGridLines="0" showRowColHeaders="0" view="pageBreakPreview" zoomScaleNormal="170" zoomScaleSheetLayoutView="100" workbookViewId="0">
      <selection activeCell="G53" sqref="G53"/>
    </sheetView>
  </sheetViews>
  <sheetFormatPr defaultRowHeight="20.25" customHeight="1" x14ac:dyDescent="0.2"/>
  <cols>
    <col min="1" max="1" width="32.42578125" style="23" customWidth="1"/>
    <col min="2" max="4" width="21.42578125" customWidth="1"/>
    <col min="5" max="5" width="38.42578125" customWidth="1"/>
  </cols>
  <sheetData>
    <row r="1" spans="2:4" ht="20.25" customHeight="1" x14ac:dyDescent="0.2">
      <c r="B1" s="25"/>
      <c r="C1" s="25"/>
      <c r="D1" s="24"/>
    </row>
    <row r="52" spans="5:7" ht="20.25" customHeight="1" x14ac:dyDescent="0.2">
      <c r="G52" s="33"/>
    </row>
    <row r="54" spans="5:7" ht="20.25" customHeight="1" x14ac:dyDescent="0.2">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2578125" defaultRowHeight="18.75" customHeight="1" x14ac:dyDescent="0.2"/>
  <cols>
    <col min="1" max="1" width="40.42578125" style="92" bestFit="1" customWidth="1"/>
    <col min="2" max="2" width="17.7109375" style="65" customWidth="1"/>
    <col min="3" max="3" width="17.7109375" style="77" customWidth="1"/>
    <col min="4" max="5" width="17.7109375" style="65" customWidth="1"/>
    <col min="6" max="6" width="5.42578125" style="65" customWidth="1"/>
    <col min="7" max="7" width="24.28515625" style="94" customWidth="1"/>
    <col min="8" max="8" width="24.28515625" style="65" customWidth="1"/>
    <col min="9" max="16384" width="21.42578125" style="65"/>
  </cols>
  <sheetData>
    <row r="1" spans="1:10" ht="18.75" customHeight="1" x14ac:dyDescent="0.2">
      <c r="A1" s="331" t="s">
        <v>31</v>
      </c>
      <c r="B1" s="331"/>
      <c r="C1" s="330" t="s">
        <v>45</v>
      </c>
      <c r="D1" s="330"/>
      <c r="E1" s="330"/>
    </row>
    <row r="2" spans="1:10" ht="18.75" customHeight="1" x14ac:dyDescent="0.2">
      <c r="A2" s="84"/>
      <c r="B2" s="84"/>
      <c r="C2" s="80"/>
      <c r="D2" s="80"/>
      <c r="E2" s="80"/>
    </row>
    <row r="3" spans="1:10" ht="18.75" customHeight="1" x14ac:dyDescent="0.2">
      <c r="A3" s="90" t="s">
        <v>95</v>
      </c>
      <c r="B3" s="82">
        <v>48300</v>
      </c>
      <c r="C3" s="332" t="s">
        <v>93</v>
      </c>
      <c r="D3" s="332"/>
      <c r="E3" s="71">
        <f>B3*0.05</f>
        <v>2415</v>
      </c>
      <c r="G3" s="335" t="s">
        <v>81</v>
      </c>
      <c r="H3" s="335"/>
      <c r="I3" s="335"/>
    </row>
    <row r="4" spans="1:10" ht="18.75" customHeight="1" x14ac:dyDescent="0.2">
      <c r="A4" s="90" t="s">
        <v>32</v>
      </c>
      <c r="B4" s="83">
        <v>346.44</v>
      </c>
      <c r="C4" s="332" t="s">
        <v>97</v>
      </c>
      <c r="D4" s="332"/>
      <c r="E4" s="105">
        <v>330.72</v>
      </c>
      <c r="G4" s="356" t="s">
        <v>82</v>
      </c>
      <c r="H4" s="357" t="s">
        <v>103</v>
      </c>
      <c r="I4" s="358" t="s">
        <v>83</v>
      </c>
    </row>
    <row r="5" spans="1:10" ht="18.75" customHeight="1" x14ac:dyDescent="0.2">
      <c r="A5" s="90" t="s">
        <v>94</v>
      </c>
      <c r="B5" s="83">
        <v>127.2</v>
      </c>
      <c r="C5" s="332" t="s">
        <v>98</v>
      </c>
      <c r="D5" s="332"/>
      <c r="E5" s="106">
        <v>314.39999999999998</v>
      </c>
      <c r="G5" s="356"/>
      <c r="H5" s="357"/>
      <c r="I5" s="358"/>
    </row>
    <row r="6" spans="1:10" ht="18.75" customHeight="1" x14ac:dyDescent="0.2">
      <c r="A6" s="90" t="s">
        <v>10</v>
      </c>
      <c r="B6" s="82">
        <v>5000</v>
      </c>
      <c r="C6" s="332" t="s">
        <v>99</v>
      </c>
      <c r="D6" s="332"/>
      <c r="E6" s="107">
        <v>105.3</v>
      </c>
      <c r="G6" s="356"/>
      <c r="H6" s="357"/>
      <c r="I6" s="358"/>
    </row>
    <row r="7" spans="1:10" ht="18.75" customHeight="1" x14ac:dyDescent="0.2">
      <c r="A7" s="91"/>
      <c r="B7" s="78"/>
      <c r="C7" s="78"/>
      <c r="D7" s="86"/>
      <c r="E7" s="87"/>
      <c r="G7" s="356"/>
      <c r="H7" s="357"/>
      <c r="I7" s="358"/>
    </row>
    <row r="8" spans="1:10" ht="48" x14ac:dyDescent="0.2">
      <c r="A8" s="93" t="s">
        <v>80</v>
      </c>
      <c r="B8" s="79" t="s">
        <v>22</v>
      </c>
      <c r="C8" s="79" t="s">
        <v>19</v>
      </c>
      <c r="D8" s="79" t="s">
        <v>101</v>
      </c>
      <c r="E8" s="79" t="s">
        <v>102</v>
      </c>
    </row>
    <row r="9" spans="1:10" s="66" customFormat="1" ht="18.75" customHeight="1" x14ac:dyDescent="0.2">
      <c r="A9" s="342" t="s">
        <v>18</v>
      </c>
      <c r="B9" s="343"/>
      <c r="C9" s="343"/>
      <c r="D9" s="343"/>
      <c r="E9" s="344"/>
      <c r="G9" s="95"/>
      <c r="H9" s="88"/>
      <c r="I9" s="88"/>
      <c r="J9" s="88"/>
    </row>
    <row r="10" spans="1:10" ht="18.75" customHeight="1" x14ac:dyDescent="0.2">
      <c r="A10" s="90" t="s">
        <v>96</v>
      </c>
      <c r="B10" s="67">
        <v>4</v>
      </c>
      <c r="C10" s="68">
        <f>B10*($B$4/$E$4)</f>
        <v>4.1901306240928875</v>
      </c>
      <c r="D10" s="69">
        <f>C10*1.25</f>
        <v>5.2376632801161094</v>
      </c>
      <c r="E10" s="69">
        <f>D10*1.2</f>
        <v>6.2851959361393313</v>
      </c>
      <c r="G10" s="96"/>
      <c r="H10" s="85"/>
      <c r="I10" s="85"/>
      <c r="J10" s="85"/>
    </row>
    <row r="11" spans="1:10" s="81" customFormat="1" ht="18.75" customHeight="1" x14ac:dyDescent="0.2">
      <c r="A11" s="345" t="s">
        <v>20</v>
      </c>
      <c r="B11" s="346"/>
      <c r="C11" s="346"/>
      <c r="D11" s="346"/>
      <c r="E11" s="347"/>
      <c r="G11" s="96"/>
      <c r="H11" s="86"/>
      <c r="I11" s="89"/>
      <c r="J11" s="89"/>
    </row>
    <row r="12" spans="1:10" ht="18.75" customHeight="1" x14ac:dyDescent="0.2">
      <c r="A12" s="90" t="s">
        <v>36</v>
      </c>
      <c r="B12" s="70">
        <v>500</v>
      </c>
      <c r="C12" s="71">
        <f>ROUND(B12*($B$4/$E$4),-2)</f>
        <v>500</v>
      </c>
      <c r="D12" s="72">
        <f>C12*1.25</f>
        <v>625</v>
      </c>
      <c r="E12" s="72">
        <f t="shared" ref="E12:E13" si="0">D12*1.2</f>
        <v>750</v>
      </c>
      <c r="G12" s="96"/>
      <c r="H12" s="85"/>
      <c r="I12" s="85"/>
      <c r="J12" s="85"/>
    </row>
    <row r="13" spans="1:10" ht="18.75" customHeight="1" x14ac:dyDescent="0.2">
      <c r="A13" s="90" t="s">
        <v>78</v>
      </c>
      <c r="B13" s="70">
        <v>500</v>
      </c>
      <c r="C13" s="71">
        <f t="shared" ref="C13:C14" si="1">ROUND(B13*($B$4/$E$4),-2)</f>
        <v>500</v>
      </c>
      <c r="D13" s="72">
        <f>C13*1.25</f>
        <v>625</v>
      </c>
      <c r="E13" s="72">
        <f t="shared" si="0"/>
        <v>750</v>
      </c>
      <c r="G13" s="96"/>
      <c r="H13" s="85"/>
      <c r="I13" s="85"/>
      <c r="J13" s="85"/>
    </row>
    <row r="14" spans="1:10" ht="18.75" customHeight="1" x14ac:dyDescent="0.2">
      <c r="A14" s="90" t="s">
        <v>77</v>
      </c>
      <c r="B14" s="70">
        <v>500</v>
      </c>
      <c r="C14" s="71">
        <f t="shared" si="1"/>
        <v>500</v>
      </c>
      <c r="D14" s="72">
        <f>C14*1.25</f>
        <v>625</v>
      </c>
      <c r="E14" s="72">
        <f t="shared" ref="E14" si="2">D14*1.2</f>
        <v>750</v>
      </c>
      <c r="G14" s="96"/>
      <c r="H14" s="85"/>
      <c r="I14" s="85"/>
      <c r="J14" s="85"/>
    </row>
    <row r="15" spans="1:10" s="81" customFormat="1" ht="18.75" customHeight="1" x14ac:dyDescent="0.2">
      <c r="A15" s="348" t="s">
        <v>21</v>
      </c>
      <c r="B15" s="349"/>
      <c r="C15" s="349"/>
      <c r="D15" s="349"/>
      <c r="E15" s="350"/>
      <c r="G15" s="95"/>
      <c r="H15" s="89"/>
      <c r="I15" s="89"/>
      <c r="J15" s="89"/>
    </row>
    <row r="16" spans="1:10" ht="18.75" customHeight="1" x14ac:dyDescent="0.2">
      <c r="A16" s="90" t="s">
        <v>90</v>
      </c>
      <c r="B16" s="70">
        <v>2300</v>
      </c>
      <c r="C16" s="71">
        <f>ROUND(B16*($B$4/$E$4),-2)</f>
        <v>2400</v>
      </c>
      <c r="D16" s="72">
        <f>C16*1.25</f>
        <v>3000</v>
      </c>
      <c r="E16" s="72">
        <f>D16*1.2</f>
        <v>3600</v>
      </c>
      <c r="G16" s="96"/>
      <c r="H16" s="85"/>
      <c r="I16" s="85"/>
      <c r="J16" s="85"/>
    </row>
    <row r="17" spans="1:10" ht="18.75" customHeight="1" x14ac:dyDescent="0.2">
      <c r="A17" s="90" t="s">
        <v>89</v>
      </c>
      <c r="B17" s="70">
        <v>2800</v>
      </c>
      <c r="C17" s="71">
        <f t="shared" ref="C17:C34" si="3">ROUND(B17*($B$4/$E$4),-2)</f>
        <v>2900</v>
      </c>
      <c r="D17" s="72">
        <f t="shared" ref="D17:D22" si="4">C17*1.25</f>
        <v>3625</v>
      </c>
      <c r="E17" s="72">
        <f t="shared" ref="E17:E22" si="5">D17*1.2</f>
        <v>4350</v>
      </c>
      <c r="G17" s="96"/>
      <c r="H17" s="85"/>
      <c r="I17" s="85"/>
      <c r="J17" s="85"/>
    </row>
    <row r="18" spans="1:10" ht="18.75" customHeight="1" x14ac:dyDescent="0.2">
      <c r="A18" s="90" t="s">
        <v>88</v>
      </c>
      <c r="B18" s="70">
        <v>3300</v>
      </c>
      <c r="C18" s="71">
        <f t="shared" si="3"/>
        <v>3500</v>
      </c>
      <c r="D18" s="72">
        <f t="shared" si="4"/>
        <v>4375</v>
      </c>
      <c r="E18" s="72">
        <f t="shared" si="5"/>
        <v>5250</v>
      </c>
      <c r="G18" s="96"/>
      <c r="H18" s="85"/>
      <c r="I18" s="85"/>
      <c r="J18" s="85"/>
    </row>
    <row r="19" spans="1:10" ht="18.75" customHeight="1" x14ac:dyDescent="0.2">
      <c r="A19" s="90" t="s">
        <v>87</v>
      </c>
      <c r="B19" s="70">
        <v>2700</v>
      </c>
      <c r="C19" s="71">
        <f t="shared" si="3"/>
        <v>2800</v>
      </c>
      <c r="D19" s="72">
        <f t="shared" si="4"/>
        <v>3500</v>
      </c>
      <c r="E19" s="72">
        <f t="shared" si="5"/>
        <v>4200</v>
      </c>
      <c r="G19" s="96"/>
      <c r="H19" s="85"/>
      <c r="I19" s="85"/>
      <c r="J19" s="85"/>
    </row>
    <row r="20" spans="1:10" ht="18.75" customHeight="1" x14ac:dyDescent="0.2">
      <c r="A20" s="90" t="s">
        <v>86</v>
      </c>
      <c r="B20" s="70">
        <v>3000</v>
      </c>
      <c r="C20" s="71">
        <f t="shared" si="3"/>
        <v>3100</v>
      </c>
      <c r="D20" s="72">
        <f t="shared" si="4"/>
        <v>3875</v>
      </c>
      <c r="E20" s="72">
        <f t="shared" si="5"/>
        <v>4650</v>
      </c>
      <c r="G20" s="96"/>
      <c r="H20" s="86"/>
      <c r="I20" s="87"/>
      <c r="J20" s="85"/>
    </row>
    <row r="21" spans="1:10" ht="18.75" customHeight="1" x14ac:dyDescent="0.2">
      <c r="A21" s="90" t="s">
        <v>85</v>
      </c>
      <c r="B21" s="70">
        <v>3300</v>
      </c>
      <c r="C21" s="71">
        <f t="shared" si="3"/>
        <v>3500</v>
      </c>
      <c r="D21" s="72">
        <f t="shared" si="4"/>
        <v>4375</v>
      </c>
      <c r="E21" s="72">
        <f t="shared" si="5"/>
        <v>5250</v>
      </c>
      <c r="G21" s="96"/>
      <c r="H21" s="86"/>
      <c r="I21" s="87"/>
      <c r="J21" s="85"/>
    </row>
    <row r="22" spans="1:10" ht="18.75" customHeight="1" x14ac:dyDescent="0.2">
      <c r="A22" s="90" t="s">
        <v>84</v>
      </c>
      <c r="B22" s="70">
        <v>2700</v>
      </c>
      <c r="C22" s="71">
        <f t="shared" si="3"/>
        <v>2800</v>
      </c>
      <c r="D22" s="72">
        <f t="shared" si="4"/>
        <v>3500</v>
      </c>
      <c r="E22" s="72">
        <f t="shared" si="5"/>
        <v>4200</v>
      </c>
      <c r="G22" s="96"/>
      <c r="H22" s="86"/>
      <c r="I22" s="87"/>
      <c r="J22" s="85"/>
    </row>
    <row r="23" spans="1:10" ht="18.75" customHeight="1" x14ac:dyDescent="0.2">
      <c r="A23" s="90" t="s">
        <v>91</v>
      </c>
      <c r="B23" s="70">
        <v>3000</v>
      </c>
      <c r="C23" s="71">
        <f t="shared" si="3"/>
        <v>3100</v>
      </c>
      <c r="D23" s="72">
        <f>C23*1.25</f>
        <v>3875</v>
      </c>
      <c r="E23" s="72">
        <f>D23*1.2</f>
        <v>4650</v>
      </c>
      <c r="G23" s="96"/>
      <c r="H23" s="85"/>
      <c r="I23" s="85"/>
      <c r="J23" s="85"/>
    </row>
    <row r="24" spans="1:10" ht="18.75" customHeight="1" x14ac:dyDescent="0.2">
      <c r="A24" s="90" t="s">
        <v>92</v>
      </c>
      <c r="B24" s="70">
        <v>3300</v>
      </c>
      <c r="C24" s="71">
        <f t="shared" si="3"/>
        <v>3500</v>
      </c>
      <c r="D24" s="72">
        <f>C24*1.25</f>
        <v>4375</v>
      </c>
      <c r="E24" s="72">
        <f>D24*1.2</f>
        <v>5250</v>
      </c>
      <c r="G24" s="96"/>
      <c r="H24" s="85"/>
      <c r="I24" s="85"/>
      <c r="J24" s="85"/>
    </row>
    <row r="25" spans="1:10" s="81" customFormat="1" ht="18.75" customHeight="1" x14ac:dyDescent="0.2">
      <c r="A25" s="351" t="s">
        <v>76</v>
      </c>
      <c r="B25" s="352"/>
      <c r="C25" s="352"/>
      <c r="D25" s="352"/>
      <c r="E25" s="353"/>
      <c r="G25" s="95"/>
      <c r="H25" s="89"/>
      <c r="I25" s="89"/>
      <c r="J25" s="89"/>
    </row>
    <row r="26" spans="1:10" s="81" customFormat="1" ht="18.75" customHeight="1" x14ac:dyDescent="0.2">
      <c r="A26" s="132" t="s">
        <v>104</v>
      </c>
      <c r="B26" s="70">
        <v>2300</v>
      </c>
      <c r="C26" s="71">
        <f t="shared" ref="C26:C28" si="6">ROUND(B26*($B$4/$E$4),-2)</f>
        <v>2400</v>
      </c>
      <c r="D26" s="72">
        <f>C26*1.25</f>
        <v>3000</v>
      </c>
      <c r="E26" s="72">
        <f>D26*1.2</f>
        <v>3600</v>
      </c>
      <c r="G26" s="95"/>
      <c r="H26" s="89"/>
      <c r="I26" s="89"/>
      <c r="J26" s="89"/>
    </row>
    <row r="27" spans="1:10" s="81" customFormat="1" ht="18.75" customHeight="1" x14ac:dyDescent="0.2">
      <c r="A27" s="90" t="s">
        <v>112</v>
      </c>
      <c r="B27" s="70">
        <v>2800</v>
      </c>
      <c r="C27" s="71">
        <f t="shared" si="6"/>
        <v>2900</v>
      </c>
      <c r="D27" s="72">
        <f t="shared" ref="D27:D28" si="7">C27*1.25</f>
        <v>3625</v>
      </c>
      <c r="E27" s="72">
        <f t="shared" ref="E27:E34" si="8">D27*1.2</f>
        <v>4350</v>
      </c>
      <c r="G27" s="95"/>
      <c r="H27" s="89"/>
      <c r="I27" s="89"/>
      <c r="J27" s="89"/>
    </row>
    <row r="28" spans="1:10" s="81" customFormat="1" ht="18.75" customHeight="1" x14ac:dyDescent="0.2">
      <c r="A28" s="132" t="s">
        <v>111</v>
      </c>
      <c r="B28" s="70">
        <v>3300</v>
      </c>
      <c r="C28" s="71">
        <f t="shared" si="6"/>
        <v>3500</v>
      </c>
      <c r="D28" s="72">
        <f t="shared" si="7"/>
        <v>4375</v>
      </c>
      <c r="E28" s="72">
        <f t="shared" si="8"/>
        <v>5250</v>
      </c>
      <c r="G28" s="95"/>
      <c r="H28" s="89"/>
      <c r="I28" s="89"/>
      <c r="J28" s="89"/>
    </row>
    <row r="29" spans="1:10" s="81" customFormat="1" ht="18.75" customHeight="1" x14ac:dyDescent="0.2">
      <c r="A29" s="132" t="s">
        <v>105</v>
      </c>
      <c r="B29" s="70">
        <v>2700</v>
      </c>
      <c r="C29" s="71">
        <f t="shared" ref="C29:C31" si="9">ROUND(B29*($B$4/$E$4),-2)</f>
        <v>2800</v>
      </c>
      <c r="D29" s="72">
        <f t="shared" ref="D29:D31" si="10">C29*1.25</f>
        <v>3500</v>
      </c>
      <c r="E29" s="72">
        <f t="shared" si="8"/>
        <v>4200</v>
      </c>
      <c r="G29" s="95"/>
      <c r="H29" s="89"/>
      <c r="I29" s="89"/>
      <c r="J29" s="89"/>
    </row>
    <row r="30" spans="1:10" s="81" customFormat="1" ht="18.75" customHeight="1" x14ac:dyDescent="0.2">
      <c r="A30" s="90" t="s">
        <v>110</v>
      </c>
      <c r="B30" s="70">
        <v>3000</v>
      </c>
      <c r="C30" s="71">
        <f t="shared" si="9"/>
        <v>3100</v>
      </c>
      <c r="D30" s="72">
        <f t="shared" si="10"/>
        <v>3875</v>
      </c>
      <c r="E30" s="72">
        <f t="shared" si="8"/>
        <v>4650</v>
      </c>
      <c r="G30" s="95"/>
      <c r="H30" s="89"/>
      <c r="I30" s="89"/>
      <c r="J30" s="89"/>
    </row>
    <row r="31" spans="1:10" s="81" customFormat="1" ht="18.75" customHeight="1" x14ac:dyDescent="0.2">
      <c r="A31" s="132" t="s">
        <v>109</v>
      </c>
      <c r="B31" s="70">
        <v>3300</v>
      </c>
      <c r="C31" s="71">
        <f t="shared" si="9"/>
        <v>3500</v>
      </c>
      <c r="D31" s="72">
        <f t="shared" si="10"/>
        <v>4375</v>
      </c>
      <c r="E31" s="72">
        <f t="shared" si="8"/>
        <v>5250</v>
      </c>
      <c r="G31" s="95"/>
      <c r="H31" s="89"/>
      <c r="I31" s="89"/>
      <c r="J31" s="89"/>
    </row>
    <row r="32" spans="1:10" ht="18.75" customHeight="1" x14ac:dyDescent="0.2">
      <c r="A32" s="132" t="s">
        <v>106</v>
      </c>
      <c r="B32" s="70">
        <v>2700</v>
      </c>
      <c r="C32" s="71">
        <f t="shared" si="3"/>
        <v>2800</v>
      </c>
      <c r="D32" s="72">
        <f>C32*1.25</f>
        <v>3500</v>
      </c>
      <c r="E32" s="72">
        <f t="shared" si="8"/>
        <v>4200</v>
      </c>
    </row>
    <row r="33" spans="1:7" ht="18.75" customHeight="1" x14ac:dyDescent="0.2">
      <c r="A33" s="132" t="s">
        <v>108</v>
      </c>
      <c r="B33" s="70">
        <v>3000</v>
      </c>
      <c r="C33" s="71">
        <f t="shared" si="3"/>
        <v>3100</v>
      </c>
      <c r="D33" s="72">
        <f t="shared" ref="D33" si="11">C33*1.25</f>
        <v>3875</v>
      </c>
      <c r="E33" s="72">
        <f t="shared" si="8"/>
        <v>4650</v>
      </c>
    </row>
    <row r="34" spans="1:7" ht="18.75" customHeight="1" x14ac:dyDescent="0.2">
      <c r="A34" s="90" t="s">
        <v>107</v>
      </c>
      <c r="B34" s="70">
        <v>3300</v>
      </c>
      <c r="C34" s="71">
        <f t="shared" si="3"/>
        <v>3500</v>
      </c>
      <c r="D34" s="72">
        <f t="shared" ref="D34" si="12">C34*1.25</f>
        <v>4375</v>
      </c>
      <c r="E34" s="72">
        <f t="shared" si="8"/>
        <v>5250</v>
      </c>
    </row>
    <row r="35" spans="1:7" s="81" customFormat="1" ht="18.75" customHeight="1" x14ac:dyDescent="0.2">
      <c r="A35" s="336" t="s">
        <v>26</v>
      </c>
      <c r="B35" s="337"/>
      <c r="C35" s="337"/>
      <c r="D35" s="337"/>
      <c r="E35" s="338"/>
      <c r="G35" s="97"/>
    </row>
    <row r="36" spans="1:7" ht="18.75" customHeight="1" x14ac:dyDescent="0.2">
      <c r="A36" s="90" t="s">
        <v>27</v>
      </c>
      <c r="B36" s="73">
        <v>2.31</v>
      </c>
      <c r="C36" s="74">
        <f>B36*($B$4/$E$5)</f>
        <v>2.5454083969465655</v>
      </c>
      <c r="D36" s="69">
        <f>C36*1.25</f>
        <v>3.1817604961832071</v>
      </c>
      <c r="E36" s="69">
        <f>D36*1.2</f>
        <v>3.8181125954198483</v>
      </c>
    </row>
    <row r="37" spans="1:7" ht="18.75" customHeight="1" x14ac:dyDescent="0.2">
      <c r="A37" s="90" t="s">
        <v>28</v>
      </c>
      <c r="B37" s="73">
        <v>2.83</v>
      </c>
      <c r="C37" s="74">
        <f t="shared" ref="C37:C41" si="13">B37*($B$4/$E$5)</f>
        <v>3.1184007633587791</v>
      </c>
      <c r="D37" s="69">
        <f>C37*1.25</f>
        <v>3.8980009541984737</v>
      </c>
      <c r="E37" s="69">
        <f t="shared" ref="E37:E40" si="14">D37*1.2</f>
        <v>4.6776011450381683</v>
      </c>
    </row>
    <row r="38" spans="1:7" ht="18.75" customHeight="1" x14ac:dyDescent="0.2">
      <c r="A38" s="90" t="s">
        <v>13</v>
      </c>
      <c r="B38" s="73">
        <v>3.26</v>
      </c>
      <c r="C38" s="74">
        <f t="shared" si="13"/>
        <v>3.5922213740458018</v>
      </c>
      <c r="D38" s="69">
        <f>C38*1.25</f>
        <v>4.4902767175572524</v>
      </c>
      <c r="E38" s="69">
        <f t="shared" si="14"/>
        <v>5.3883320610687031</v>
      </c>
    </row>
    <row r="39" spans="1:7" ht="18.75" customHeight="1" x14ac:dyDescent="0.2">
      <c r="A39" s="90" t="s">
        <v>14</v>
      </c>
      <c r="B39" s="73">
        <v>4.1500000000000004</v>
      </c>
      <c r="C39" s="74">
        <f t="shared" si="13"/>
        <v>4.5729198473282455</v>
      </c>
      <c r="D39" s="69">
        <f>C39*1.25</f>
        <v>5.7161498091603065</v>
      </c>
      <c r="E39" s="69">
        <f t="shared" si="14"/>
        <v>6.8593797709923674</v>
      </c>
    </row>
    <row r="40" spans="1:7" ht="18.75" customHeight="1" x14ac:dyDescent="0.2">
      <c r="A40" s="90" t="s">
        <v>15</v>
      </c>
      <c r="B40" s="73">
        <v>4.3</v>
      </c>
      <c r="C40" s="74">
        <f t="shared" si="13"/>
        <v>4.7382061068702299</v>
      </c>
      <c r="D40" s="69">
        <f>C40*1.25</f>
        <v>5.9227576335877874</v>
      </c>
      <c r="E40" s="69">
        <f t="shared" si="14"/>
        <v>7.1073091603053449</v>
      </c>
    </row>
    <row r="41" spans="1:7" ht="18.75" customHeight="1" x14ac:dyDescent="0.2">
      <c r="A41" s="90" t="s">
        <v>43</v>
      </c>
      <c r="B41" s="75">
        <v>2572</v>
      </c>
      <c r="C41" s="71">
        <f t="shared" si="13"/>
        <v>2834.1083969465653</v>
      </c>
      <c r="D41" s="354" t="s">
        <v>30</v>
      </c>
      <c r="E41" s="355"/>
    </row>
    <row r="42" spans="1:7" s="81" customFormat="1" ht="18.75" customHeight="1" x14ac:dyDescent="0.2">
      <c r="A42" s="339" t="s">
        <v>29</v>
      </c>
      <c r="B42" s="340"/>
      <c r="C42" s="340"/>
      <c r="D42" s="340"/>
      <c r="E42" s="341"/>
      <c r="G42" s="97"/>
    </row>
    <row r="43" spans="1:7" ht="18.75" customHeight="1" x14ac:dyDescent="0.2">
      <c r="A43" s="90" t="s">
        <v>16</v>
      </c>
      <c r="B43" s="76">
        <v>9.65</v>
      </c>
      <c r="C43" s="74">
        <f>B43*($B$5/$E$6)</f>
        <v>11.656980056980057</v>
      </c>
      <c r="D43" s="333" t="s">
        <v>30</v>
      </c>
      <c r="E43" s="334"/>
    </row>
    <row r="44" spans="1:7" ht="18.75" customHeight="1" x14ac:dyDescent="0.2">
      <c r="A44" s="90" t="s">
        <v>17</v>
      </c>
      <c r="B44" s="76">
        <v>3.75</v>
      </c>
      <c r="C44" s="74">
        <f>B44*($B$5/$E$6)</f>
        <v>4.5299145299145298</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Värderingsprotokoll</vt:lpstr>
      <vt:lpstr>Förklaringar</vt:lpstr>
      <vt:lpstr>DÖLJS - Ersättningstabeller</vt:lpstr>
      <vt:lpstr>Förklaringar!Print_Area</vt:lpstr>
      <vt:lpstr>Värderingsprotokoll!Print_Area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Henriksson Fredrik (DS-UR)</dc:creator>
  <cp:lastModifiedBy>Christoffer Karlsson</cp:lastModifiedBy>
  <cp:lastPrinted>2022-01-13T07:16:09Z</cp:lastPrinted>
  <dcterms:created xsi:type="dcterms:W3CDTF">2016-01-25T06:11:54Z</dcterms:created>
  <dcterms:modified xsi:type="dcterms:W3CDTF">2022-06-17T08:13:40Z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