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codeName="ThisWorkbook"/>
  <mc:AlternateContent xmlns:mc="http://schemas.openxmlformats.org/markup-compatibility/2006">
    <mc:Choice Requires="x15">
      <x15ac:absPath xmlns:x15ac="http://schemas.microsoft.com/office/spreadsheetml/2010/11/ac" url="C:\Users\jalle\xplore\backend\markkoll\src\test\resources\varderingsprotokoll\"/>
    </mc:Choice>
  </mc:AlternateContent>
  <xr:revisionPtr revIDLastSave="0" documentId="13_ncr:1_{F63553E7-42A4-4E62-AF2B-6B01ED2BA10D}"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6675" yWindow="4755" windowWidth="21600"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<sst xmlns="http://schemas.openxmlformats.org/spreadsheetml/2006/main" count="245" uniqueCount="148">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</sst>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topLeftCell="A25" zoomScaleNormal="100" zoomScaleSheetLayoutView="100" workbookViewId="0">
      <selection activeCell="B44" sqref="B44:G44"/>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90" t="str">
        <f>L3</f>
        <v>VÄRDERINGSPROTOKOLL</v>
      </c>
      <c r="C2" s="291"/>
      <c r="D2" s="291"/>
      <c r="E2" s="291"/>
      <c r="F2" s="291"/>
      <c r="G2" s="11"/>
      <c r="H2" s="15"/>
      <c r="I2" s="11"/>
      <c r="J2" s="30"/>
      <c r="K2" s="3"/>
      <c r="L2" s="145" t="s">
        <v>133</v>
      </c>
    </row>
    <row r="3" spans="1:230" s="2" customFormat="1" ht="15" customHeight="1" x14ac:dyDescent="0.2">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86"/>
      <c r="C11" s="287"/>
      <c r="D11" s="287"/>
      <c r="E11" s="287"/>
      <c r="F11" s="287"/>
      <c r="G11" s="288"/>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19"/>
      <c r="C12" s="220"/>
      <c r="D12" s="220"/>
      <c r="E12" s="220"/>
      <c r="F12" s="220"/>
      <c r="G12" s="289"/>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0" t="s">
        <v>4</v>
      </c>
      <c r="C15" s="231"/>
      <c r="D15" s="231"/>
      <c r="E15" s="231"/>
      <c r="F15" s="231"/>
      <c r="G15" s="231"/>
      <c r="H15" s="231"/>
      <c r="I15" s="231"/>
      <c r="J15" s="99">
        <f>SUM(J11:J14)</f>
        <v>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17" t="s">
        <v>56</v>
      </c>
      <c r="C17" s="218"/>
      <c r="D17" s="218"/>
      <c r="E17" s="218"/>
      <c r="F17" s="236" t="s">
        <v>37</v>
      </c>
      <c r="G17" s="237"/>
      <c r="H17" s="238"/>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19"/>
      <c r="C18" s="220"/>
      <c r="D18" s="220"/>
      <c r="E18" s="220"/>
      <c r="F18" s="235"/>
      <c r="G18" s="235"/>
      <c r="H18" s="235"/>
      <c r="I18" s="115"/>
      <c r="J18" s="58">
        <f>IF(I18&gt;0,(VLOOKUP(F18,'DÖLJS - Ersättningstabeller'!$A$11:$C$34,3,FALSE))*I18,0)</f>
        <v>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19"/>
      <c r="C19" s="220"/>
      <c r="D19" s="220"/>
      <c r="E19" s="220"/>
      <c r="F19" s="215"/>
      <c r="G19" s="215"/>
      <c r="H19" s="215"/>
      <c r="I19" s="116"/>
      <c r="J19" s="57">
        <f>IF(I19&gt;0,(VLOOKUP(F19,'DÖLJS - Ersättningstabeller'!$A$11:$C$34,3,FALSE))*I19,0)</f>
        <v>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19"/>
      <c r="C20" s="220"/>
      <c r="D20" s="220"/>
      <c r="E20" s="220"/>
      <c r="F20" s="215"/>
      <c r="G20" s="215"/>
      <c r="H20" s="215"/>
      <c r="I20" s="116"/>
      <c r="J20" s="57">
        <f>IF(I20&gt;0,(VLOOKUP(F20,'DÖLJS - Ersättningstabeller'!$A$11:$C$34,3,FALSE))*I20,0)</f>
        <v>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21"/>
      <c r="C21" s="222"/>
      <c r="D21" s="222"/>
      <c r="E21" s="223"/>
      <c r="F21" s="216"/>
      <c r="G21" s="216"/>
      <c r="H21" s="216"/>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43" t="s">
        <v>4</v>
      </c>
      <c r="C22" s="244"/>
      <c r="D22" s="244"/>
      <c r="E22" s="244"/>
      <c r="F22" s="244"/>
      <c r="G22" s="244"/>
      <c r="H22" s="244"/>
      <c r="I22" s="244"/>
      <c r="J22" s="45">
        <f>SUM(J18:J21)</f>
        <v>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32" t="s">
        <v>62</v>
      </c>
      <c r="C23" s="233"/>
      <c r="D23" s="233"/>
      <c r="E23" s="233"/>
      <c r="F23" s="233"/>
      <c r="G23" s="233"/>
      <c r="H23" s="233"/>
      <c r="I23" s="233"/>
      <c r="J23" s="234"/>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43" t="s">
        <v>4</v>
      </c>
      <c r="C27" s="244"/>
      <c r="D27" s="244"/>
      <c r="E27" s="244"/>
      <c r="F27" s="244"/>
      <c r="G27" s="244"/>
      <c r="H27" s="244"/>
      <c r="I27" s="244"/>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0" t="s">
        <v>4</v>
      </c>
      <c r="C32" s="231"/>
      <c r="D32" s="231"/>
      <c r="E32" s="231"/>
      <c r="F32" s="231"/>
      <c r="G32" s="231"/>
      <c r="H32" s="231"/>
      <c r="I32" s="231"/>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32" t="s">
        <v>70</v>
      </c>
      <c r="C33" s="233"/>
      <c r="D33" s="233"/>
      <c r="E33" s="233"/>
      <c r="F33" s="233"/>
      <c r="G33" s="233"/>
      <c r="H33" s="233"/>
      <c r="I33" s="233"/>
      <c r="J33" s="234"/>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51" t="s">
        <v>38</v>
      </c>
      <c r="C35" s="252"/>
      <c r="D35" s="252"/>
      <c r="E35" s="253"/>
      <c r="F35" s="241"/>
      <c r="G35" s="242"/>
      <c r="H35" s="254" t="s">
        <v>71</v>
      </c>
      <c r="I35" s="255"/>
      <c r="J35" s="256"/>
      <c r="K35" s="9"/>
      <c r="L35" s="152">
        <f>J15+J22+(J27*0.66)+J32+J40+J47+F35</f>
        <v>0</v>
      </c>
      <c r="M35" s="137" t="str">
        <f>'DÖLJS - Ersättningstabeller'!A32</f>
        <v>Sjökabelskylt - Övrig mark (yta 6 x 6 meter)</v>
      </c>
      <c r="N35" s="133">
        <f>'DÖLJS - Ersättningstabeller'!C32</f>
        <v>2800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f>J15+J22+(J27*0.66)+J32+J40+J47+J55</f>
        <v>0</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f>J15+J22+J27+J32+J40+J47+J52+J55+J56</f>
        <v>0</v>
      </c>
      <c r="M39" s="32"/>
      <c r="N39" s="32"/>
      <c r="HJ39" s="44"/>
      <c r="HK39" s="44"/>
      <c r="HL39" s="44"/>
      <c r="HM39" s="44"/>
      <c r="HN39" s="44"/>
      <c r="HO39" s="44"/>
      <c r="HP39" s="44"/>
      <c r="HQ39" s="44"/>
      <c r="HR39" s="44"/>
      <c r="HS39" s="44"/>
      <c r="HT39" s="44"/>
      <c r="HU39" s="44"/>
      <c r="HV39" s="44"/>
    </row>
    <row r="40" spans="1:230" ht="12" customHeight="1" x14ac:dyDescent="0.2">
      <c r="A40" s="44"/>
      <c r="B40" s="239" t="s">
        <v>4</v>
      </c>
      <c r="C40" s="240"/>
      <c r="D40" s="240"/>
      <c r="E40" s="240"/>
      <c r="F40" s="240"/>
      <c r="G40" s="240"/>
      <c r="H40" s="240"/>
      <c r="I40" s="240"/>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f>IF(L29*0.2&gt;L37*0.2,L37*0.2,L29*0.2)</f>
        <v>0</v>
      </c>
      <c r="M41" s="207" t="s">
        <v>23</v>
      </c>
      <c r="N41" s="208"/>
      <c r="HJ41" s="44"/>
      <c r="HK41" s="44"/>
      <c r="HL41" s="44"/>
      <c r="HM41" s="44"/>
      <c r="HN41" s="44"/>
      <c r="HO41" s="44"/>
      <c r="HP41" s="44"/>
      <c r="HQ41" s="44"/>
      <c r="HR41" s="44"/>
      <c r="HS41" s="44"/>
      <c r="HT41" s="44"/>
      <c r="HU41" s="44"/>
      <c r="HV41" s="44"/>
    </row>
    <row r="42" spans="1:230" ht="12" customHeight="1" x14ac:dyDescent="0.2">
      <c r="A42" s="44"/>
      <c r="B42" s="328" t="s">
        <v>34</v>
      </c>
      <c r="C42" s="329"/>
      <c r="D42" s="329"/>
      <c r="E42" s="47" t="s">
        <v>39</v>
      </c>
      <c r="F42" s="323" t="s">
        <v>12</v>
      </c>
      <c r="G42" s="324"/>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19"/>
      <c r="C43" s="220"/>
      <c r="D43" s="220"/>
      <c r="E43" s="220"/>
      <c r="F43" s="220"/>
      <c r="G43" s="289"/>
      <c r="H43" s="120"/>
      <c r="I43" s="120"/>
      <c r="J43" s="57">
        <f>IF($F$42&lt;&gt;0,H43*I43*VLOOKUP($F$42,'DÖLJS - Ersättningstabeller'!$A$36:$G$40,3,FALSE),0)</f>
        <v>0</v>
      </c>
      <c r="K43" s="12"/>
      <c r="L43" s="152">
        <f>IF(L37*0.2&lt;L29*0.2,IF(L37&lt;5000,L25,L37*0.2),L29*0.2)</f>
        <v>2834.1083969465653</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19"/>
      <c r="C44" s="220"/>
      <c r="D44" s="220"/>
      <c r="E44" s="220"/>
      <c r="F44" s="220"/>
      <c r="G44" s="289"/>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19"/>
      <c r="C45" s="220"/>
      <c r="D45" s="220"/>
      <c r="E45" s="220"/>
      <c r="F45" s="220"/>
      <c r="G45" s="289"/>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21"/>
      <c r="C46" s="222"/>
      <c r="D46" s="222"/>
      <c r="E46" s="222"/>
      <c r="F46" s="222"/>
      <c r="G46" s="223"/>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43" t="s">
        <v>4</v>
      </c>
      <c r="C47" s="244"/>
      <c r="D47" s="244"/>
      <c r="E47" s="244"/>
      <c r="F47" s="244"/>
      <c r="G47" s="244"/>
      <c r="H47" s="244"/>
      <c r="I47" s="244"/>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49" t="s">
        <v>4</v>
      </c>
      <c r="C52" s="250"/>
      <c r="D52" s="250"/>
      <c r="E52" s="250"/>
      <c r="F52" s="250"/>
      <c r="G52" s="250"/>
      <c r="H52" s="250"/>
      <c r="I52" s="250"/>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f>J15+J22+(J27*0.66)+J32+(F35*0.25)+J40+J47+J52</f>
        <v>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f>ROUND((J15+J22+J27+J32+J40+J47),0)</f>
        <v>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309" t="s">
        <v>53</v>
      </c>
      <c r="C55" s="310"/>
      <c r="D55" s="310"/>
      <c r="E55" s="310"/>
      <c r="F55" s="310"/>
      <c r="G55" s="310"/>
      <c r="H55" s="310"/>
      <c r="I55" s="310"/>
      <c r="J55" s="128">
        <f>ROUND((L35*0.25),0)</f>
        <v>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47" t="s">
        <v>118</v>
      </c>
      <c r="C56" s="248"/>
      <c r="D56" s="248"/>
      <c r="E56" s="248"/>
      <c r="F56" s="248"/>
      <c r="G56" s="248"/>
      <c r="H56" s="248"/>
      <c r="I56" s="248"/>
      <c r="J56" s="109">
        <f>ROUND(IF(L13=TRUE,L43,L41),0)</f>
        <v>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45" t="str">
        <f>L5</f>
        <v>Grundersättning vid överenskommelse:</v>
      </c>
      <c r="C57" s="246"/>
      <c r="D57" s="246"/>
      <c r="E57" s="246"/>
      <c r="F57" s="246"/>
      <c r="G57" s="246"/>
      <c r="H57" s="246"/>
      <c r="I57" s="246"/>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f>ROUND((J52+J54+J55+J56+J57),0)</f>
        <v>2415</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f>IF(L11=TRUE,L9,0)</f>
        <v>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f>IF(L63&gt;$J$58,"Fel andel",L63)</f>
        <v>0</v>
      </c>
      <c r="G63" s="181" t="s">
        <v>60</v>
      </c>
      <c r="H63" s="182"/>
      <c r="I63" s="182"/>
      <c r="J63" s="183"/>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f>IF(L70&gt;$J$58,"Fel andel",L70)</f>
        <v>0</v>
      </c>
      <c r="G70" s="181" t="s">
        <v>60</v>
      </c>
      <c r="H70" s="182"/>
      <c r="I70" s="182"/>
      <c r="J70" s="183"/>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f>IF(L75&gt;$J$58,"Fel andel",L75)</f>
        <v>0</v>
      </c>
      <c r="G75" s="181" t="str">
        <f>G70</f>
        <v>Underskrift/Datum:</v>
      </c>
      <c r="H75" s="182"/>
      <c r="I75" s="182"/>
      <c r="J75" s="183"/>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f>IF(L80&gt;$J$58,"Fel andel",L80)</f>
        <v>0</v>
      </c>
      <c r="G80" s="181" t="str">
        <f>G75</f>
        <v>Underskrift/Datum:</v>
      </c>
      <c r="H80" s="182"/>
      <c r="I80" s="182"/>
      <c r="J80" s="183"/>
      <c r="L80" s="164">
        <f>$J$58*E80</f>
        <v>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f>IF(L85&gt;$J$58,"Fel andel",L85)</f>
        <v>0</v>
      </c>
      <c r="G85" s="181" t="str">
        <f>G80</f>
        <v>Underskrift/Datum:</v>
      </c>
      <c r="H85" s="182"/>
      <c r="I85" s="182"/>
      <c r="J85" s="183"/>
      <c r="L85" s="164">
        <f>$J$58*E85</f>
        <v>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f>IF(L90&gt;$J$58,"Fel andel",L90)</f>
        <v>0</v>
      </c>
      <c r="G90" s="181" t="str">
        <f>G85</f>
        <v>Underskrift/Datum:</v>
      </c>
      <c r="H90" s="182"/>
      <c r="I90" s="182"/>
      <c r="J90" s="183"/>
      <c r="L90" s="164">
        <f>$J$58*E90</f>
        <v>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f>IF(L95&gt;$J$58,"Fel andel",L95)</f>
        <v>0</v>
      </c>
      <c r="G95" s="181" t="str">
        <f>G85</f>
        <v>Underskrift/Datum:</v>
      </c>
      <c r="H95" s="182"/>
      <c r="I95" s="182"/>
      <c r="J95" s="183"/>
      <c r="L95" s="164">
        <f>$J$58*E95</f>
        <v>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f>IF(L100&gt;$J$58,"Fel andel",L100)</f>
        <v>0</v>
      </c>
      <c r="G100" s="181" t="str">
        <f>G90</f>
        <v>Underskrift/Datum:</v>
      </c>
      <c r="H100" s="182"/>
      <c r="I100" s="182"/>
      <c r="J100" s="183"/>
      <c r="L100" s="164">
        <f>$J$58*E100</f>
        <v>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32">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42">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43">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31" t="s">
        <v>31</v>
      </c>
      <c r="B1" s="331"/>
      <c r="C1" s="330" t="s">
        <v>45</v>
      </c>
      <c r="D1" s="330"/>
      <c r="E1" s="330"/>
    </row>
    <row r="2" spans="1:10" ht="18.75" customHeight="1" x14ac:dyDescent="0.2">
      <c r="A2" s="84"/>
      <c r="B2" s="84"/>
      <c r="C2" s="80"/>
      <c r="D2" s="80"/>
      <c r="E2" s="80"/>
    </row>
    <row r="3" spans="1:10" ht="18.75" customHeight="1" x14ac:dyDescent="0.2">
      <c r="A3" s="90" t="s">
        <v>95</v>
      </c>
      <c r="B3" s="82">
        <v>48300</v>
      </c>
      <c r="C3" s="332" t="s">
        <v>93</v>
      </c>
      <c r="D3" s="332"/>
      <c r="E3" s="71">
        <f>B3*0.05</f>
        <v>2415</v>
      </c>
      <c r="G3" s="335" t="s">
        <v>81</v>
      </c>
      <c r="H3" s="335"/>
      <c r="I3" s="335"/>
    </row>
    <row r="4" spans="1:10" ht="18.75" customHeight="1" x14ac:dyDescent="0.2">
      <c r="A4" s="90" t="s">
        <v>32</v>
      </c>
      <c r="B4" s="83">
        <v>346.44</v>
      </c>
      <c r="C4" s="332" t="s">
        <v>97</v>
      </c>
      <c r="D4" s="332"/>
      <c r="E4" s="105">
        <v>330.72</v>
      </c>
      <c r="G4" s="356" t="s">
        <v>82</v>
      </c>
      <c r="H4" s="357" t="s">
        <v>103</v>
      </c>
      <c r="I4" s="358" t="s">
        <v>83</v>
      </c>
    </row>
    <row r="5" spans="1:10" ht="18.75" customHeight="1" x14ac:dyDescent="0.2">
      <c r="A5" s="90" t="s">
        <v>94</v>
      </c>
      <c r="B5" s="83">
        <v>127.2</v>
      </c>
      <c r="C5" s="332" t="s">
        <v>98</v>
      </c>
      <c r="D5" s="332"/>
      <c r="E5" s="106">
        <v>314.39999999999998</v>
      </c>
      <c r="G5" s="356"/>
      <c r="H5" s="357"/>
      <c r="I5" s="358"/>
    </row>
    <row r="6" spans="1:10" ht="18.75" customHeight="1" x14ac:dyDescent="0.2">
      <c r="A6" s="90" t="s">
        <v>10</v>
      </c>
      <c r="B6" s="82">
        <v>5000</v>
      </c>
      <c r="C6" s="332" t="s">
        <v>99</v>
      </c>
      <c r="D6" s="332"/>
      <c r="E6" s="107">
        <v>105.3</v>
      </c>
      <c r="G6" s="356"/>
      <c r="H6" s="357"/>
      <c r="I6" s="358"/>
    </row>
    <row r="7" spans="1:10" ht="18.75" customHeight="1" x14ac:dyDescent="0.2">
      <c r="A7" s="91"/>
      <c r="B7" s="78"/>
      <c r="C7" s="78"/>
      <c r="D7" s="86"/>
      <c r="E7" s="87"/>
      <c r="G7" s="356"/>
      <c r="H7" s="357"/>
      <c r="I7" s="358"/>
    </row>
    <row r="8" spans="1:10" ht="48" x14ac:dyDescent="0.2">
      <c r="A8" s="93" t="s">
        <v>80</v>
      </c>
      <c r="B8" s="79" t="s">
        <v>22</v>
      </c>
      <c r="C8" s="79" t="s">
        <v>19</v>
      </c>
      <c r="D8" s="79" t="s">
        <v>101</v>
      </c>
      <c r="E8" s="79" t="s">
        <v>102</v>
      </c>
    </row>
    <row r="9" spans="1:10" s="66" customFormat="1" ht="18.75" customHeight="1" x14ac:dyDescent="0.2">
      <c r="A9" s="342" t="s">
        <v>18</v>
      </c>
      <c r="B9" s="343"/>
      <c r="C9" s="343"/>
      <c r="D9" s="343"/>
      <c r="E9" s="344"/>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5" t="s">
        <v>20</v>
      </c>
      <c r="B11" s="346"/>
      <c r="C11" s="346"/>
      <c r="D11" s="346"/>
      <c r="E11" s="347"/>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8" t="s">
        <v>21</v>
      </c>
      <c r="B15" s="349"/>
      <c r="C15" s="349"/>
      <c r="D15" s="349"/>
      <c r="E15" s="350"/>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51" t="s">
        <v>76</v>
      </c>
      <c r="B25" s="352"/>
      <c r="C25" s="352"/>
      <c r="D25" s="352"/>
      <c r="E25" s="353"/>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6" t="s">
        <v>26</v>
      </c>
      <c r="B35" s="337"/>
      <c r="C35" s="337"/>
      <c r="D35" s="337"/>
      <c r="E35" s="338"/>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4" t="s">
        <v>30</v>
      </c>
      <c r="E41" s="355"/>
    </row>
    <row r="42" spans="1:7" s="81" customFormat="1" ht="18.75" customHeight="1" x14ac:dyDescent="0.2">
      <c r="A42" s="339" t="s">
        <v>29</v>
      </c>
      <c r="B42" s="340"/>
      <c r="C42" s="340"/>
      <c r="D42" s="340"/>
      <c r="E42" s="341"/>
      <c r="G42" s="97"/>
    </row>
    <row r="43" spans="1:7" ht="18.75" customHeight="1" x14ac:dyDescent="0.2">
      <c r="A43" s="90" t="s">
        <v>16</v>
      </c>
      <c r="B43" s="76">
        <v>9.65</v>
      </c>
      <c r="C43" s="74">
        <f>B43*($B$5/$E$6)</f>
        <v>11.656980056980057</v>
      </c>
      <c r="D43" s="333" t="s">
        <v>30</v>
      </c>
      <c r="E43" s="334"/>
    </row>
    <row r="44" spans="1:7" ht="18.75" customHeight="1" x14ac:dyDescent="0.2">
      <c r="A44" s="90" t="s">
        <v>17</v>
      </c>
      <c r="B44" s="76">
        <v>3.75</v>
      </c>
      <c r="C44" s="74">
        <f>B44*($B$5/$E$6)</f>
        <v>4.5299145299145298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Christoffer Karlsson</cp:lastModifiedBy>
  <cp:lastPrinted>2022-01-13T07:16:09Z</cp:lastPrinted>
  <dcterms:created xsi:type="dcterms:W3CDTF">2016-01-25T06:11:54Z</dcterms:created>
  <dcterms:modified xsi:type="dcterms:W3CDTF">2022-02-14T08:11:25Z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