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<sst xmlns="http://schemas.openxmlformats.org/spreadsheetml/2006/main" count="244" uniqueCount="148">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</sst>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customWidth="true" style="12" width="6.21875" collapsed="false"/>
    <col min="2" max="2" customWidth="true" style="1" width="13.21875" collapsed="false"/>
    <col min="3" max="3" customWidth="true" style="1" width="7.77734375" collapsed="false"/>
    <col min="4" max="4" customWidth="true" style="1" width="12.77734375" collapsed="false"/>
    <col min="5" max="5" customWidth="true" style="1" width="9.44140625" collapsed="false"/>
    <col min="6" max="6" customWidth="true" style="1" width="12.77734375" collapsed="false"/>
    <col min="7" max="7" customWidth="true" style="1" width="11.44140625" collapsed="false"/>
    <col min="8" max="8" customWidth="true" style="16" width="11.44140625" collapsed="false"/>
    <col min="9" max="9" customWidth="true" style="1" width="11.44140625" collapsed="false"/>
    <col min="10" max="10" customWidth="true" style="17" width="13.5546875" collapsed="false"/>
    <col min="11" max="11" customWidth="true" style="2" width="6.44140625" collapsed="false"/>
    <col min="12" max="12" customWidth="true" hidden="true" style="161" width="54.44140625" collapsed="false"/>
    <col min="13" max="13" customWidth="true" style="1" width="42.77734375" collapsed="false"/>
    <col min="14" max="16" customWidth="true" style="1" width="14.21875" collapsed="false"/>
    <col min="17" max="230" customWidth="true" style="1" width="10.21875" collapsed="false"/>
    <col min="231" max="16384" style="44" width="11.5546875" collapsed="false"/>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t="n">
        <v>12345.0</v>
      </c>
      <c r="I11" s="111" t="n">
        <v>2.0</v>
      </c>
      <c r="J11" s="57" t="n">
        <f>IF(I11=0,0,H11*($L$19+($L$19*0.25)*(I11-1)))</f>
        <v>64658.95319303337</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c r="I12" s="111"/>
      <c r="J12" s="57" t="n">
        <f>IF(I12=0,0,H12*($L$19+($L$19*0.25)*(I12-1)))</f>
        <v>0.0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t="n">
        <f>IF(I13=0,0,H13*($L$19+($L$19*0.25)*(I13-1)))</f>
        <v>0.0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t="n">
        <f>IF(I14=0,0,H14*($L$19+($L$19*0.25)*(I14-1)))</f>
        <v>0.0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t="n">
        <f>SUM(J11:J14)</f>
        <v>64658.95319303337</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0</v>
      </c>
      <c r="M17" s="172" t="str">
        <f>'DÖLJS - Ersättningstabeller'!A12</f>
        <v>Kabelskåp - Skog</v>
      </c>
      <c r="N17" s="135" t="n">
        <f>'DÖLJS - Ersättningstabeller'!C12</f>
        <v>500.0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c r="G18" s="235"/>
      <c r="H18" s="235"/>
      <c r="I18" s="115"/>
      <c r="J18" s="58" t="n">
        <f>IF(I18&gt;0,(VLOOKUP(F18,'DÖLJS - Ersättningstabeller'!$A$11:$C$34,3,FALSE))*I18,0)</f>
        <v>0.0</v>
      </c>
      <c r="K18" s="8"/>
      <c r="L18" s="151" t="s">
        <v>127</v>
      </c>
      <c r="M18" s="103" t="str">
        <f>'DÖLJS - Ersättningstabeller'!A13</f>
        <v>Kabelskåp - Jordbruksimp.</v>
      </c>
      <c r="N18" s="133" t="n">
        <f>'DÖLJS - Ersättningstabeller'!C13</f>
        <v>500.0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c r="G19" s="215"/>
      <c r="H19" s="215"/>
      <c r="I19" s="116"/>
      <c r="J19" s="57" t="n">
        <f>IF(I19&gt;0,(VLOOKUP(F19,'DÖLJS - Ersättningstabeller'!$A$11:$C$34,3,FALSE))*I19,0)</f>
        <v>0.0</v>
      </c>
      <c r="K19" s="8"/>
      <c r="L19" s="152" t="n">
        <f>'DÖLJS - Ersättningstabeller'!C10</f>
        <v>4.1901306240928875</v>
      </c>
      <c r="M19" s="136" t="str">
        <f>'DÖLJS - Ersättningstabeller'!A14</f>
        <v>Kabelskåp - Övrig mark</v>
      </c>
      <c r="N19" s="133" t="n">
        <f>'DÖLJS - Ersättningstabeller'!C14</f>
        <v>500.0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c r="G20" s="215"/>
      <c r="H20" s="215"/>
      <c r="I20" s="116"/>
      <c r="J20" s="57" t="n">
        <f>IF(I20&gt;0,(VLOOKUP(F20,'DÖLJS - Ersättningstabeller'!$A$11:$C$34,3,FALSE))*I20,0)</f>
        <v>0.0</v>
      </c>
      <c r="K20" s="31"/>
      <c r="L20" s="153" t="s">
        <v>128</v>
      </c>
      <c r="M20" s="138" t="str">
        <f>'DÖLJS - Ersättningstabeller'!A16</f>
        <v>Nätstation - Skog (yta 6 x 6 meter)</v>
      </c>
      <c r="N20" s="170" t="n">
        <f>'DÖLJS - Ersättningstabeller'!C16</f>
        <v>2400.0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c r="G21" s="216"/>
      <c r="H21" s="216"/>
      <c r="I21" s="117"/>
      <c r="J21" s="98" t="n">
        <f>IF(I21&gt;0,(VLOOKUP(F21,'DÖLJS - Ersättningstabeller'!$A$11:$C$34,3,FALSE))*I21,0)</f>
        <v>0.0</v>
      </c>
      <c r="K21" s="8"/>
      <c r="L21" s="154" t="n">
        <f>'DÖLJS - Ersättningstabeller'!C43</f>
        <v>11.656980056980057</v>
      </c>
      <c r="M21" s="138" t="str">
        <f>'DÖLJS - Ersättningstabeller'!A17</f>
        <v>Nätstation - Skog (yta 8 x 8 meter)</v>
      </c>
      <c r="N21" s="139" t="n">
        <f>'DÖLJS - Ersättningstabeller'!C17</f>
        <v>2900.0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t="n">
        <f>SUM(J18:J21)</f>
        <v>0.0</v>
      </c>
      <c r="K22" s="8"/>
      <c r="L22" s="153" t="s">
        <v>129</v>
      </c>
      <c r="M22" s="138" t="str">
        <f>'DÖLJS - Ersättningstabeller'!A18</f>
        <v>Nätstation - Skog (yta 10 x 10 meter)</v>
      </c>
      <c r="N22" s="171" t="n">
        <f>'DÖLJS - Ersättningstabeller'!C18</f>
        <v>3500.0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t="n">
        <f>'DÖLJS - Ersättningstabeller'!C44</f>
        <v>4.52991452991453</v>
      </c>
      <c r="M23" s="137" t="str">
        <f>'DÖLJS - Ersättningstabeller'!A19</f>
        <v>Nätstation - Jordbruksimp. (yta 6 x6 meter)</v>
      </c>
      <c r="N23" s="133" t="n">
        <f>'DÖLJS - Ersättningstabeller'!C19</f>
        <v>2800.0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t="n">
        <f>'DÖLJS - Ersättningstabeller'!C20</f>
        <v>3100.0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t="n">
        <f>'DÖLJS - Ersättningstabeller'!C41</f>
        <v>2834.1083969465653</v>
      </c>
      <c r="M25" s="136" t="str">
        <f>'DÖLJS - Ersättningstabeller'!A21</f>
        <v>Nätstation - Jordbruksimp. (yta 10 x 10 meter)</v>
      </c>
      <c r="N25" s="133" t="n">
        <f>'DÖLJS - Ersättningstabeller'!C21</f>
        <v>3500.0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t="n">
        <f>'DÖLJS - Ersättningstabeller'!C22</f>
        <v>2800.0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t="n">
        <f>SUM(J25:J26)</f>
        <v>0.0</v>
      </c>
      <c r="K27" s="9"/>
      <c r="L27" s="152" t="n">
        <f>'DÖLJS - Ersättningstabeller'!E3</f>
        <v>2415.0</v>
      </c>
      <c r="M27" s="138" t="str">
        <f>'DÖLJS - Ersättningstabeller'!A23</f>
        <v>Nätstation - Övrig mark (yta 8 x 8 meter)</v>
      </c>
      <c r="N27" s="139" t="n">
        <f>'DÖLJS - Ersättningstabeller'!C23</f>
        <v>3100.0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t="n">
        <f>'DÖLJS - Ersättningstabeller'!C24</f>
        <v>3500.0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t="n">
        <f>'DÖLJS - Ersättningstabeller'!B3</f>
        <v>48300.0</v>
      </c>
      <c r="M29" s="137" t="str">
        <f>'DÖLJS - Ersättningstabeller'!A26</f>
        <v>Sjökabelskylt - Skog (yta 6 x 6 meter)</v>
      </c>
      <c r="N29" s="133" t="n">
        <f>'DÖLJS - Ersättningstabeller'!C26</f>
        <v>2400.0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t="n">
        <f>'DÖLJS - Ersättningstabeller'!C27</f>
        <v>2900.0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t="n">
        <f>'DÖLJS - Ersättningstabeller'!B4</f>
        <v>346.44</v>
      </c>
      <c r="M31" s="136" t="str">
        <f>'DÖLJS - Ersättningstabeller'!A28</f>
        <v>Sjökabelskylt - Skog (yta 10 x 10 meter)</v>
      </c>
      <c r="N31" s="133" t="n">
        <f>'DÖLJS - Ersättningstabeller'!C28</f>
        <v>3500.0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t="n">
        <f>SUM(J30:J31)</f>
        <v>0.0</v>
      </c>
      <c r="K32" s="9"/>
      <c r="L32" s="151" t="s">
        <v>140</v>
      </c>
      <c r="M32" s="138" t="str">
        <f>'DÖLJS - Ersättningstabeller'!A29</f>
        <v>Sjökabelskylt - Jordbruksimp. (yta 6 x 6 meter)</v>
      </c>
      <c r="N32" s="170" t="n">
        <f>'DÖLJS - Ersättningstabeller'!C29</f>
        <v>2800.0</v>
      </c>
      <c r="O32" s="14"/>
    </row>
    <row r="33" spans="1:230" ht="15" customHeight="1" x14ac:dyDescent="0.2">
      <c r="A33" s="44"/>
      <c r="B33" s="232" t="s">
        <v>70</v>
      </c>
      <c r="C33" s="233"/>
      <c r="D33" s="233"/>
      <c r="E33" s="233"/>
      <c r="F33" s="233"/>
      <c r="G33" s="233"/>
      <c r="H33" s="233"/>
      <c r="I33" s="233"/>
      <c r="J33" s="234"/>
      <c r="K33" s="9"/>
      <c r="L33" s="152" t="n">
        <f>'DÖLJS - Ersättningstabeller'!B6</f>
        <v>5000.0</v>
      </c>
      <c r="M33" s="138" t="str">
        <f>'DÖLJS - Ersättningstabeller'!A30</f>
        <v>Sjökabelskylt - Jordbruksimp. (yta 8 x 8 meter)</v>
      </c>
      <c r="N33" s="139" t="n">
        <f>'DÖLJS - Ersättningstabeller'!C30</f>
        <v>3100.0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t="n">
        <f>'DÖLJS - Ersättningstabeller'!C31</f>
        <v>3500.0</v>
      </c>
      <c r="O34" s="14"/>
    </row>
    <row r="35" spans="1:230" ht="12" customHeight="1" x14ac:dyDescent="0.25">
      <c r="A35" s="44"/>
      <c r="B35" s="251" t="s">
        <v>38</v>
      </c>
      <c r="C35" s="252"/>
      <c r="D35" s="252"/>
      <c r="E35" s="253"/>
      <c r="F35" s="241"/>
      <c r="G35" s="242"/>
      <c r="H35" s="254" t="s">
        <v>71</v>
      </c>
      <c r="I35" s="255"/>
      <c r="J35" s="256"/>
      <c r="K35" s="9"/>
      <c r="L35" s="152" t="n">
        <f>J15+J22+(J27*0.66)+J32+J40+J47+F35</f>
        <v>64658.95319303337</v>
      </c>
      <c r="M35" s="137" t="str">
        <f>'DÖLJS - Ersättningstabeller'!A32</f>
        <v>Sjökabelskylt - Övrig mark (yta 6 x 6 meter)</v>
      </c>
      <c r="N35" s="133" t="n">
        <f>'DÖLJS - Ersättningstabeller'!C32</f>
        <v>2800.0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t="n">
        <f>'DÖLJS - Ersättningstabeller'!C33</f>
        <v>3100.0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t="n">
        <f>J15+J22+(J27*0.66)+J32+J40+J47+J55</f>
        <v>80823.95319303338</v>
      </c>
      <c r="M37" s="104" t="str">
        <f>'DÖLJS - Ersättningstabeller'!A34</f>
        <v>Sjökabelskylt - Övrig mark (yta 10 x 10 meter)</v>
      </c>
      <c r="N37" s="134" t="n">
        <f>'DÖLJS - Ersättningstabeller'!C34</f>
        <v>3500.0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t="n">
        <f>J15+J22+J27+J32+J40+J47+J52+J55+J56</f>
        <v>90483.95319303338</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t="n">
        <f>SUM(J37:J39)</f>
        <v>0.0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t="n">
        <f>IF(L29*0.2&gt;L37*0.2,L37*0.2,L29*0.2)</f>
        <v>9660.0</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c r="G42" s="324"/>
      <c r="H42" s="41" t="s">
        <v>6</v>
      </c>
      <c r="I42" s="42" t="s">
        <v>7</v>
      </c>
      <c r="J42" s="50" t="s">
        <v>3</v>
      </c>
      <c r="K42" s="12"/>
      <c r="L42" s="159" t="s">
        <v>137</v>
      </c>
      <c r="M42" s="51" t="s">
        <v>11</v>
      </c>
      <c r="N42" s="52" t="n">
        <f>'DÖLJS - Ersättningstabeller'!C36</f>
        <v>2.5454083969465655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c r="I43" s="120"/>
      <c r="J43" s="57" t="n">
        <f>IF($F$42&lt;&gt;0,H43*I43*VLOOKUP($F$42,'DÖLJS - Ersättningstabeller'!$A$36:$G$40,3,FALSE),0)</f>
        <v>0.0</v>
      </c>
      <c r="K43" s="12"/>
      <c r="L43" s="152" t="n">
        <f>IF(L37*0.2&lt;L29*0.2,IF(L37&lt;5000,L25,L37*0.2),L29*0.2)</f>
        <v>9660.0</v>
      </c>
      <c r="M43" s="142" t="s">
        <v>12</v>
      </c>
      <c r="N43" s="143" t="n">
        <f>'DÖLJS - Ersättningstabeller'!C37</f>
        <v>3.118400763358779</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c r="I44" s="120"/>
      <c r="J44" s="57" t="n">
        <f>IF($F$42&lt;&gt;0,H44*I44*VLOOKUP($F$42,'DÖLJS - Ersättningstabeller'!$A$36:$G$40,3,FALSE),0)</f>
        <v>0.0</v>
      </c>
      <c r="K44" s="12"/>
      <c r="L44" s="160" t="s">
        <v>138</v>
      </c>
      <c r="M44" s="53" t="s">
        <v>13</v>
      </c>
      <c r="N44" s="54" t="n">
        <f>'DÖLJS - Ersättningstabeller'!C38</f>
        <v>3.5922213740458018</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c r="I45" s="120"/>
      <c r="J45" s="57" t="n">
        <f>IF($F$42&lt;&gt;0,H45*I45*VLOOKUP($F$42,'DÖLJS - Ersättningstabeller'!$A$36:$G$40,3,FALSE),0)</f>
        <v>0.0</v>
      </c>
      <c r="K45" s="12"/>
      <c r="L45" s="152" t="n">
        <f>IF(L13=FALSE,L25,L43)</f>
        <v>2834.1083969465653</v>
      </c>
      <c r="M45" s="142" t="s">
        <v>14</v>
      </c>
      <c r="N45" s="143" t="n">
        <f>'DÖLJS - Ersättningstabeller'!C39</f>
        <v>4.5729198473282455</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c r="I46" s="121"/>
      <c r="J46" s="98" t="n">
        <f>IF($F$42&lt;&gt;0,H46*I46*VLOOKUP($F$42,'DÖLJS - Ersättningstabeller'!$A$36:$G$40,3,FALSE),0)</f>
        <v>0.0</v>
      </c>
      <c r="K46" s="12"/>
      <c r="L46" s="159" t="s">
        <v>139</v>
      </c>
      <c r="M46" s="55" t="s">
        <v>15</v>
      </c>
      <c r="N46" s="56" t="n">
        <f>'DÖLJS - Ersättningstabeller'!C40</f>
        <v>4.73820610687023</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t="n">
        <f>SUM(J43:J46)</f>
        <v>0.0</v>
      </c>
      <c r="K47" s="12"/>
      <c r="L47" s="152" t="n">
        <f>IF(L17=FALSE,L45,L33)</f>
        <v>2834.1083969465653</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c r="I50" s="123"/>
      <c r="J50" s="59" t="n">
        <f>IF(H50&gt;0,VLOOKUP(I50,'DÖLJS - Ersättningstabeller'!$A$43:$E$44,3,FALSE)*H50,0)</f>
        <v>0.0</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c r="I51" s="125"/>
      <c r="J51" s="100" t="n">
        <f>IF(H51&gt;0,VLOOKUP(I51,'DÖLJS - Ersättningstabeller'!$A$43:$E$44,3,FALSE)*H51,0)</f>
        <v>0.0</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t="n">
        <f>J50+J51</f>
        <v>0.0</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t="n">
        <f>J15+J22+(J27*0.66)+J32+(F35*0.25)+J40+J47+J52</f>
        <v>64658.95319303337</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t="n">
        <f>ROUND((J15+J22+J27+J32+J40+J47),0)</f>
        <v>64659.0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t="n">
        <f>ROUND((L35*0.25),0)</f>
        <v>16165.0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t="n">
        <f>ROUND(IF(L13=TRUE,L43,L41),0)</f>
        <v>9660.0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Grundersättning vid överenskommelse:</v>
      </c>
      <c r="C57" s="246"/>
      <c r="D57" s="246"/>
      <c r="E57" s="246"/>
      <c r="F57" s="246"/>
      <c r="G57" s="246"/>
      <c r="H57" s="246"/>
      <c r="I57" s="246"/>
      <c r="J57" s="109" t="n">
        <f>IF(L15=TRUE,0,IF(L17=TRUE,IF(L47-L39&gt;0,L47-L39,0),IF(L13=TRUE,0,L27)))</f>
        <v>2415.0</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t="n">
        <f>ROUND((J52+J54+J55+J56+J57),0)</f>
        <v>92899.0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n">
        <f>IF(L11=TRUE,L9,0)</f>
        <v>0.0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t="n">
        <f>IF(L63&gt;$J$58,"Fel andel",L63)</f>
        <v>0.0</v>
      </c>
      <c r="G63" s="181" t="s">
        <v>60</v>
      </c>
      <c r="H63" s="182"/>
      <c r="I63" s="182"/>
      <c r="J63" s="183"/>
      <c r="K63" s="28"/>
      <c r="L63" s="164" t="n">
        <f>$J$58*E63</f>
        <v>0.0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t="n">
        <f>IF(L70&gt;$J$58,"Fel andel",L70)</f>
        <v>0.0</v>
      </c>
      <c r="G70" s="181" t="s">
        <v>60</v>
      </c>
      <c r="H70" s="182"/>
      <c r="I70" s="182"/>
      <c r="J70" s="183"/>
      <c r="K70" s="28"/>
      <c r="L70" s="164" t="n">
        <f>$J$58*E70</f>
        <v>0.0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t="n">
        <f>IF(L75&gt;$J$58,"Fel andel",L75)</f>
        <v>0.0</v>
      </c>
      <c r="G75" s="181" t="str">
        <f>G70</f>
        <v>Underskrift/Datum:</v>
      </c>
      <c r="H75" s="182"/>
      <c r="I75" s="182"/>
      <c r="J75" s="183"/>
      <c r="K75" s="28"/>
      <c r="L75" s="164" t="n">
        <f>$J$58*E75</f>
        <v>0.0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t="n">
        <f>IF(L80&gt;$J$58,"Fel andel",L80)</f>
        <v>0.0</v>
      </c>
      <c r="G80" s="181" t="str">
        <f>G75</f>
        <v>Underskrift/Datum:</v>
      </c>
      <c r="H80" s="182"/>
      <c r="I80" s="182"/>
      <c r="J80" s="183"/>
      <c r="L80" s="164" t="n">
        <f>$J$58*E80</f>
        <v>0.0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t="n">
        <f>IF(L85&gt;$J$58,"Fel andel",L85)</f>
        <v>0.0</v>
      </c>
      <c r="G85" s="181" t="str">
        <f>G80</f>
        <v>Underskrift/Datum:</v>
      </c>
      <c r="H85" s="182"/>
      <c r="I85" s="182"/>
      <c r="J85" s="183"/>
      <c r="L85" s="164" t="n">
        <f>$J$58*E85</f>
        <v>0.0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t="n">
        <f>IF(L90&gt;$J$58,"Fel andel",L90)</f>
        <v>0.0</v>
      </c>
      <c r="G90" s="181" t="str">
        <f>G85</f>
        <v>Underskrift/Datum:</v>
      </c>
      <c r="H90" s="182"/>
      <c r="I90" s="182"/>
      <c r="J90" s="183"/>
      <c r="L90" s="164" t="n">
        <f>$J$58*E90</f>
        <v>0.0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t="n">
        <f>IF(L95&gt;$J$58,"Fel andel",L95)</f>
        <v>0.0</v>
      </c>
      <c r="G95" s="181" t="str">
        <f>G85</f>
        <v>Underskrift/Datum:</v>
      </c>
      <c r="H95" s="182"/>
      <c r="I95" s="182"/>
      <c r="J95" s="183"/>
      <c r="L95" s="164" t="n">
        <f>$J$58*E95</f>
        <v>0.0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t="n">
        <f>IF(L100&gt;$J$58,"Fel andel",L100)</f>
        <v>0.0</v>
      </c>
      <c r="G100" s="181" t="str">
        <f>G90</f>
        <v>Underskrift/Datum:</v>
      </c>
      <c r="H100" s="182"/>
      <c r="I100" s="182"/>
      <c r="J100" s="183"/>
      <c r="L100" s="164" t="n">
        <f>$J$58*E100</f>
        <v>0.0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customWidth="true" style="23" width="32.44140625" collapsed="false"/>
    <col min="2" max="4" customWidth="true" width="21.44140625" collapsed="false"/>
    <col min="5" max="5" customWidth="true" width="38.44140625" collapsed="false"/>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bestFit="true" customWidth="true" style="92" width="40.44140625" collapsed="false"/>
    <col min="2" max="2" customWidth="true" style="65" width="17.77734375" collapsed="false"/>
    <col min="3" max="3" customWidth="true" style="77" width="17.77734375" collapsed="false"/>
    <col min="4" max="5" customWidth="true" style="65" width="17.77734375" collapsed="false"/>
    <col min="6" max="6" customWidth="true" style="65" width="5.44140625" collapsed="false"/>
    <col min="7" max="7" customWidth="true" style="94" width="24.21875" collapsed="false"/>
    <col min="8" max="8" customWidth="true" style="65" width="24.21875" collapsed="false"/>
    <col min="9" max="16384" style="65" width="21.44140625" collapsed="false"/>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t="n">
        <f>B3*0.05</f>
        <v>2415.0</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t="n">
        <f>B10*($B$4/$E$4)</f>
        <v>4.1901306240928875</v>
      </c>
      <c r="D10" s="69" t="n">
        <f>C10*1.25</f>
        <v>5.237663280116109</v>
      </c>
      <c r="E10" s="69" t="n">
        <f>D10*1.2</f>
        <v>6.285195936139331</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t="n">
        <f>ROUND(B12*($B$4/$E$4),-2)</f>
        <v>500.0</v>
      </c>
      <c r="D12" s="72" t="n">
        <f>C12*1.25</f>
        <v>625.0</v>
      </c>
      <c r="E12" s="72" t="n">
        <f t="shared" ref="E12:E13" si="0">D12*1.2</f>
        <v>750.0</v>
      </c>
      <c r="G12" s="96"/>
      <c r="H12" s="85"/>
      <c r="I12" s="85"/>
      <c r="J12" s="85"/>
    </row>
    <row r="13" spans="1:10" ht="18.75" customHeight="1" x14ac:dyDescent="0.25">
      <c r="A13" s="90" t="s">
        <v>78</v>
      </c>
      <c r="B13" s="70">
        <v>500</v>
      </c>
      <c r="C13" s="71" t="n">
        <f t="shared" ref="C13:C14" si="1">ROUND(B13*($B$4/$E$4),-2)</f>
        <v>500.0</v>
      </c>
      <c r="D13" s="72" t="n">
        <f>C13*1.25</f>
        <v>625.0</v>
      </c>
      <c r="E13" s="72" t="n">
        <f t="shared" si="0"/>
        <v>750.0</v>
      </c>
      <c r="G13" s="96"/>
      <c r="H13" s="85"/>
      <c r="I13" s="85"/>
      <c r="J13" s="85"/>
    </row>
    <row r="14" spans="1:10" ht="18.75" customHeight="1" x14ac:dyDescent="0.25">
      <c r="A14" s="90" t="s">
        <v>77</v>
      </c>
      <c r="B14" s="70">
        <v>500</v>
      </c>
      <c r="C14" s="71" t="n">
        <f t="shared" si="1"/>
        <v>500.0</v>
      </c>
      <c r="D14" s="72" t="n">
        <f>C14*1.25</f>
        <v>625.0</v>
      </c>
      <c r="E14" s="72" t="n">
        <f t="shared" ref="E14" si="2">D14*1.2</f>
        <v>750.0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t="n">
        <f>ROUND(B16*($B$4/$E$4),-2)</f>
        <v>2400.0</v>
      </c>
      <c r="D16" s="72" t="n">
        <f>C16*1.25</f>
        <v>3000.0</v>
      </c>
      <c r="E16" s="72" t="n">
        <f>D16*1.2</f>
        <v>3600.0</v>
      </c>
      <c r="G16" s="96"/>
      <c r="H16" s="85"/>
      <c r="I16" s="85"/>
      <c r="J16" s="85"/>
    </row>
    <row r="17" spans="1:10" ht="18.75" customHeight="1" x14ac:dyDescent="0.25">
      <c r="A17" s="90" t="s">
        <v>89</v>
      </c>
      <c r="B17" s="70">
        <v>2800</v>
      </c>
      <c r="C17" s="71" t="n">
        <f t="shared" ref="C17:C34" si="3">ROUND(B17*($B$4/$E$4),-2)</f>
        <v>2900.0</v>
      </c>
      <c r="D17" s="72" t="n">
        <f t="shared" ref="D17:D22" si="4">C17*1.25</f>
        <v>3625.0</v>
      </c>
      <c r="E17" s="72" t="n">
        <f t="shared" ref="E17:E22" si="5">D17*1.2</f>
        <v>4350.0</v>
      </c>
      <c r="G17" s="96"/>
      <c r="H17" s="85"/>
      <c r="I17" s="85"/>
      <c r="J17" s="85"/>
    </row>
    <row r="18" spans="1:10" ht="18.75" customHeight="1" x14ac:dyDescent="0.25">
      <c r="A18" s="90" t="s">
        <v>88</v>
      </c>
      <c r="B18" s="70">
        <v>3300</v>
      </c>
      <c r="C18" s="71" t="n">
        <f t="shared" si="3"/>
        <v>3500.0</v>
      </c>
      <c r="D18" s="72" t="n">
        <f t="shared" si="4"/>
        <v>4375.0</v>
      </c>
      <c r="E18" s="72" t="n">
        <f t="shared" si="5"/>
        <v>5250.0</v>
      </c>
      <c r="G18" s="96"/>
      <c r="H18" s="85"/>
      <c r="I18" s="85"/>
      <c r="J18" s="85"/>
    </row>
    <row r="19" spans="1:10" ht="18.75" customHeight="1" x14ac:dyDescent="0.25">
      <c r="A19" s="90" t="s">
        <v>87</v>
      </c>
      <c r="B19" s="70">
        <v>2700</v>
      </c>
      <c r="C19" s="71" t="n">
        <f t="shared" si="3"/>
        <v>2800.0</v>
      </c>
      <c r="D19" s="72" t="n">
        <f t="shared" si="4"/>
        <v>3500.0</v>
      </c>
      <c r="E19" s="72" t="n">
        <f t="shared" si="5"/>
        <v>4200.0</v>
      </c>
      <c r="G19" s="96"/>
      <c r="H19" s="85"/>
      <c r="I19" s="85"/>
      <c r="J19" s="85"/>
    </row>
    <row r="20" spans="1:10" ht="18.75" customHeight="1" x14ac:dyDescent="0.25">
      <c r="A20" s="90" t="s">
        <v>86</v>
      </c>
      <c r="B20" s="70">
        <v>3000</v>
      </c>
      <c r="C20" s="71" t="n">
        <f t="shared" si="3"/>
        <v>3100.0</v>
      </c>
      <c r="D20" s="72" t="n">
        <f t="shared" si="4"/>
        <v>3875.0</v>
      </c>
      <c r="E20" s="72" t="n">
        <f t="shared" si="5"/>
        <v>4650.0</v>
      </c>
      <c r="G20" s="96"/>
      <c r="H20" s="86"/>
      <c r="I20" s="87"/>
      <c r="J20" s="85"/>
    </row>
    <row r="21" spans="1:10" ht="18.75" customHeight="1" x14ac:dyDescent="0.25">
      <c r="A21" s="90" t="s">
        <v>85</v>
      </c>
      <c r="B21" s="70">
        <v>3300</v>
      </c>
      <c r="C21" s="71" t="n">
        <f t="shared" si="3"/>
        <v>3500.0</v>
      </c>
      <c r="D21" s="72" t="n">
        <f t="shared" si="4"/>
        <v>4375.0</v>
      </c>
      <c r="E21" s="72" t="n">
        <f t="shared" si="5"/>
        <v>5250.0</v>
      </c>
      <c r="G21" s="96"/>
      <c r="H21" s="86"/>
      <c r="I21" s="87"/>
      <c r="J21" s="85"/>
    </row>
    <row r="22" spans="1:10" ht="18.75" customHeight="1" x14ac:dyDescent="0.25">
      <c r="A22" s="90" t="s">
        <v>84</v>
      </c>
      <c r="B22" s="70">
        <v>2700</v>
      </c>
      <c r="C22" s="71" t="n">
        <f t="shared" si="3"/>
        <v>2800.0</v>
      </c>
      <c r="D22" s="72" t="n">
        <f t="shared" si="4"/>
        <v>3500.0</v>
      </c>
      <c r="E22" s="72" t="n">
        <f t="shared" si="5"/>
        <v>4200.0</v>
      </c>
      <c r="G22" s="96"/>
      <c r="H22" s="86"/>
      <c r="I22" s="87"/>
      <c r="J22" s="85"/>
    </row>
    <row r="23" spans="1:10" ht="18.75" customHeight="1" x14ac:dyDescent="0.25">
      <c r="A23" s="90" t="s">
        <v>91</v>
      </c>
      <c r="B23" s="70">
        <v>3000</v>
      </c>
      <c r="C23" s="71" t="n">
        <f t="shared" si="3"/>
        <v>3100.0</v>
      </c>
      <c r="D23" s="72" t="n">
        <f>C23*1.25</f>
        <v>3875.0</v>
      </c>
      <c r="E23" s="72" t="n">
        <f>D23*1.2</f>
        <v>4650.0</v>
      </c>
      <c r="G23" s="96"/>
      <c r="H23" s="85"/>
      <c r="I23" s="85"/>
      <c r="J23" s="85"/>
    </row>
    <row r="24" spans="1:10" ht="18.75" customHeight="1" x14ac:dyDescent="0.25">
      <c r="A24" s="90" t="s">
        <v>92</v>
      </c>
      <c r="B24" s="70">
        <v>3300</v>
      </c>
      <c r="C24" s="71" t="n">
        <f t="shared" si="3"/>
        <v>3500.0</v>
      </c>
      <c r="D24" s="72" t="n">
        <f>C24*1.25</f>
        <v>4375.0</v>
      </c>
      <c r="E24" s="72" t="n">
        <f>D24*1.2</f>
        <v>5250.0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t="n">
        <f t="shared" ref="C26:C28" si="6">ROUND(B26*($B$4/$E$4),-2)</f>
        <v>2400.0</v>
      </c>
      <c r="D26" s="72" t="n">
        <f>C26*1.25</f>
        <v>3000.0</v>
      </c>
      <c r="E26" s="72" t="n">
        <f>D26*1.2</f>
        <v>3600.0</v>
      </c>
      <c r="G26" s="95"/>
      <c r="H26" s="89"/>
      <c r="I26" s="89"/>
      <c r="J26" s="89"/>
    </row>
    <row r="27" spans="1:10" s="81" customFormat="1" ht="18.75" customHeight="1" x14ac:dyDescent="0.25">
      <c r="A27" s="90" t="s">
        <v>112</v>
      </c>
      <c r="B27" s="70">
        <v>2800</v>
      </c>
      <c r="C27" s="71" t="n">
        <f t="shared" si="6"/>
        <v>2900.0</v>
      </c>
      <c r="D27" s="72" t="n">
        <f t="shared" ref="D27:D28" si="7">C27*1.25</f>
        <v>3625.0</v>
      </c>
      <c r="E27" s="72" t="n">
        <f t="shared" ref="E27:E34" si="8">D27*1.2</f>
        <v>4350.0</v>
      </c>
      <c r="G27" s="95"/>
      <c r="H27" s="89"/>
      <c r="I27" s="89"/>
      <c r="J27" s="89"/>
    </row>
    <row r="28" spans="1:10" s="81" customFormat="1" ht="18.75" customHeight="1" x14ac:dyDescent="0.25">
      <c r="A28" s="132" t="s">
        <v>111</v>
      </c>
      <c r="B28" s="70">
        <v>3300</v>
      </c>
      <c r="C28" s="71" t="n">
        <f t="shared" si="6"/>
        <v>3500.0</v>
      </c>
      <c r="D28" s="72" t="n">
        <f t="shared" si="7"/>
        <v>4375.0</v>
      </c>
      <c r="E28" s="72" t="n">
        <f t="shared" si="8"/>
        <v>5250.0</v>
      </c>
      <c r="G28" s="95"/>
      <c r="H28" s="89"/>
      <c r="I28" s="89"/>
      <c r="J28" s="89"/>
    </row>
    <row r="29" spans="1:10" s="81" customFormat="1" ht="18.75" customHeight="1" x14ac:dyDescent="0.25">
      <c r="A29" s="132" t="s">
        <v>105</v>
      </c>
      <c r="B29" s="70">
        <v>2700</v>
      </c>
      <c r="C29" s="71" t="n">
        <f t="shared" ref="C29:C31" si="9">ROUND(B29*($B$4/$E$4),-2)</f>
        <v>2800.0</v>
      </c>
      <c r="D29" s="72" t="n">
        <f t="shared" ref="D29:D31" si="10">C29*1.25</f>
        <v>3500.0</v>
      </c>
      <c r="E29" s="72" t="n">
        <f t="shared" si="8"/>
        <v>4200.0</v>
      </c>
      <c r="G29" s="95"/>
      <c r="H29" s="89"/>
      <c r="I29" s="89"/>
      <c r="J29" s="89"/>
    </row>
    <row r="30" spans="1:10" s="81" customFormat="1" ht="18.75" customHeight="1" x14ac:dyDescent="0.25">
      <c r="A30" s="90" t="s">
        <v>110</v>
      </c>
      <c r="B30" s="70">
        <v>3000</v>
      </c>
      <c r="C30" s="71" t="n">
        <f t="shared" si="9"/>
        <v>3100.0</v>
      </c>
      <c r="D30" s="72" t="n">
        <f t="shared" si="10"/>
        <v>3875.0</v>
      </c>
      <c r="E30" s="72" t="n">
        <f t="shared" si="8"/>
        <v>4650.0</v>
      </c>
      <c r="G30" s="95"/>
      <c r="H30" s="89"/>
      <c r="I30" s="89"/>
      <c r="J30" s="89"/>
    </row>
    <row r="31" spans="1:10" s="81" customFormat="1" ht="18.75" customHeight="1" x14ac:dyDescent="0.25">
      <c r="A31" s="132" t="s">
        <v>109</v>
      </c>
      <c r="B31" s="70">
        <v>3300</v>
      </c>
      <c r="C31" s="71" t="n">
        <f t="shared" si="9"/>
        <v>3500.0</v>
      </c>
      <c r="D31" s="72" t="n">
        <f t="shared" si="10"/>
        <v>4375.0</v>
      </c>
      <c r="E31" s="72" t="n">
        <f t="shared" si="8"/>
        <v>5250.0</v>
      </c>
      <c r="G31" s="95"/>
      <c r="H31" s="89"/>
      <c r="I31" s="89"/>
      <c r="J31" s="89"/>
    </row>
    <row r="32" spans="1:10" ht="18.75" customHeight="1" x14ac:dyDescent="0.25">
      <c r="A32" s="132" t="s">
        <v>106</v>
      </c>
      <c r="B32" s="70">
        <v>2700</v>
      </c>
      <c r="C32" s="71" t="n">
        <f t="shared" si="3"/>
        <v>2800.0</v>
      </c>
      <c r="D32" s="72" t="n">
        <f>C32*1.25</f>
        <v>3500.0</v>
      </c>
      <c r="E32" s="72" t="n">
        <f t="shared" si="8"/>
        <v>4200.0</v>
      </c>
    </row>
    <row r="33" spans="1:7" ht="18.75" customHeight="1" x14ac:dyDescent="0.25">
      <c r="A33" s="132" t="s">
        <v>108</v>
      </c>
      <c r="B33" s="70">
        <v>3000</v>
      </c>
      <c r="C33" s="71" t="n">
        <f t="shared" si="3"/>
        <v>3100.0</v>
      </c>
      <c r="D33" s="72" t="n">
        <f t="shared" ref="D33" si="11">C33*1.25</f>
        <v>3875.0</v>
      </c>
      <c r="E33" s="72" t="n">
        <f t="shared" si="8"/>
        <v>4650.0</v>
      </c>
    </row>
    <row r="34" spans="1:7" ht="18.75" customHeight="1" x14ac:dyDescent="0.25">
      <c r="A34" s="90" t="s">
        <v>107</v>
      </c>
      <c r="B34" s="70">
        <v>3300</v>
      </c>
      <c r="C34" s="71" t="n">
        <f t="shared" si="3"/>
        <v>3500.0</v>
      </c>
      <c r="D34" s="72" t="n">
        <f t="shared" ref="D34" si="12">C34*1.25</f>
        <v>4375.0</v>
      </c>
      <c r="E34" s="72" t="n">
        <f t="shared" si="8"/>
        <v>5250.0</v>
      </c>
    </row>
    <row r="35" spans="1:7" s="81" customFormat="1" ht="18.75" customHeight="1" x14ac:dyDescent="0.25">
      <c r="A35" s="336" t="s">
        <v>26</v>
      </c>
      <c r="B35" s="337"/>
      <c r="C35" s="337"/>
      <c r="D35" s="337"/>
      <c r="E35" s="338"/>
      <c r="G35" s="97"/>
    </row>
    <row r="36" spans="1:7" ht="18.75" customHeight="1" x14ac:dyDescent="0.25">
      <c r="A36" s="90" t="s">
        <v>27</v>
      </c>
      <c r="B36" s="73">
        <v>2.31</v>
      </c>
      <c r="C36" s="74" t="n">
        <f>B36*($B$4/$E$5)</f>
        <v>2.5454083969465655</v>
      </c>
      <c r="D36" s="69" t="n">
        <f>C36*1.25</f>
        <v>3.181760496183207</v>
      </c>
      <c r="E36" s="69" t="n">
        <f>D36*1.2</f>
        <v>3.8181125954198483</v>
      </c>
    </row>
    <row r="37" spans="1:7" ht="18.75" customHeight="1" x14ac:dyDescent="0.25">
      <c r="A37" s="90" t="s">
        <v>28</v>
      </c>
      <c r="B37" s="73">
        <v>2.83</v>
      </c>
      <c r="C37" s="74" t="n">
        <f t="shared" ref="C37:C41" si="13">B37*($B$4/$E$5)</f>
        <v>3.118400763358779</v>
      </c>
      <c r="D37" s="69" t="n">
        <f>C37*1.25</f>
        <v>3.8980009541984737</v>
      </c>
      <c r="E37" s="69" t="n">
        <f t="shared" ref="E37:E40" si="14">D37*1.2</f>
        <v>4.677601145038168</v>
      </c>
    </row>
    <row r="38" spans="1:7" ht="18.75" customHeight="1" x14ac:dyDescent="0.25">
      <c r="A38" s="90" t="s">
        <v>13</v>
      </c>
      <c r="B38" s="73">
        <v>3.26</v>
      </c>
      <c r="C38" s="74" t="n">
        <f t="shared" si="13"/>
        <v>3.5922213740458018</v>
      </c>
      <c r="D38" s="69" t="n">
        <f>C38*1.25</f>
        <v>4.490276717557252</v>
      </c>
      <c r="E38" s="69" t="n">
        <f t="shared" si="14"/>
        <v>5.388332061068703</v>
      </c>
    </row>
    <row r="39" spans="1:7" ht="18.75" customHeight="1" x14ac:dyDescent="0.25">
      <c r="A39" s="90" t="s">
        <v>14</v>
      </c>
      <c r="B39" s="73">
        <v>4.1500000000000004</v>
      </c>
      <c r="C39" s="74" t="n">
        <f t="shared" si="13"/>
        <v>4.5729198473282455</v>
      </c>
      <c r="D39" s="69" t="n">
        <f>C39*1.25</f>
        <v>5.7161498091603065</v>
      </c>
      <c r="E39" s="69" t="n">
        <f t="shared" si="14"/>
        <v>6.859379770992367</v>
      </c>
    </row>
    <row r="40" spans="1:7" ht="18.75" customHeight="1" x14ac:dyDescent="0.25">
      <c r="A40" s="90" t="s">
        <v>15</v>
      </c>
      <c r="B40" s="73">
        <v>4.3</v>
      </c>
      <c r="C40" s="74" t="n">
        <f t="shared" si="13"/>
        <v>4.73820610687023</v>
      </c>
      <c r="D40" s="69" t="n">
        <f>C40*1.25</f>
        <v>5.922757633587787</v>
      </c>
      <c r="E40" s="69" t="n">
        <f t="shared" si="14"/>
        <v>7.107309160305345</v>
      </c>
    </row>
    <row r="41" spans="1:7" ht="18.75" customHeight="1" x14ac:dyDescent="0.25">
      <c r="A41" s="90" t="s">
        <v>43</v>
      </c>
      <c r="B41" s="75">
        <v>2572</v>
      </c>
      <c r="C41" s="71" t="n">
        <f t="shared" si="13"/>
        <v>2834.1083969465653</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t="n">
        <f>B43*($B$5/$E$6)</f>
        <v>11.656980056980057</v>
      </c>
      <c r="D43" s="333" t="s">
        <v>30</v>
      </c>
      <c r="E43" s="334"/>
    </row>
    <row r="44" spans="1:7" ht="18.75" customHeight="1" x14ac:dyDescent="0.25">
      <c r="A44" s="90" t="s">
        <v>17</v>
      </c>
      <c r="B44" s="76">
        <v>3.75</v>
      </c>
      <c r="C44" s="74" t="n">
        <f>B44*($B$5/$E$6)</f>
        <v>4.52991452991453</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Markkoll</dc:creator>
  <cp:lastModifiedBy>Markkoll</cp:lastModifiedBy>
  <cp:lastPrinted>2022-01-13T07:16:09Z</cp:lastPrinted>
  <dcterms:modified xsi:type="dcterms:W3CDTF">2022-01-14T05:32:52Z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