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showObjects="none"/>
  <mc:AlternateContent xmlns:mc="http://schemas.openxmlformats.org/markup-compatibility/2006">
    <mc:Choice Requires="x15">
      <x15ac:absPath xmlns:x15ac="http://schemas.microsoft.com/office/spreadsheetml/2010/11/ac" url="/Users/debdeeppaul/Documents/Procurement/PIDSG26/pricesaa/"/>
    </mc:Choice>
  </mc:AlternateContent>
  <xr:revisionPtr revIDLastSave="0" documentId="13_ncr:1_{19F51B75-298F-1649-BAFF-CBDACD8C4405}" xr6:coauthVersionLast="47" xr6:coauthVersionMax="47" xr10:uidLastSave="{00000000-0000-0000-0000-000000000000}"/>
  <bookViews>
    <workbookView xWindow="3400" yWindow="4400" windowWidth="24180" windowHeight="11780" tabRatio="500" activeTab="9" xr2:uid="{00000000-000D-0000-FFFF-FFFF00000000}"/>
  </bookViews>
  <sheets>
    <sheet name="from_alvin" sheetId="1" r:id="rId1"/>
    <sheet name="24" sheetId="2" r:id="rId2"/>
    <sheet name="25" sheetId="3" r:id="rId3"/>
    <sheet name="rough" sheetId="4" r:id="rId4"/>
    <sheet name="Eval04" sheetId="5" r:id="rId5"/>
    <sheet name="Eval07" sheetId="7" r:id="rId6"/>
    <sheet name="Eval08" sheetId="9" r:id="rId7"/>
    <sheet name="Eval08Stor" sheetId="11" r:id="rId8"/>
    <sheet name="Eval07Clean" sheetId="8" r:id="rId9"/>
    <sheet name="Eval08Clean" sheetId="10" r:id="rId10"/>
    <sheet name="Cum-benefit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1" i="12" l="1"/>
  <c r="H11" i="12"/>
  <c r="G11" i="12"/>
  <c r="F11" i="12"/>
  <c r="I10" i="12"/>
  <c r="H10" i="12"/>
  <c r="G10" i="12"/>
  <c r="F10" i="12"/>
  <c r="I9" i="12"/>
  <c r="H9" i="12"/>
  <c r="G9" i="12"/>
  <c r="F9" i="12"/>
  <c r="I8" i="12"/>
  <c r="H8" i="12"/>
  <c r="G8" i="12"/>
  <c r="F8" i="12"/>
  <c r="J8" i="12" s="1"/>
  <c r="F3" i="12"/>
  <c r="G3" i="12"/>
  <c r="H3" i="12"/>
  <c r="I3" i="12"/>
  <c r="F4" i="12"/>
  <c r="G4" i="12"/>
  <c r="H4" i="12"/>
  <c r="I4" i="12"/>
  <c r="F5" i="12"/>
  <c r="G5" i="12"/>
  <c r="J5" i="12" s="1"/>
  <c r="H5" i="12"/>
  <c r="I5" i="12"/>
  <c r="F6" i="12"/>
  <c r="G6" i="12"/>
  <c r="H6" i="12"/>
  <c r="I6" i="12"/>
  <c r="N9" i="5"/>
  <c r="Q53" i="11"/>
  <c r="P53" i="11"/>
  <c r="R53" i="11"/>
  <c r="R52" i="11"/>
  <c r="Q52" i="11"/>
  <c r="R51" i="11"/>
  <c r="Q51" i="11"/>
  <c r="R47" i="11"/>
  <c r="Q47" i="11"/>
  <c r="P47" i="11"/>
  <c r="R40" i="11"/>
  <c r="R41" i="11"/>
  <c r="R43" i="11"/>
  <c r="R39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I7" i="11"/>
  <c r="I15" i="11"/>
  <c r="Q209" i="11"/>
  <c r="O209" i="11"/>
  <c r="N209" i="11"/>
  <c r="N206" i="11"/>
  <c r="P204" i="11"/>
  <c r="P203" i="11"/>
  <c r="I192" i="11"/>
  <c r="K192" i="11" s="1"/>
  <c r="P181" i="11"/>
  <c r="H181" i="11"/>
  <c r="P180" i="11"/>
  <c r="H180" i="11"/>
  <c r="P179" i="11"/>
  <c r="H179" i="11"/>
  <c r="P178" i="11"/>
  <c r="H178" i="11"/>
  <c r="P177" i="11"/>
  <c r="H177" i="11"/>
  <c r="P176" i="11"/>
  <c r="H176" i="11"/>
  <c r="P175" i="11"/>
  <c r="H175" i="11"/>
  <c r="P174" i="11"/>
  <c r="H174" i="11"/>
  <c r="P173" i="11"/>
  <c r="H173" i="11"/>
  <c r="P172" i="11"/>
  <c r="P171" i="11"/>
  <c r="T170" i="11"/>
  <c r="T171" i="11" s="1"/>
  <c r="T172" i="11" s="1"/>
  <c r="T173" i="11" s="1"/>
  <c r="T174" i="11" s="1"/>
  <c r="T175" i="11" s="1"/>
  <c r="T176" i="11" s="1"/>
  <c r="T177" i="11" s="1"/>
  <c r="T178" i="11" s="1"/>
  <c r="T179" i="11" s="1"/>
  <c r="T180" i="11" s="1"/>
  <c r="T181" i="11" s="1"/>
  <c r="P170" i="11"/>
  <c r="U170" i="11" s="1"/>
  <c r="I170" i="11"/>
  <c r="K170" i="11" s="1"/>
  <c r="H165" i="11"/>
  <c r="G165" i="11"/>
  <c r="J164" i="11"/>
  <c r="I164" i="11"/>
  <c r="J163" i="11"/>
  <c r="K163" i="11" s="1"/>
  <c r="I163" i="11"/>
  <c r="J162" i="11"/>
  <c r="I162" i="11"/>
  <c r="K161" i="11"/>
  <c r="J161" i="11"/>
  <c r="I161" i="11"/>
  <c r="J160" i="11"/>
  <c r="I160" i="11"/>
  <c r="K160" i="11" s="1"/>
  <c r="J159" i="11"/>
  <c r="I159" i="11"/>
  <c r="K159" i="11" s="1"/>
  <c r="J158" i="11"/>
  <c r="I158" i="11"/>
  <c r="J157" i="11"/>
  <c r="I157" i="11"/>
  <c r="K157" i="11" s="1"/>
  <c r="J156" i="11"/>
  <c r="I156" i="11"/>
  <c r="K156" i="11" s="1"/>
  <c r="Q155" i="11"/>
  <c r="R155" i="11" s="1"/>
  <c r="J155" i="11"/>
  <c r="K155" i="11" s="1"/>
  <c r="I155" i="11"/>
  <c r="J154" i="11"/>
  <c r="I154" i="11"/>
  <c r="J153" i="11"/>
  <c r="M153" i="11" s="1"/>
  <c r="I153" i="11"/>
  <c r="H149" i="11"/>
  <c r="G149" i="11"/>
  <c r="K148" i="11"/>
  <c r="J148" i="11"/>
  <c r="I148" i="11"/>
  <c r="J147" i="11"/>
  <c r="I147" i="11"/>
  <c r="J146" i="11"/>
  <c r="I146" i="11"/>
  <c r="J145" i="11"/>
  <c r="I145" i="11"/>
  <c r="K145" i="11" s="1"/>
  <c r="J144" i="11"/>
  <c r="I144" i="11"/>
  <c r="J143" i="11"/>
  <c r="I143" i="11"/>
  <c r="K143" i="11" s="1"/>
  <c r="J142" i="11"/>
  <c r="I142" i="11"/>
  <c r="K142" i="11" s="1"/>
  <c r="J141" i="11"/>
  <c r="I141" i="11"/>
  <c r="K141" i="11" s="1"/>
  <c r="J140" i="11"/>
  <c r="I140" i="11"/>
  <c r="K140" i="11" s="1"/>
  <c r="J139" i="11"/>
  <c r="I139" i="11"/>
  <c r="J138" i="11"/>
  <c r="I138" i="11"/>
  <c r="J137" i="11"/>
  <c r="I137" i="11"/>
  <c r="L132" i="11"/>
  <c r="K132" i="11"/>
  <c r="J132" i="11"/>
  <c r="M69" i="11"/>
  <c r="J69" i="11"/>
  <c r="E69" i="11"/>
  <c r="M68" i="11"/>
  <c r="L68" i="11"/>
  <c r="J68" i="11"/>
  <c r="E68" i="11"/>
  <c r="M67" i="11"/>
  <c r="L67" i="11"/>
  <c r="J67" i="11"/>
  <c r="E67" i="11"/>
  <c r="M66" i="11"/>
  <c r="J66" i="11"/>
  <c r="E66" i="11"/>
  <c r="M65" i="11"/>
  <c r="J65" i="11"/>
  <c r="E65" i="11"/>
  <c r="M64" i="11"/>
  <c r="J64" i="11"/>
  <c r="E64" i="11"/>
  <c r="M63" i="11"/>
  <c r="J63" i="11"/>
  <c r="E63" i="11"/>
  <c r="M62" i="11"/>
  <c r="J62" i="11"/>
  <c r="E62" i="11"/>
  <c r="J61" i="11"/>
  <c r="E61" i="11"/>
  <c r="J60" i="11"/>
  <c r="E60" i="11"/>
  <c r="J59" i="11"/>
  <c r="E59" i="11"/>
  <c r="J58" i="11"/>
  <c r="E58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M33" i="11"/>
  <c r="J50" i="11" s="1"/>
  <c r="K33" i="11"/>
  <c r="J33" i="11"/>
  <c r="E33" i="11"/>
  <c r="M32" i="11"/>
  <c r="J49" i="11" s="1"/>
  <c r="K32" i="11"/>
  <c r="J32" i="11"/>
  <c r="E32" i="11"/>
  <c r="M31" i="11"/>
  <c r="J48" i="11" s="1"/>
  <c r="K31" i="11"/>
  <c r="J31" i="11"/>
  <c r="E31" i="11"/>
  <c r="M30" i="11"/>
  <c r="J47" i="11" s="1"/>
  <c r="K30" i="11"/>
  <c r="J30" i="11"/>
  <c r="E30" i="11"/>
  <c r="M29" i="11"/>
  <c r="J46" i="11" s="1"/>
  <c r="K29" i="11"/>
  <c r="J29" i="11"/>
  <c r="E29" i="11"/>
  <c r="M28" i="11"/>
  <c r="J45" i="11" s="1"/>
  <c r="K28" i="11"/>
  <c r="L28" i="11" s="1"/>
  <c r="J28" i="11"/>
  <c r="E28" i="11"/>
  <c r="M27" i="11"/>
  <c r="J44" i="11" s="1"/>
  <c r="K27" i="11"/>
  <c r="J27" i="11"/>
  <c r="E27" i="11"/>
  <c r="M26" i="11"/>
  <c r="J43" i="11" s="1"/>
  <c r="K26" i="11"/>
  <c r="L26" i="11" s="1"/>
  <c r="J26" i="11"/>
  <c r="E26" i="11"/>
  <c r="J25" i="11"/>
  <c r="E25" i="11"/>
  <c r="J24" i="11"/>
  <c r="K24" i="11"/>
  <c r="E24" i="11"/>
  <c r="J23" i="11"/>
  <c r="J34" i="11" s="1"/>
  <c r="E23" i="11"/>
  <c r="J22" i="11"/>
  <c r="E22" i="11"/>
  <c r="J15" i="11"/>
  <c r="E15" i="11"/>
  <c r="J14" i="11"/>
  <c r="E14" i="11"/>
  <c r="I14" i="11" s="1"/>
  <c r="J13" i="11"/>
  <c r="E13" i="11"/>
  <c r="I13" i="11" s="1"/>
  <c r="J12" i="11"/>
  <c r="E12" i="11"/>
  <c r="I12" i="11" s="1"/>
  <c r="J11" i="11"/>
  <c r="E11" i="11"/>
  <c r="I11" i="11" s="1"/>
  <c r="J10" i="11"/>
  <c r="E10" i="11"/>
  <c r="I10" i="11" s="1"/>
  <c r="H45" i="11" s="1"/>
  <c r="J9" i="11"/>
  <c r="E9" i="11"/>
  <c r="I9" i="11" s="1"/>
  <c r="J8" i="11"/>
  <c r="E8" i="11"/>
  <c r="I8" i="11" s="1"/>
  <c r="J7" i="11"/>
  <c r="E7" i="11"/>
  <c r="J6" i="11"/>
  <c r="E6" i="11"/>
  <c r="I6" i="11" s="1"/>
  <c r="H41" i="11" s="1"/>
  <c r="J5" i="11"/>
  <c r="E5" i="11"/>
  <c r="I5" i="11" s="1"/>
  <c r="J4" i="11"/>
  <c r="E4" i="11"/>
  <c r="I4" i="11" s="1"/>
  <c r="Q39" i="9"/>
  <c r="P59" i="9"/>
  <c r="P60" i="9"/>
  <c r="P61" i="9"/>
  <c r="P58" i="9"/>
  <c r="O60" i="9"/>
  <c r="O61" i="9" s="1"/>
  <c r="O59" i="9"/>
  <c r="M69" i="9"/>
  <c r="K69" i="9"/>
  <c r="L69" i="9" s="1"/>
  <c r="J69" i="9"/>
  <c r="E69" i="9"/>
  <c r="M68" i="9"/>
  <c r="K68" i="9"/>
  <c r="J68" i="9"/>
  <c r="E68" i="9"/>
  <c r="M67" i="9"/>
  <c r="K67" i="9"/>
  <c r="J67" i="9"/>
  <c r="E67" i="9"/>
  <c r="M66" i="9"/>
  <c r="K66" i="9"/>
  <c r="J66" i="9"/>
  <c r="E66" i="9"/>
  <c r="M65" i="9"/>
  <c r="K65" i="9"/>
  <c r="J65" i="9"/>
  <c r="E65" i="9"/>
  <c r="M64" i="9"/>
  <c r="K64" i="9"/>
  <c r="L64" i="9" s="1"/>
  <c r="J64" i="9"/>
  <c r="E64" i="9"/>
  <c r="M63" i="9"/>
  <c r="K63" i="9"/>
  <c r="J63" i="9"/>
  <c r="E63" i="9"/>
  <c r="M62" i="9"/>
  <c r="K62" i="9"/>
  <c r="J62" i="9"/>
  <c r="E62" i="9"/>
  <c r="J61" i="9"/>
  <c r="E61" i="9"/>
  <c r="I61" i="9" s="1"/>
  <c r="J60" i="9"/>
  <c r="I60" i="9"/>
  <c r="K60" i="9" s="1"/>
  <c r="E60" i="9"/>
  <c r="J59" i="9"/>
  <c r="E59" i="9"/>
  <c r="I59" i="9" s="1"/>
  <c r="J58" i="9"/>
  <c r="E58" i="9"/>
  <c r="I58" i="9" s="1"/>
  <c r="N3" i="10"/>
  <c r="N4" i="10"/>
  <c r="N5" i="10"/>
  <c r="N6" i="10"/>
  <c r="N7" i="10"/>
  <c r="N8" i="10"/>
  <c r="N9" i="10"/>
  <c r="N10" i="10"/>
  <c r="N11" i="10"/>
  <c r="N12" i="10"/>
  <c r="N13" i="10"/>
  <c r="N2" i="10"/>
  <c r="M3" i="10"/>
  <c r="M4" i="10"/>
  <c r="M5" i="10"/>
  <c r="M6" i="10"/>
  <c r="M7" i="10"/>
  <c r="M8" i="10"/>
  <c r="M9" i="10"/>
  <c r="M10" i="10"/>
  <c r="M11" i="10"/>
  <c r="M12" i="10"/>
  <c r="M13" i="10"/>
  <c r="M2" i="10"/>
  <c r="M26" i="9"/>
  <c r="M27" i="9"/>
  <c r="M28" i="9"/>
  <c r="M29" i="9"/>
  <c r="M30" i="9"/>
  <c r="M31" i="9"/>
  <c r="M32" i="9"/>
  <c r="M33" i="9"/>
  <c r="G50" i="9"/>
  <c r="G40" i="9"/>
  <c r="G41" i="9"/>
  <c r="G42" i="9"/>
  <c r="G43" i="9"/>
  <c r="G44" i="9"/>
  <c r="G45" i="9"/>
  <c r="G46" i="9"/>
  <c r="G47" i="9"/>
  <c r="G48" i="9"/>
  <c r="G49" i="9"/>
  <c r="G39" i="9"/>
  <c r="K39" i="9" s="1"/>
  <c r="H47" i="9"/>
  <c r="J29" i="9"/>
  <c r="J26" i="9"/>
  <c r="J27" i="9"/>
  <c r="J28" i="9"/>
  <c r="J30" i="9"/>
  <c r="J31" i="9"/>
  <c r="J32" i="9"/>
  <c r="J33" i="9"/>
  <c r="J5" i="9"/>
  <c r="J6" i="9"/>
  <c r="J7" i="9"/>
  <c r="J8" i="9"/>
  <c r="J9" i="9"/>
  <c r="J10" i="9"/>
  <c r="J11" i="9"/>
  <c r="J12" i="9"/>
  <c r="J13" i="9"/>
  <c r="J14" i="9"/>
  <c r="J15" i="9"/>
  <c r="I13" i="10"/>
  <c r="F13" i="10"/>
  <c r="I12" i="10"/>
  <c r="F12" i="10"/>
  <c r="I11" i="10"/>
  <c r="F11" i="10"/>
  <c r="I10" i="10"/>
  <c r="F10" i="10"/>
  <c r="I9" i="10"/>
  <c r="F9" i="10"/>
  <c r="I8" i="10"/>
  <c r="F8" i="10"/>
  <c r="I7" i="10"/>
  <c r="F7" i="10"/>
  <c r="I6" i="10"/>
  <c r="F6" i="10"/>
  <c r="I5" i="10"/>
  <c r="F5" i="10"/>
  <c r="I4" i="10"/>
  <c r="F4" i="10"/>
  <c r="I3" i="10"/>
  <c r="F3" i="10"/>
  <c r="I2" i="10"/>
  <c r="F2" i="10"/>
  <c r="K33" i="9"/>
  <c r="E33" i="9"/>
  <c r="E32" i="9"/>
  <c r="K32" i="9" s="1"/>
  <c r="E31" i="9"/>
  <c r="K31" i="9" s="1"/>
  <c r="E30" i="9"/>
  <c r="K30" i="9" s="1"/>
  <c r="E29" i="9"/>
  <c r="K29" i="9" s="1"/>
  <c r="E28" i="9"/>
  <c r="K28" i="9" s="1"/>
  <c r="E27" i="9"/>
  <c r="K27" i="9" s="1"/>
  <c r="K26" i="9"/>
  <c r="E26" i="9"/>
  <c r="J25" i="9"/>
  <c r="E25" i="9"/>
  <c r="I25" i="9" s="1"/>
  <c r="K25" i="9" s="1"/>
  <c r="J24" i="9"/>
  <c r="E24" i="9"/>
  <c r="I24" i="9" s="1"/>
  <c r="K24" i="9" s="1"/>
  <c r="J23" i="9"/>
  <c r="E23" i="9"/>
  <c r="I23" i="9" s="1"/>
  <c r="K23" i="9" s="1"/>
  <c r="J22" i="9"/>
  <c r="E22" i="9"/>
  <c r="I22" i="9" s="1"/>
  <c r="K22" i="9" s="1"/>
  <c r="J4" i="9"/>
  <c r="E5" i="9"/>
  <c r="I5" i="9" s="1"/>
  <c r="E6" i="9"/>
  <c r="I6" i="9" s="1"/>
  <c r="K6" i="9" s="1"/>
  <c r="E7" i="9"/>
  <c r="I7" i="9" s="1"/>
  <c r="K7" i="9" s="1"/>
  <c r="E8" i="9"/>
  <c r="I8" i="9" s="1"/>
  <c r="K8" i="9" s="1"/>
  <c r="E9" i="9"/>
  <c r="I9" i="9" s="1"/>
  <c r="K9" i="9" s="1"/>
  <c r="L9" i="9" s="1"/>
  <c r="E10" i="9"/>
  <c r="I10" i="9" s="1"/>
  <c r="K10" i="9" s="1"/>
  <c r="E11" i="9"/>
  <c r="I11" i="9" s="1"/>
  <c r="K11" i="9" s="1"/>
  <c r="E12" i="9"/>
  <c r="I12" i="9" s="1"/>
  <c r="K12" i="9" s="1"/>
  <c r="E13" i="9"/>
  <c r="I13" i="9" s="1"/>
  <c r="K13" i="9" s="1"/>
  <c r="E14" i="9"/>
  <c r="I14" i="9" s="1"/>
  <c r="K14" i="9" s="1"/>
  <c r="E15" i="9"/>
  <c r="I15" i="9" s="1"/>
  <c r="K15" i="9" s="1"/>
  <c r="E4" i="9"/>
  <c r="I4" i="9" s="1"/>
  <c r="K4" i="9" s="1"/>
  <c r="Q155" i="9"/>
  <c r="R155" i="9" s="1"/>
  <c r="O209" i="9"/>
  <c r="N209" i="9"/>
  <c r="N206" i="9"/>
  <c r="P204" i="9"/>
  <c r="P203" i="9"/>
  <c r="I192" i="9"/>
  <c r="I193" i="9" s="1"/>
  <c r="P181" i="9"/>
  <c r="H181" i="9"/>
  <c r="P180" i="9"/>
  <c r="H180" i="9"/>
  <c r="P179" i="9"/>
  <c r="H179" i="9"/>
  <c r="P178" i="9"/>
  <c r="H178" i="9"/>
  <c r="P177" i="9"/>
  <c r="H177" i="9"/>
  <c r="P176" i="9"/>
  <c r="H176" i="9"/>
  <c r="P175" i="9"/>
  <c r="H175" i="9"/>
  <c r="P174" i="9"/>
  <c r="H174" i="9"/>
  <c r="P173" i="9"/>
  <c r="H173" i="9"/>
  <c r="P172" i="9"/>
  <c r="P171" i="9"/>
  <c r="T170" i="9"/>
  <c r="T171" i="9" s="1"/>
  <c r="T172" i="9" s="1"/>
  <c r="T173" i="9" s="1"/>
  <c r="T174" i="9" s="1"/>
  <c r="T175" i="9" s="1"/>
  <c r="T176" i="9" s="1"/>
  <c r="T177" i="9" s="1"/>
  <c r="T178" i="9" s="1"/>
  <c r="T179" i="9" s="1"/>
  <c r="T180" i="9" s="1"/>
  <c r="T181" i="9" s="1"/>
  <c r="P170" i="9"/>
  <c r="U170" i="9" s="1"/>
  <c r="I170" i="9"/>
  <c r="K170" i="9" s="1"/>
  <c r="H165" i="9"/>
  <c r="G165" i="9"/>
  <c r="J164" i="9"/>
  <c r="I164" i="9"/>
  <c r="J163" i="9"/>
  <c r="I163" i="9"/>
  <c r="J162" i="9"/>
  <c r="I162" i="9"/>
  <c r="J161" i="9"/>
  <c r="I161" i="9"/>
  <c r="J160" i="9"/>
  <c r="I160" i="9"/>
  <c r="J159" i="9"/>
  <c r="I159" i="9"/>
  <c r="J158" i="9"/>
  <c r="I158" i="9"/>
  <c r="J157" i="9"/>
  <c r="I157" i="9"/>
  <c r="J156" i="9"/>
  <c r="I156" i="9"/>
  <c r="J155" i="9"/>
  <c r="I155" i="9"/>
  <c r="J154" i="9"/>
  <c r="I154" i="9"/>
  <c r="J153" i="9"/>
  <c r="M153" i="9" s="1"/>
  <c r="I153" i="9"/>
  <c r="H149" i="9"/>
  <c r="G149" i="9"/>
  <c r="J148" i="9"/>
  <c r="I148" i="9"/>
  <c r="J147" i="9"/>
  <c r="I147" i="9"/>
  <c r="J146" i="9"/>
  <c r="I146" i="9"/>
  <c r="J145" i="9"/>
  <c r="I145" i="9"/>
  <c r="J144" i="9"/>
  <c r="I144" i="9"/>
  <c r="J143" i="9"/>
  <c r="I143" i="9"/>
  <c r="J142" i="9"/>
  <c r="I142" i="9"/>
  <c r="J141" i="9"/>
  <c r="I141" i="9"/>
  <c r="J140" i="9"/>
  <c r="I140" i="9"/>
  <c r="J139" i="9"/>
  <c r="I139" i="9"/>
  <c r="J138" i="9"/>
  <c r="I138" i="9"/>
  <c r="J137" i="9"/>
  <c r="M137" i="9" s="1"/>
  <c r="I137" i="9"/>
  <c r="K132" i="9"/>
  <c r="L132" i="9" s="1"/>
  <c r="J132" i="9"/>
  <c r="C27" i="8"/>
  <c r="C23" i="8"/>
  <c r="C18" i="8"/>
  <c r="C20" i="8"/>
  <c r="C21" i="8"/>
  <c r="C22" i="8"/>
  <c r="C24" i="8"/>
  <c r="C25" i="8"/>
  <c r="C26" i="8"/>
  <c r="C28" i="8"/>
  <c r="C29" i="8"/>
  <c r="B19" i="8"/>
  <c r="B20" i="8"/>
  <c r="B21" i="8"/>
  <c r="B22" i="8"/>
  <c r="B23" i="8"/>
  <c r="B24" i="8"/>
  <c r="B25" i="8"/>
  <c r="B26" i="8"/>
  <c r="B27" i="8"/>
  <c r="B28" i="8"/>
  <c r="B29" i="8"/>
  <c r="B18" i="8"/>
  <c r="O87" i="7"/>
  <c r="P81" i="7"/>
  <c r="J10" i="12" l="1"/>
  <c r="J9" i="12"/>
  <c r="J11" i="12"/>
  <c r="J6" i="12"/>
  <c r="J4" i="12"/>
  <c r="J3" i="12"/>
  <c r="L66" i="11"/>
  <c r="L64" i="11"/>
  <c r="L69" i="11"/>
  <c r="K9" i="11"/>
  <c r="H44" i="11"/>
  <c r="J16" i="11"/>
  <c r="L33" i="11"/>
  <c r="L63" i="11"/>
  <c r="L65" i="11"/>
  <c r="I149" i="11"/>
  <c r="K144" i="11"/>
  <c r="J165" i="11"/>
  <c r="J166" i="11" s="1"/>
  <c r="K164" i="11"/>
  <c r="I193" i="11"/>
  <c r="P209" i="11"/>
  <c r="O215" i="11" s="1"/>
  <c r="J149" i="11"/>
  <c r="J150" i="11" s="1"/>
  <c r="K158" i="11"/>
  <c r="I171" i="11"/>
  <c r="K171" i="11" s="1"/>
  <c r="U175" i="11"/>
  <c r="U176" i="11" s="1"/>
  <c r="U177" i="11" s="1"/>
  <c r="U178" i="11" s="1"/>
  <c r="U179" i="11" s="1"/>
  <c r="U180" i="11" s="1"/>
  <c r="U181" i="11" s="1"/>
  <c r="U171" i="11"/>
  <c r="U172" i="11" s="1"/>
  <c r="U173" i="11" s="1"/>
  <c r="U174" i="11" s="1"/>
  <c r="M58" i="11"/>
  <c r="O58" i="11" s="1"/>
  <c r="K138" i="11"/>
  <c r="K162" i="11"/>
  <c r="N210" i="11"/>
  <c r="N216" i="11" s="1"/>
  <c r="L62" i="11"/>
  <c r="K139" i="11"/>
  <c r="K146" i="11"/>
  <c r="K147" i="11"/>
  <c r="K154" i="11"/>
  <c r="L30" i="11"/>
  <c r="L27" i="11"/>
  <c r="L29" i="11"/>
  <c r="L31" i="11"/>
  <c r="L32" i="11"/>
  <c r="P12" i="11"/>
  <c r="L24" i="11"/>
  <c r="H40" i="11"/>
  <c r="K5" i="11"/>
  <c r="L5" i="11" s="1"/>
  <c r="M25" i="11"/>
  <c r="J42" i="11" s="1"/>
  <c r="K25" i="11"/>
  <c r="L25" i="11" s="1"/>
  <c r="M154" i="11"/>
  <c r="N137" i="11"/>
  <c r="H39" i="11"/>
  <c r="I39" i="11" s="1"/>
  <c r="K4" i="11"/>
  <c r="M59" i="11"/>
  <c r="L59" i="11"/>
  <c r="K12" i="11"/>
  <c r="L12" i="11" s="1"/>
  <c r="H47" i="11"/>
  <c r="M22" i="11"/>
  <c r="J39" i="11" s="1"/>
  <c r="K39" i="11" s="1"/>
  <c r="K22" i="11"/>
  <c r="L22" i="11" s="1"/>
  <c r="M60" i="11"/>
  <c r="H43" i="11"/>
  <c r="K8" i="11"/>
  <c r="L8" i="11" s="1"/>
  <c r="P215" i="11"/>
  <c r="H46" i="11"/>
  <c r="K11" i="11"/>
  <c r="L11" i="11" s="1"/>
  <c r="K13" i="11"/>
  <c r="L13" i="11" s="1"/>
  <c r="H48" i="11"/>
  <c r="M61" i="11"/>
  <c r="L61" i="11"/>
  <c r="L9" i="11"/>
  <c r="Q12" i="11"/>
  <c r="K15" i="11"/>
  <c r="L15" i="11" s="1"/>
  <c r="H50" i="11"/>
  <c r="M23" i="11"/>
  <c r="J40" i="11" s="1"/>
  <c r="K23" i="11"/>
  <c r="L23" i="11" s="1"/>
  <c r="L58" i="11"/>
  <c r="K7" i="11"/>
  <c r="L7" i="11" s="1"/>
  <c r="H42" i="11"/>
  <c r="H49" i="11"/>
  <c r="K14" i="11"/>
  <c r="L14" i="11" s="1"/>
  <c r="N218" i="11"/>
  <c r="J70" i="11"/>
  <c r="M24" i="11"/>
  <c r="J41" i="11" s="1"/>
  <c r="K137" i="11"/>
  <c r="K6" i="11"/>
  <c r="L6" i="11" s="1"/>
  <c r="M137" i="11"/>
  <c r="M138" i="11" s="1"/>
  <c r="M139" i="11" s="1"/>
  <c r="M140" i="11" s="1"/>
  <c r="M141" i="11" s="1"/>
  <c r="M142" i="11" s="1"/>
  <c r="M143" i="11" s="1"/>
  <c r="M144" i="11" s="1"/>
  <c r="M145" i="11" s="1"/>
  <c r="M146" i="11" s="1"/>
  <c r="M147" i="11" s="1"/>
  <c r="M148" i="11" s="1"/>
  <c r="K153" i="11"/>
  <c r="K10" i="11"/>
  <c r="L10" i="11" s="1"/>
  <c r="I165" i="11"/>
  <c r="L62" i="9"/>
  <c r="O62" i="9"/>
  <c r="M61" i="9"/>
  <c r="K61" i="9"/>
  <c r="L61" i="9" s="1"/>
  <c r="L66" i="9"/>
  <c r="L65" i="9"/>
  <c r="L67" i="9"/>
  <c r="L68" i="9"/>
  <c r="L63" i="9"/>
  <c r="M58" i="9"/>
  <c r="K58" i="9"/>
  <c r="K59" i="9"/>
  <c r="L59" i="9" s="1"/>
  <c r="M59" i="9"/>
  <c r="L60" i="9"/>
  <c r="J70" i="9"/>
  <c r="M60" i="9"/>
  <c r="L14" i="9"/>
  <c r="L6" i="9"/>
  <c r="H43" i="9"/>
  <c r="M39" i="9"/>
  <c r="K40" i="9"/>
  <c r="L4" i="9"/>
  <c r="M22" i="9"/>
  <c r="M25" i="9"/>
  <c r="M24" i="9"/>
  <c r="M23" i="9"/>
  <c r="K5" i="9"/>
  <c r="L5" i="9" s="1"/>
  <c r="H40" i="9"/>
  <c r="H46" i="9"/>
  <c r="H45" i="9"/>
  <c r="H44" i="9"/>
  <c r="H39" i="9"/>
  <c r="I39" i="9" s="1"/>
  <c r="H50" i="9"/>
  <c r="H42" i="9"/>
  <c r="H49" i="9"/>
  <c r="H41" i="9"/>
  <c r="H48" i="9"/>
  <c r="L13" i="9"/>
  <c r="L30" i="9"/>
  <c r="K34" i="9"/>
  <c r="Q13" i="9" s="1"/>
  <c r="J16" i="9"/>
  <c r="P12" i="9" s="1"/>
  <c r="L10" i="9"/>
  <c r="J34" i="9"/>
  <c r="L23" i="9"/>
  <c r="L27" i="9"/>
  <c r="L11" i="9"/>
  <c r="L8" i="9"/>
  <c r="K16" i="9"/>
  <c r="L15" i="9"/>
  <c r="L7" i="9"/>
  <c r="L12" i="9"/>
  <c r="L26" i="9"/>
  <c r="L29" i="9"/>
  <c r="L31" i="9"/>
  <c r="L32" i="9"/>
  <c r="L25" i="9"/>
  <c r="L24" i="9"/>
  <c r="L28" i="9"/>
  <c r="L22" i="9"/>
  <c r="L33" i="9"/>
  <c r="K139" i="9"/>
  <c r="K143" i="9"/>
  <c r="K158" i="9"/>
  <c r="K141" i="9"/>
  <c r="K145" i="9"/>
  <c r="K156" i="9"/>
  <c r="K147" i="9"/>
  <c r="K144" i="9"/>
  <c r="I171" i="9"/>
  <c r="K171" i="9" s="1"/>
  <c r="M138" i="9"/>
  <c r="M139" i="9" s="1"/>
  <c r="M140" i="9" s="1"/>
  <c r="M141" i="9" s="1"/>
  <c r="M142" i="9" s="1"/>
  <c r="M143" i="9" s="1"/>
  <c r="M144" i="9" s="1"/>
  <c r="M145" i="9" s="1"/>
  <c r="M146" i="9" s="1"/>
  <c r="M147" i="9" s="1"/>
  <c r="M148" i="9" s="1"/>
  <c r="K157" i="9"/>
  <c r="K161" i="9"/>
  <c r="K162" i="9"/>
  <c r="K159" i="9"/>
  <c r="K163" i="9"/>
  <c r="P209" i="9"/>
  <c r="O215" i="9" s="1"/>
  <c r="P215" i="9" s="1"/>
  <c r="K142" i="9"/>
  <c r="K146" i="9"/>
  <c r="K153" i="9"/>
  <c r="K164" i="9"/>
  <c r="K155" i="9"/>
  <c r="K193" i="9"/>
  <c r="I194" i="9"/>
  <c r="I195" i="9" s="1"/>
  <c r="I196" i="9" s="1"/>
  <c r="M154" i="9"/>
  <c r="N138" i="9" s="1"/>
  <c r="N137" i="9"/>
  <c r="K148" i="9"/>
  <c r="K154" i="9"/>
  <c r="K192" i="9"/>
  <c r="Q209" i="9"/>
  <c r="I165" i="9"/>
  <c r="U171" i="9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N210" i="9"/>
  <c r="N216" i="9" s="1"/>
  <c r="N218" i="9" s="1"/>
  <c r="J165" i="9"/>
  <c r="J166" i="9" s="1"/>
  <c r="J149" i="9"/>
  <c r="J150" i="9" s="1"/>
  <c r="K137" i="9"/>
  <c r="K140" i="9"/>
  <c r="K160" i="9"/>
  <c r="I149" i="9"/>
  <c r="K138" i="9"/>
  <c r="N81" i="7"/>
  <c r="M81" i="7"/>
  <c r="O81" i="7" s="1"/>
  <c r="N87" i="7" s="1"/>
  <c r="O76" i="7"/>
  <c r="N2" i="8"/>
  <c r="N3" i="8"/>
  <c r="N4" i="8"/>
  <c r="N5" i="8"/>
  <c r="N6" i="8"/>
  <c r="N7" i="8"/>
  <c r="N8" i="8"/>
  <c r="N9" i="8"/>
  <c r="N10" i="8"/>
  <c r="N11" i="8"/>
  <c r="N12" i="8"/>
  <c r="N13" i="8"/>
  <c r="M3" i="8"/>
  <c r="M4" i="8"/>
  <c r="M5" i="8"/>
  <c r="M6" i="8"/>
  <c r="M7" i="8"/>
  <c r="M8" i="8"/>
  <c r="M9" i="8"/>
  <c r="M10" i="8"/>
  <c r="M11" i="8"/>
  <c r="M12" i="8"/>
  <c r="M13" i="8"/>
  <c r="M2" i="8"/>
  <c r="H42" i="7"/>
  <c r="H64" i="7"/>
  <c r="J64" i="7" s="1"/>
  <c r="I3" i="8"/>
  <c r="I4" i="8"/>
  <c r="I5" i="8"/>
  <c r="I6" i="8"/>
  <c r="I7" i="8"/>
  <c r="I8" i="8"/>
  <c r="I9" i="8"/>
  <c r="I10" i="8"/>
  <c r="I11" i="8"/>
  <c r="I12" i="8"/>
  <c r="I13" i="8"/>
  <c r="I2" i="8"/>
  <c r="F2" i="8"/>
  <c r="F3" i="8"/>
  <c r="F4" i="8"/>
  <c r="F5" i="8"/>
  <c r="F6" i="8"/>
  <c r="F7" i="8"/>
  <c r="F8" i="8"/>
  <c r="F9" i="8"/>
  <c r="F10" i="8"/>
  <c r="F11" i="8"/>
  <c r="F12" i="8"/>
  <c r="F13" i="8"/>
  <c r="G45" i="7"/>
  <c r="G46" i="7"/>
  <c r="G47" i="7"/>
  <c r="G48" i="7"/>
  <c r="G49" i="7"/>
  <c r="G50" i="7"/>
  <c r="G51" i="7"/>
  <c r="G52" i="7"/>
  <c r="G53" i="7"/>
  <c r="O59" i="11" l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P58" i="11"/>
  <c r="K40" i="11"/>
  <c r="M39" i="11"/>
  <c r="K193" i="11"/>
  <c r="I194" i="11"/>
  <c r="K149" i="11"/>
  <c r="I172" i="11"/>
  <c r="K172" i="11" s="1"/>
  <c r="K165" i="11"/>
  <c r="K70" i="11"/>
  <c r="Q40" i="11" s="1"/>
  <c r="L60" i="11"/>
  <c r="K34" i="11"/>
  <c r="L39" i="11"/>
  <c r="I40" i="11"/>
  <c r="N138" i="11"/>
  <c r="M155" i="11"/>
  <c r="P59" i="11"/>
  <c r="K16" i="11"/>
  <c r="L4" i="11"/>
  <c r="R12" i="11"/>
  <c r="Q39" i="11"/>
  <c r="O63" i="9"/>
  <c r="P62" i="9"/>
  <c r="K70" i="9"/>
  <c r="L58" i="9"/>
  <c r="I40" i="9"/>
  <c r="L39" i="9"/>
  <c r="M40" i="9"/>
  <c r="K41" i="9"/>
  <c r="L34" i="9"/>
  <c r="Q12" i="9"/>
  <c r="L16" i="9"/>
  <c r="P13" i="9"/>
  <c r="R13" i="9" s="1"/>
  <c r="I172" i="9"/>
  <c r="K172" i="9" s="1"/>
  <c r="K149" i="9"/>
  <c r="K165" i="9"/>
  <c r="K195" i="9"/>
  <c r="K194" i="9"/>
  <c r="M155" i="9"/>
  <c r="N139" i="9" s="1"/>
  <c r="I197" i="9"/>
  <c r="K196" i="9"/>
  <c r="M82" i="7"/>
  <c r="M88" i="7" s="1"/>
  <c r="M78" i="7"/>
  <c r="O75" i="7"/>
  <c r="O53" i="7"/>
  <c r="O52" i="7"/>
  <c r="O51" i="7"/>
  <c r="O50" i="7"/>
  <c r="O49" i="7"/>
  <c r="O48" i="7"/>
  <c r="O47" i="7"/>
  <c r="O46" i="7"/>
  <c r="O45" i="7"/>
  <c r="O44" i="7"/>
  <c r="O43" i="7"/>
  <c r="S42" i="7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O42" i="7"/>
  <c r="T42" i="7" s="1"/>
  <c r="G37" i="7"/>
  <c r="F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L25" i="7" s="1"/>
  <c r="H25" i="7"/>
  <c r="G21" i="7"/>
  <c r="F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J4" i="7"/>
  <c r="K4" i="7" s="1"/>
  <c r="I4" i="7"/>
  <c r="K4" i="5"/>
  <c r="J4" i="5"/>
  <c r="I4" i="5"/>
  <c r="I64" i="5"/>
  <c r="K64" i="5" s="1"/>
  <c r="G76" i="5" s="1"/>
  <c r="I17" i="3"/>
  <c r="J17" i="3"/>
  <c r="K17" i="3"/>
  <c r="L17" i="3"/>
  <c r="M17" i="3"/>
  <c r="N17" i="3"/>
  <c r="D17" i="3"/>
  <c r="E17" i="3"/>
  <c r="F17" i="3"/>
  <c r="G17" i="3"/>
  <c r="H17" i="3"/>
  <c r="C17" i="3"/>
  <c r="E16" i="3"/>
  <c r="F16" i="3"/>
  <c r="G16" i="3"/>
  <c r="H16" i="3"/>
  <c r="I16" i="3"/>
  <c r="J16" i="3"/>
  <c r="M16" i="3"/>
  <c r="N16" i="3"/>
  <c r="C16" i="3"/>
  <c r="C17" i="2"/>
  <c r="E17" i="2"/>
  <c r="F17" i="2"/>
  <c r="G17" i="2"/>
  <c r="H17" i="2"/>
  <c r="I17" i="2"/>
  <c r="J17" i="2"/>
  <c r="K17" i="2"/>
  <c r="L17" i="2"/>
  <c r="M17" i="2"/>
  <c r="N17" i="2"/>
  <c r="D17" i="2"/>
  <c r="D15" i="2"/>
  <c r="E15" i="2"/>
  <c r="F15" i="2"/>
  <c r="G15" i="2"/>
  <c r="H15" i="2"/>
  <c r="I15" i="2"/>
  <c r="J15" i="2"/>
  <c r="K15" i="2"/>
  <c r="L15" i="2"/>
  <c r="M15" i="2"/>
  <c r="N15" i="2"/>
  <c r="C15" i="2"/>
  <c r="D13" i="2"/>
  <c r="E13" i="2"/>
  <c r="F13" i="2"/>
  <c r="G13" i="2"/>
  <c r="H13" i="2"/>
  <c r="I13" i="2"/>
  <c r="J13" i="2"/>
  <c r="K13" i="2"/>
  <c r="L13" i="2"/>
  <c r="M13" i="2"/>
  <c r="N13" i="2"/>
  <c r="C13" i="2"/>
  <c r="D12" i="2"/>
  <c r="E12" i="2"/>
  <c r="F12" i="2"/>
  <c r="G12" i="2"/>
  <c r="H12" i="2"/>
  <c r="I12" i="2"/>
  <c r="J12" i="2"/>
  <c r="K12" i="2"/>
  <c r="L12" i="2"/>
  <c r="M12" i="2"/>
  <c r="N12" i="2"/>
  <c r="C12" i="2"/>
  <c r="O61" i="5"/>
  <c r="O60" i="5"/>
  <c r="N63" i="5"/>
  <c r="M63" i="5"/>
  <c r="S42" i="5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O43" i="5"/>
  <c r="O44" i="5"/>
  <c r="O45" i="5"/>
  <c r="O46" i="5"/>
  <c r="O47" i="5"/>
  <c r="O48" i="5"/>
  <c r="O49" i="5"/>
  <c r="O50" i="5"/>
  <c r="O51" i="5"/>
  <c r="O52" i="5"/>
  <c r="O53" i="5"/>
  <c r="O42" i="5"/>
  <c r="T42" i="5" s="1"/>
  <c r="I65" i="5"/>
  <c r="K65" i="5" s="1"/>
  <c r="G77" i="5" s="1"/>
  <c r="I66" i="5"/>
  <c r="K66" i="5" s="1"/>
  <c r="G78" i="5" s="1"/>
  <c r="I67" i="5"/>
  <c r="K67" i="5" s="1"/>
  <c r="G79" i="5" s="1"/>
  <c r="I68" i="5"/>
  <c r="K68" i="5" s="1"/>
  <c r="G80" i="5" s="1"/>
  <c r="I69" i="5"/>
  <c r="K69" i="5" s="1"/>
  <c r="G81" i="5" s="1"/>
  <c r="I70" i="5"/>
  <c r="K70" i="5" s="1"/>
  <c r="G82" i="5" s="1"/>
  <c r="I71" i="5"/>
  <c r="K71" i="5" s="1"/>
  <c r="G83" i="5" s="1"/>
  <c r="I72" i="5"/>
  <c r="K72" i="5" s="1"/>
  <c r="G84" i="5" s="1"/>
  <c r="I73" i="5"/>
  <c r="K73" i="5" s="1"/>
  <c r="G85" i="5" s="1"/>
  <c r="F42" i="5"/>
  <c r="G43" i="5"/>
  <c r="G44" i="5"/>
  <c r="G45" i="5"/>
  <c r="G46" i="5"/>
  <c r="G47" i="5"/>
  <c r="G48" i="5"/>
  <c r="G49" i="5"/>
  <c r="G50" i="5"/>
  <c r="G51" i="5"/>
  <c r="G52" i="5"/>
  <c r="G53" i="5"/>
  <c r="G42" i="5"/>
  <c r="F43" i="5"/>
  <c r="F44" i="5"/>
  <c r="F45" i="5"/>
  <c r="F46" i="5"/>
  <c r="F47" i="5"/>
  <c r="F48" i="5"/>
  <c r="F49" i="5"/>
  <c r="F50" i="5"/>
  <c r="F51" i="5"/>
  <c r="F52" i="5"/>
  <c r="F53" i="5"/>
  <c r="K6" i="4"/>
  <c r="K7" i="4"/>
  <c r="K8" i="4"/>
  <c r="K9" i="4"/>
  <c r="K10" i="4"/>
  <c r="K11" i="4"/>
  <c r="K12" i="4"/>
  <c r="K13" i="4"/>
  <c r="K14" i="4"/>
  <c r="K15" i="4"/>
  <c r="K16" i="4"/>
  <c r="K5" i="4"/>
  <c r="J6" i="4"/>
  <c r="J7" i="4"/>
  <c r="J8" i="4"/>
  <c r="J9" i="4"/>
  <c r="J10" i="4"/>
  <c r="J11" i="4"/>
  <c r="J12" i="4"/>
  <c r="J13" i="4"/>
  <c r="J14" i="4"/>
  <c r="J15" i="4"/>
  <c r="J16" i="4"/>
  <c r="J5" i="4"/>
  <c r="G21" i="5"/>
  <c r="G37" i="5"/>
  <c r="F37" i="5"/>
  <c r="F21" i="5"/>
  <c r="I36" i="5"/>
  <c r="H36" i="5"/>
  <c r="I35" i="5"/>
  <c r="H35" i="5"/>
  <c r="I34" i="5"/>
  <c r="H34" i="5"/>
  <c r="J34" i="5" s="1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10" i="5"/>
  <c r="I11" i="5"/>
  <c r="I12" i="5"/>
  <c r="I13" i="5"/>
  <c r="I14" i="5"/>
  <c r="I15" i="5"/>
  <c r="I16" i="5"/>
  <c r="I17" i="5"/>
  <c r="I18" i="5"/>
  <c r="I19" i="5"/>
  <c r="I20" i="5"/>
  <c r="I9" i="5"/>
  <c r="H10" i="5"/>
  <c r="H11" i="5"/>
  <c r="H12" i="5"/>
  <c r="J12" i="5" s="1"/>
  <c r="H13" i="5"/>
  <c r="H14" i="5"/>
  <c r="H15" i="5"/>
  <c r="H16" i="5"/>
  <c r="H17" i="5"/>
  <c r="H18" i="5"/>
  <c r="H19" i="5"/>
  <c r="H20" i="5"/>
  <c r="J20" i="5" s="1"/>
  <c r="H9" i="5"/>
  <c r="J9" i="5" s="1"/>
  <c r="I6" i="4"/>
  <c r="I7" i="4"/>
  <c r="I8" i="4"/>
  <c r="I9" i="4"/>
  <c r="I10" i="4"/>
  <c r="I11" i="4"/>
  <c r="I12" i="4"/>
  <c r="I13" i="4"/>
  <c r="I14" i="4"/>
  <c r="I15" i="4"/>
  <c r="I16" i="4"/>
  <c r="I5" i="4"/>
  <c r="F13" i="3"/>
  <c r="G13" i="3"/>
  <c r="H13" i="3"/>
  <c r="I13" i="3"/>
  <c r="J13" i="3"/>
  <c r="K13" i="3"/>
  <c r="L13" i="3"/>
  <c r="M13" i="3"/>
  <c r="N13" i="3"/>
  <c r="E13" i="3"/>
  <c r="D13" i="3"/>
  <c r="C13" i="3"/>
  <c r="D12" i="3"/>
  <c r="E12" i="3"/>
  <c r="F12" i="3"/>
  <c r="G12" i="3"/>
  <c r="H12" i="3"/>
  <c r="I12" i="3"/>
  <c r="J12" i="3"/>
  <c r="K12" i="3"/>
  <c r="L12" i="3"/>
  <c r="M12" i="3"/>
  <c r="N12" i="3"/>
  <c r="C12" i="3"/>
  <c r="H16" i="4"/>
  <c r="E16" i="4"/>
  <c r="G16" i="4" s="1"/>
  <c r="H15" i="4"/>
  <c r="E15" i="4"/>
  <c r="G15" i="4" s="1"/>
  <c r="H14" i="4"/>
  <c r="G14" i="4"/>
  <c r="E14" i="4"/>
  <c r="H13" i="4"/>
  <c r="E13" i="4"/>
  <c r="G13" i="4" s="1"/>
  <c r="H12" i="4"/>
  <c r="G12" i="4"/>
  <c r="E12" i="4"/>
  <c r="H11" i="4"/>
  <c r="G11" i="4"/>
  <c r="E11" i="4"/>
  <c r="H10" i="4"/>
  <c r="G10" i="4"/>
  <c r="E10" i="4"/>
  <c r="H9" i="4"/>
  <c r="E9" i="4"/>
  <c r="G9" i="4" s="1"/>
  <c r="H8" i="4"/>
  <c r="E8" i="4"/>
  <c r="G8" i="4" s="1"/>
  <c r="H7" i="4"/>
  <c r="E7" i="4"/>
  <c r="G7" i="4" s="1"/>
  <c r="H6" i="4"/>
  <c r="E6" i="4"/>
  <c r="G6" i="4" s="1"/>
  <c r="H5" i="4"/>
  <c r="E5" i="4"/>
  <c r="G5" i="4" s="1"/>
  <c r="P22" i="1"/>
  <c r="P21" i="1"/>
  <c r="P20" i="1"/>
  <c r="O19" i="1"/>
  <c r="N19" i="1"/>
  <c r="M19" i="1"/>
  <c r="L19" i="1"/>
  <c r="K19" i="1"/>
  <c r="J19" i="1"/>
  <c r="I19" i="1"/>
  <c r="H19" i="1"/>
  <c r="G19" i="1"/>
  <c r="F19" i="1"/>
  <c r="E19" i="1"/>
  <c r="D19" i="1"/>
  <c r="P19" i="1" s="1"/>
  <c r="P18" i="1"/>
  <c r="P17" i="1"/>
  <c r="O16" i="1"/>
  <c r="N16" i="1"/>
  <c r="M16" i="1"/>
  <c r="L16" i="1"/>
  <c r="K16" i="1"/>
  <c r="J16" i="1"/>
  <c r="I16" i="1"/>
  <c r="H16" i="1"/>
  <c r="G16" i="1"/>
  <c r="F16" i="1"/>
  <c r="E16" i="1"/>
  <c r="D16" i="1"/>
  <c r="P16" i="1" s="1"/>
  <c r="P15" i="1"/>
  <c r="P11" i="1"/>
  <c r="P10" i="1"/>
  <c r="O9" i="1"/>
  <c r="N9" i="1"/>
  <c r="M9" i="1"/>
  <c r="L9" i="1"/>
  <c r="K9" i="1"/>
  <c r="J9" i="1"/>
  <c r="I9" i="1"/>
  <c r="H9" i="1"/>
  <c r="G9" i="1"/>
  <c r="F9" i="1"/>
  <c r="E9" i="1"/>
  <c r="D9" i="1"/>
  <c r="P9" i="1" s="1"/>
  <c r="O8" i="1"/>
  <c r="N8" i="1"/>
  <c r="M8" i="1"/>
  <c r="L8" i="1"/>
  <c r="K8" i="1"/>
  <c r="J8" i="1"/>
  <c r="I8" i="1"/>
  <c r="H8" i="1"/>
  <c r="G8" i="1"/>
  <c r="F8" i="1"/>
  <c r="P8" i="1" s="1"/>
  <c r="E8" i="1"/>
  <c r="D8" i="1"/>
  <c r="P7" i="1"/>
  <c r="P6" i="1"/>
  <c r="O5" i="1"/>
  <c r="N5" i="1"/>
  <c r="M5" i="1"/>
  <c r="L5" i="1"/>
  <c r="K5" i="1"/>
  <c r="J5" i="1"/>
  <c r="I5" i="1"/>
  <c r="H5" i="1"/>
  <c r="G5" i="1"/>
  <c r="F5" i="1"/>
  <c r="E5" i="1"/>
  <c r="P5" i="1" s="1"/>
  <c r="D5" i="1"/>
  <c r="P4" i="1"/>
  <c r="O63" i="5" l="1"/>
  <c r="L70" i="11"/>
  <c r="M40" i="11"/>
  <c r="K41" i="11"/>
  <c r="I173" i="11"/>
  <c r="I195" i="11"/>
  <c r="K194" i="11"/>
  <c r="P60" i="11"/>
  <c r="L40" i="11"/>
  <c r="I41" i="11"/>
  <c r="Q13" i="11"/>
  <c r="L34" i="11"/>
  <c r="P13" i="11"/>
  <c r="L16" i="11"/>
  <c r="N139" i="11"/>
  <c r="M156" i="11"/>
  <c r="I174" i="11"/>
  <c r="K173" i="11"/>
  <c r="L70" i="9"/>
  <c r="Q40" i="9"/>
  <c r="O64" i="9"/>
  <c r="P63" i="9"/>
  <c r="R12" i="9"/>
  <c r="Q20" i="9"/>
  <c r="P20" i="9"/>
  <c r="M41" i="9"/>
  <c r="K42" i="9"/>
  <c r="I41" i="9"/>
  <c r="L40" i="9"/>
  <c r="I173" i="9"/>
  <c r="I174" i="9" s="1"/>
  <c r="M156" i="9"/>
  <c r="M157" i="9" s="1"/>
  <c r="K197" i="9"/>
  <c r="I198" i="9"/>
  <c r="M90" i="7"/>
  <c r="J20" i="7"/>
  <c r="H65" i="7"/>
  <c r="J11" i="7"/>
  <c r="J15" i="7"/>
  <c r="J26" i="7"/>
  <c r="J17" i="7"/>
  <c r="J28" i="7"/>
  <c r="J18" i="7"/>
  <c r="J12" i="7"/>
  <c r="H43" i="7"/>
  <c r="J9" i="7"/>
  <c r="T43" i="7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J19" i="7"/>
  <c r="J13" i="7"/>
  <c r="J10" i="7"/>
  <c r="J27" i="7"/>
  <c r="M9" i="7"/>
  <c r="L26" i="7"/>
  <c r="H21" i="7"/>
  <c r="J30" i="7"/>
  <c r="J34" i="7"/>
  <c r="I21" i="7"/>
  <c r="I22" i="7" s="1"/>
  <c r="J25" i="7"/>
  <c r="J35" i="7"/>
  <c r="I37" i="7"/>
  <c r="I38" i="7" s="1"/>
  <c r="J16" i="7"/>
  <c r="J32" i="7"/>
  <c r="J36" i="7"/>
  <c r="J29" i="7"/>
  <c r="J33" i="7"/>
  <c r="J14" i="7"/>
  <c r="J31" i="7"/>
  <c r="L9" i="7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H37" i="7"/>
  <c r="J17" i="5"/>
  <c r="J31" i="5"/>
  <c r="J16" i="5"/>
  <c r="J13" i="5"/>
  <c r="J18" i="5"/>
  <c r="J10" i="5"/>
  <c r="T43" i="5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J32" i="5"/>
  <c r="J36" i="5"/>
  <c r="J25" i="5"/>
  <c r="J19" i="5"/>
  <c r="J11" i="5"/>
  <c r="H37" i="5"/>
  <c r="J14" i="5"/>
  <c r="J15" i="5"/>
  <c r="J33" i="5"/>
  <c r="I21" i="5"/>
  <c r="I22" i="5" s="1"/>
  <c r="H21" i="5"/>
  <c r="L9" i="5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J30" i="5"/>
  <c r="I37" i="5"/>
  <c r="I38" i="5" s="1"/>
  <c r="H42" i="5"/>
  <c r="J42" i="5" s="1"/>
  <c r="L25" i="5"/>
  <c r="J26" i="5"/>
  <c r="J27" i="5"/>
  <c r="J35" i="5"/>
  <c r="J28" i="5"/>
  <c r="J29" i="5"/>
  <c r="K42" i="11" l="1"/>
  <c r="M41" i="11"/>
  <c r="I196" i="11"/>
  <c r="K195" i="11"/>
  <c r="K174" i="11"/>
  <c r="I175" i="11"/>
  <c r="L41" i="11"/>
  <c r="I42" i="11"/>
  <c r="R13" i="11"/>
  <c r="P20" i="11"/>
  <c r="Q20" i="11"/>
  <c r="P61" i="11"/>
  <c r="M157" i="11"/>
  <c r="N140" i="11"/>
  <c r="O65" i="9"/>
  <c r="P64" i="9"/>
  <c r="M42" i="9"/>
  <c r="K43" i="9"/>
  <c r="I42" i="9"/>
  <c r="L41" i="9"/>
  <c r="N140" i="9"/>
  <c r="K173" i="9"/>
  <c r="M158" i="9"/>
  <c r="N141" i="9"/>
  <c r="I199" i="9"/>
  <c r="K198" i="9"/>
  <c r="I175" i="9"/>
  <c r="K174" i="9"/>
  <c r="J42" i="7"/>
  <c r="H66" i="7"/>
  <c r="J65" i="7"/>
  <c r="J43" i="7"/>
  <c r="H44" i="7"/>
  <c r="J44" i="7" s="1"/>
  <c r="J37" i="7"/>
  <c r="J21" i="7"/>
  <c r="L27" i="7"/>
  <c r="M10" i="7"/>
  <c r="J21" i="5"/>
  <c r="J37" i="5"/>
  <c r="H43" i="5"/>
  <c r="J43" i="5" s="1"/>
  <c r="L26" i="5"/>
  <c r="M9" i="5"/>
  <c r="K43" i="11" l="1"/>
  <c r="M42" i="11"/>
  <c r="I197" i="11"/>
  <c r="K196" i="11"/>
  <c r="K175" i="11"/>
  <c r="I176" i="11"/>
  <c r="N141" i="11"/>
  <c r="M158" i="11"/>
  <c r="P62" i="11"/>
  <c r="L42" i="11"/>
  <c r="I43" i="11"/>
  <c r="O66" i="9"/>
  <c r="P65" i="9"/>
  <c r="I43" i="9"/>
  <c r="L42" i="9"/>
  <c r="K44" i="9"/>
  <c r="M43" i="9"/>
  <c r="K175" i="9"/>
  <c r="I176" i="9"/>
  <c r="M159" i="9"/>
  <c r="N142" i="9"/>
  <c r="K199" i="9"/>
  <c r="I200" i="9"/>
  <c r="H45" i="7"/>
  <c r="J45" i="7" s="1"/>
  <c r="H67" i="7"/>
  <c r="J66" i="7"/>
  <c r="L28" i="7"/>
  <c r="M11" i="7"/>
  <c r="H44" i="5"/>
  <c r="J44" i="5" s="1"/>
  <c r="L27" i="5"/>
  <c r="M10" i="5"/>
  <c r="M43" i="11" l="1"/>
  <c r="K44" i="11"/>
  <c r="I198" i="11"/>
  <c r="K197" i="11"/>
  <c r="P63" i="11"/>
  <c r="K176" i="11"/>
  <c r="I177" i="11"/>
  <c r="I44" i="11"/>
  <c r="L43" i="11"/>
  <c r="M159" i="11"/>
  <c r="N142" i="11"/>
  <c r="O67" i="9"/>
  <c r="P66" i="9"/>
  <c r="K45" i="9"/>
  <c r="M44" i="9"/>
  <c r="I44" i="9"/>
  <c r="L43" i="9"/>
  <c r="N143" i="9"/>
  <c r="M160" i="9"/>
  <c r="K176" i="9"/>
  <c r="I177" i="9"/>
  <c r="K200" i="9"/>
  <c r="I201" i="9"/>
  <c r="H46" i="7"/>
  <c r="J46" i="7" s="1"/>
  <c r="H68" i="7"/>
  <c r="J67" i="7"/>
  <c r="L29" i="7"/>
  <c r="M12" i="7"/>
  <c r="H45" i="5"/>
  <c r="J45" i="5" s="1"/>
  <c r="L28" i="5"/>
  <c r="M11" i="5"/>
  <c r="H46" i="5"/>
  <c r="J46" i="5" s="1"/>
  <c r="K45" i="11" l="1"/>
  <c r="M44" i="11"/>
  <c r="I199" i="11"/>
  <c r="K198" i="11"/>
  <c r="P64" i="11"/>
  <c r="I45" i="11"/>
  <c r="L44" i="11"/>
  <c r="I178" i="11"/>
  <c r="K177" i="11"/>
  <c r="M160" i="11"/>
  <c r="N143" i="11"/>
  <c r="O68" i="9"/>
  <c r="P67" i="9"/>
  <c r="I45" i="9"/>
  <c r="L44" i="9"/>
  <c r="K46" i="9"/>
  <c r="M45" i="9"/>
  <c r="H47" i="7"/>
  <c r="I202" i="9"/>
  <c r="K201" i="9"/>
  <c r="I178" i="9"/>
  <c r="K177" i="9"/>
  <c r="N144" i="9"/>
  <c r="M161" i="9"/>
  <c r="H69" i="7"/>
  <c r="J68" i="7"/>
  <c r="M13" i="7"/>
  <c r="L30" i="7"/>
  <c r="J47" i="7"/>
  <c r="H48" i="7"/>
  <c r="L29" i="5"/>
  <c r="M12" i="5"/>
  <c r="H47" i="5"/>
  <c r="J47" i="5" s="1"/>
  <c r="M45" i="11" l="1"/>
  <c r="K46" i="11"/>
  <c r="I200" i="11"/>
  <c r="K199" i="11"/>
  <c r="K178" i="11"/>
  <c r="I179" i="11"/>
  <c r="L45" i="11"/>
  <c r="I46" i="11"/>
  <c r="P65" i="11"/>
  <c r="M161" i="11"/>
  <c r="N144" i="11"/>
  <c r="O69" i="9"/>
  <c r="P69" i="9" s="1"/>
  <c r="P68" i="9"/>
  <c r="K47" i="9"/>
  <c r="M46" i="9"/>
  <c r="I46" i="9"/>
  <c r="L45" i="9"/>
  <c r="M162" i="9"/>
  <c r="N145" i="9"/>
  <c r="I179" i="9"/>
  <c r="K178" i="9"/>
  <c r="I203" i="9"/>
  <c r="K203" i="9" s="1"/>
  <c r="K202" i="9"/>
  <c r="H70" i="7"/>
  <c r="J69" i="7"/>
  <c r="L31" i="7"/>
  <c r="M14" i="7"/>
  <c r="J48" i="7"/>
  <c r="H49" i="7"/>
  <c r="L30" i="5"/>
  <c r="M13" i="5"/>
  <c r="H48" i="5"/>
  <c r="J48" i="5" s="1"/>
  <c r="K47" i="11" l="1"/>
  <c r="M46" i="11"/>
  <c r="I201" i="11"/>
  <c r="K200" i="11"/>
  <c r="L46" i="11"/>
  <c r="I47" i="11"/>
  <c r="P66" i="11"/>
  <c r="K179" i="11"/>
  <c r="I180" i="11"/>
  <c r="N145" i="11"/>
  <c r="M162" i="11"/>
  <c r="P70" i="9"/>
  <c r="Q41" i="9" s="1"/>
  <c r="Q43" i="9" s="1"/>
  <c r="I47" i="9"/>
  <c r="L46" i="9"/>
  <c r="K48" i="9"/>
  <c r="M47" i="9"/>
  <c r="K204" i="9"/>
  <c r="K206" i="9" s="1"/>
  <c r="K179" i="9"/>
  <c r="I180" i="9"/>
  <c r="M163" i="9"/>
  <c r="N146" i="9"/>
  <c r="H71" i="7"/>
  <c r="J70" i="7"/>
  <c r="M15" i="7"/>
  <c r="L32" i="7"/>
  <c r="J49" i="7"/>
  <c r="H50" i="7"/>
  <c r="L31" i="5"/>
  <c r="M14" i="5"/>
  <c r="H49" i="5"/>
  <c r="J49" i="5" s="1"/>
  <c r="K48" i="11" l="1"/>
  <c r="M47" i="11"/>
  <c r="I202" i="11"/>
  <c r="K201" i="11"/>
  <c r="K180" i="11"/>
  <c r="I181" i="11"/>
  <c r="K181" i="11" s="1"/>
  <c r="K182" i="11" s="1"/>
  <c r="P67" i="11"/>
  <c r="I48" i="11"/>
  <c r="L47" i="11"/>
  <c r="N146" i="11"/>
  <c r="M163" i="11"/>
  <c r="K49" i="9"/>
  <c r="M48" i="9"/>
  <c r="I48" i="9"/>
  <c r="L47" i="9"/>
  <c r="K180" i="9"/>
  <c r="I181" i="9"/>
  <c r="K181" i="9" s="1"/>
  <c r="M164" i="9"/>
  <c r="N148" i="9" s="1"/>
  <c r="N147" i="9"/>
  <c r="H72" i="7"/>
  <c r="J71" i="7"/>
  <c r="M16" i="7"/>
  <c r="L33" i="7"/>
  <c r="H51" i="7"/>
  <c r="J50" i="7"/>
  <c r="L32" i="5"/>
  <c r="M15" i="5"/>
  <c r="H50" i="5"/>
  <c r="J50" i="5" s="1"/>
  <c r="M48" i="11" l="1"/>
  <c r="K49" i="11"/>
  <c r="K204" i="11"/>
  <c r="K206" i="11" s="1"/>
  <c r="I203" i="11"/>
  <c r="K203" i="11" s="1"/>
  <c r="K202" i="11"/>
  <c r="N147" i="11"/>
  <c r="M164" i="11"/>
  <c r="N148" i="11" s="1"/>
  <c r="I49" i="11"/>
  <c r="L48" i="11"/>
  <c r="P68" i="11"/>
  <c r="P69" i="11"/>
  <c r="O205" i="11"/>
  <c r="K184" i="11"/>
  <c r="K186" i="11" s="1"/>
  <c r="K182" i="9"/>
  <c r="I49" i="9"/>
  <c r="L48" i="9"/>
  <c r="K50" i="9"/>
  <c r="M50" i="9" s="1"/>
  <c r="M49" i="9"/>
  <c r="O205" i="9"/>
  <c r="K184" i="9"/>
  <c r="K186" i="9" s="1"/>
  <c r="H73" i="7"/>
  <c r="J72" i="7"/>
  <c r="L34" i="7"/>
  <c r="M17" i="7"/>
  <c r="H52" i="7"/>
  <c r="J51" i="7"/>
  <c r="L33" i="5"/>
  <c r="M16" i="5"/>
  <c r="H51" i="5"/>
  <c r="J51" i="5" s="1"/>
  <c r="K50" i="11" l="1"/>
  <c r="M50" i="11" s="1"/>
  <c r="M49" i="11"/>
  <c r="M51" i="11" s="1"/>
  <c r="Q14" i="11" s="1"/>
  <c r="Q16" i="11" s="1"/>
  <c r="O206" i="11"/>
  <c r="P206" i="11" s="1"/>
  <c r="P205" i="11"/>
  <c r="P70" i="11"/>
  <c r="Q41" i="11" s="1"/>
  <c r="Q43" i="11" s="1"/>
  <c r="L49" i="11"/>
  <c r="I50" i="11"/>
  <c r="L50" i="11" s="1"/>
  <c r="L51" i="11" s="1"/>
  <c r="P14" i="11" s="1"/>
  <c r="M51" i="9"/>
  <c r="Q14" i="9" s="1"/>
  <c r="I50" i="9"/>
  <c r="L50" i="9" s="1"/>
  <c r="L49" i="9"/>
  <c r="O206" i="9"/>
  <c r="P206" i="9" s="1"/>
  <c r="P205" i="9"/>
  <c r="H74" i="7"/>
  <c r="J73" i="7"/>
  <c r="M18" i="7"/>
  <c r="L35" i="7"/>
  <c r="J52" i="7"/>
  <c r="H53" i="7"/>
  <c r="J53" i="7" s="1"/>
  <c r="L34" i="5"/>
  <c r="M17" i="5"/>
  <c r="H52" i="5"/>
  <c r="J52" i="5" s="1"/>
  <c r="R14" i="11" l="1"/>
  <c r="P16" i="11"/>
  <c r="R16" i="11" s="1"/>
  <c r="O210" i="11"/>
  <c r="O216" i="11"/>
  <c r="L51" i="9"/>
  <c r="Q16" i="9"/>
  <c r="P14" i="9"/>
  <c r="O210" i="9"/>
  <c r="O216" i="9"/>
  <c r="J54" i="7"/>
  <c r="H75" i="7"/>
  <c r="J75" i="7" s="1"/>
  <c r="J74" i="7"/>
  <c r="L36" i="7"/>
  <c r="M20" i="7" s="1"/>
  <c r="M19" i="7"/>
  <c r="L35" i="5"/>
  <c r="M18" i="5"/>
  <c r="H53" i="5"/>
  <c r="J53" i="5" s="1"/>
  <c r="O218" i="11" l="1"/>
  <c r="N220" i="11" s="1"/>
  <c r="P216" i="11"/>
  <c r="P218" i="11" s="1"/>
  <c r="P16" i="9"/>
  <c r="R16" i="9" s="1"/>
  <c r="R14" i="9"/>
  <c r="O218" i="9"/>
  <c r="N220" i="9" s="1"/>
  <c r="P216" i="9"/>
  <c r="P218" i="9" s="1"/>
  <c r="J56" i="7"/>
  <c r="J58" i="7" s="1"/>
  <c r="N77" i="7"/>
  <c r="J76" i="7"/>
  <c r="J78" i="7" s="1"/>
  <c r="L36" i="5"/>
  <c r="M20" i="5" s="1"/>
  <c r="M19" i="5"/>
  <c r="J54" i="5"/>
  <c r="J56" i="5" s="1"/>
  <c r="J58" i="5" s="1"/>
  <c r="O77" i="7" l="1"/>
  <c r="N78" i="7"/>
  <c r="O78" i="7" s="1"/>
  <c r="N82" i="7" l="1"/>
  <c r="N88" i="7"/>
  <c r="N90" i="7" l="1"/>
  <c r="M92" i="7" s="1"/>
  <c r="O88" i="7"/>
  <c r="O90" i="7" s="1"/>
</calcChain>
</file>

<file path=xl/sharedStrings.xml><?xml version="1.0" encoding="utf-8"?>
<sst xmlns="http://schemas.openxmlformats.org/spreadsheetml/2006/main" count="566" uniqueCount="115">
  <si>
    <t>FY24</t>
  </si>
  <si>
    <t>FY24 Total</t>
  </si>
  <si>
    <t>Hedge</t>
  </si>
  <si>
    <t>Silver Paste (tube)</t>
  </si>
  <si>
    <t>Silver Paste (grams)</t>
  </si>
  <si>
    <t>Raw Silver (grams)</t>
  </si>
  <si>
    <t>Un-Hedge</t>
  </si>
  <si>
    <t>Silver Paste (USD)</t>
  </si>
  <si>
    <t>FY25</t>
  </si>
  <si>
    <t>FY25 Total</t>
  </si>
  <si>
    <t>*Oct-25 to Mar-25 based on BP qty</t>
  </si>
  <si>
    <t xml:space="preserve">*Jul-25 onwards unit price based on May quotation </t>
  </si>
  <si>
    <t>*Jun-25 onwards 400g/tube</t>
  </si>
  <si>
    <t>Material</t>
  </si>
  <si>
    <t>Hedge raw</t>
  </si>
  <si>
    <t>Unhedge</t>
  </si>
  <si>
    <t>Sum</t>
  </si>
  <si>
    <t>gm to toz</t>
  </si>
  <si>
    <t>Total</t>
  </si>
  <si>
    <t>Hedged proc</t>
  </si>
  <si>
    <t>Price USD/gm</t>
  </si>
  <si>
    <t>Hedged cost</t>
  </si>
  <si>
    <t>Unhedged cost</t>
  </si>
  <si>
    <t>Hedged quantity</t>
  </si>
  <si>
    <t>Unhedged quantity</t>
  </si>
  <si>
    <t>Unhedged proc</t>
  </si>
  <si>
    <t>Procurement cost</t>
  </si>
  <si>
    <t xml:space="preserve">Raw silver </t>
  </si>
  <si>
    <t>Gm to oz</t>
  </si>
  <si>
    <t>Total cost</t>
  </si>
  <si>
    <t>Hedged price</t>
  </si>
  <si>
    <t>Unhedged price</t>
  </si>
  <si>
    <t>Cum Unhedged</t>
  </si>
  <si>
    <t>Manual</t>
  </si>
  <si>
    <t>AI</t>
  </si>
  <si>
    <t>from pidsg</t>
  </si>
  <si>
    <t>price saa</t>
  </si>
  <si>
    <t>Total Proc</t>
  </si>
  <si>
    <t>Assu-Demand</t>
  </si>
  <si>
    <t>Demand</t>
  </si>
  <si>
    <t>Procurement total</t>
  </si>
  <si>
    <t>Stock</t>
  </si>
  <si>
    <t>Storage cost</t>
  </si>
  <si>
    <t>h</t>
  </si>
  <si>
    <t>Total cost AI</t>
  </si>
  <si>
    <t>Nominal price</t>
  </si>
  <si>
    <t>% savings</t>
  </si>
  <si>
    <t>Demand-APP</t>
  </si>
  <si>
    <t>Demand-PIDSG</t>
  </si>
  <si>
    <t>Total cost-Man</t>
  </si>
  <si>
    <t>Procurement</t>
  </si>
  <si>
    <t>Total cost- AI</t>
  </si>
  <si>
    <t>Cumulative Man</t>
  </si>
  <si>
    <t>Cumulative AI</t>
  </si>
  <si>
    <t>Time</t>
  </si>
  <si>
    <t xml:space="preserve">Unhedged cost </t>
  </si>
  <si>
    <t>trans mg</t>
  </si>
  <si>
    <t>Storage</t>
  </si>
  <si>
    <t>May</t>
  </si>
  <si>
    <t>AI- Storage</t>
  </si>
  <si>
    <t>Manual storage</t>
  </si>
  <si>
    <t>I0</t>
  </si>
  <si>
    <t>Total cost manual</t>
  </si>
  <si>
    <t>Date</t>
  </si>
  <si>
    <t>Order-Manual-Hedged</t>
  </si>
  <si>
    <t>Order-Manual-Unhedged</t>
  </si>
  <si>
    <t>Order-Manual Total</t>
  </si>
  <si>
    <t>Order-AI-Hedged</t>
  </si>
  <si>
    <t>Order-AI-Unhedged</t>
  </si>
  <si>
    <t>Order-AI-Total</t>
  </si>
  <si>
    <t>AI-Stock</t>
  </si>
  <si>
    <t>Manual-storage-cost</t>
  </si>
  <si>
    <t>AI-storage-cost</t>
  </si>
  <si>
    <t>Manual-stock</t>
  </si>
  <si>
    <t>procurement cost</t>
  </si>
  <si>
    <t>Backlog</t>
  </si>
  <si>
    <t>KUSD</t>
  </si>
  <si>
    <t>Vol</t>
  </si>
  <si>
    <t>Price/Toz</t>
  </si>
  <si>
    <t>Demand in KUSD</t>
  </si>
  <si>
    <t>Hedge quantity</t>
  </si>
  <si>
    <t>Nominal cost</t>
  </si>
  <si>
    <t>Price-SAA</t>
  </si>
  <si>
    <t>Backlog cost</t>
  </si>
  <si>
    <t>Order- Man</t>
  </si>
  <si>
    <t>Stock-Man</t>
  </si>
  <si>
    <t>Order-AI</t>
  </si>
  <si>
    <t>Stock-AI</t>
  </si>
  <si>
    <t>Total Order in KUSD</t>
  </si>
  <si>
    <t>Total Order in toz</t>
  </si>
  <si>
    <t>Total Order</t>
  </si>
  <si>
    <t>Storage-Manual</t>
  </si>
  <si>
    <t>Storage-AI</t>
  </si>
  <si>
    <t>Man-unhedged cost</t>
  </si>
  <si>
    <t>AI-unhedged cost</t>
  </si>
  <si>
    <t>With cap limit</t>
  </si>
  <si>
    <t>AI Storage</t>
  </si>
  <si>
    <t>With storage limit</t>
  </si>
  <si>
    <t>AI storage cost</t>
  </si>
  <si>
    <t>Total procurement</t>
  </si>
  <si>
    <t>Month</t>
  </si>
  <si>
    <t xml:space="preserve">Manual Procurement </t>
  </si>
  <si>
    <t xml:space="preserve">SAA Procurement </t>
  </si>
  <si>
    <t>Manual Storage</t>
  </si>
  <si>
    <t>SAA Storage</t>
  </si>
  <si>
    <t>Jun</t>
  </si>
  <si>
    <t>Jul</t>
  </si>
  <si>
    <t>Aug</t>
  </si>
  <si>
    <t>Manual Total</t>
  </si>
  <si>
    <t>SAA Total</t>
  </si>
  <si>
    <t>% Savings Procurement</t>
  </si>
  <si>
    <t>% Savings Storage</t>
  </si>
  <si>
    <t>% Savings Total</t>
  </si>
  <si>
    <t>Without storage</t>
  </si>
  <si>
    <t>With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</si>
</sst>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yy"/>
    <numFmt numFmtId="165" formatCode="_-* #,##0.00_-;\-* #,##0.00_-;_-* \-??_-;_-@_-"/>
    <numFmt numFmtId="166" formatCode="_-* #,##0_-;\-* #,##0_-;_-* \-??_-;_-@_-"/>
    <numFmt numFmtId="167" formatCode="mm/dd/yy"/>
    <numFmt numFmtId="168" formatCode="0.0"/>
  </numFmts>
  <fonts count="5" x14ac:knownFonts="1">
    <font>
      <sz val="11"/>
      <color theme="1"/>
      <name val="Aptos Narrow"/>
      <family val="2"/>
      <charset val="1"/>
    </font>
    <font>
      <sz val="11"/>
      <color theme="1"/>
      <name val="Aptos Narrow"/>
      <family val="2"/>
      <charset val="1"/>
    </font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12"/>
      <color theme="1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1" fillId="0" borderId="0" applyBorder="0" applyProtection="0"/>
  </cellStyleXfs>
  <cellXfs count="25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/>
    <xf numFmtId="166" fontId="1" fillId="0" borderId="1" xfId="1" applyNumberFormat="1" applyBorder="1" applyProtection="1"/>
    <xf numFmtId="0" fontId="0" fillId="0" borderId="2" xfId="0" applyBorder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4" fontId="0" fillId="0" borderId="0" xfId="0" applyNumberFormat="1"/>
    <xf numFmtId="168" fontId="0" fillId="0" borderId="0" xfId="0" applyNumberFormat="1" applyAlignment="1">
      <alignment horizontal="center"/>
    </xf>
    <xf numFmtId="167" fontId="2" fillId="0" borderId="0" xfId="0" applyNumberFormat="1" applyFont="1"/>
    <xf numFmtId="0" fontId="0" fillId="0" borderId="0" xfId="0" applyAlignment="1">
      <alignment vertical="top" wrapText="1"/>
    </xf>
    <xf numFmtId="17" fontId="0" fillId="0" borderId="0" xfId="0" applyNumberFormat="1"/>
    <xf numFmtId="0" fontId="0" fillId="0" borderId="0" xfId="0" applyAlignment="1">
      <alignment vertical="center" wrapText="1"/>
    </xf>
    <xf numFmtId="2" fontId="0" fillId="0" borderId="0" xfId="0" applyNumberFormat="1"/>
    <xf numFmtId="0" fontId="4" fillId="0" borderId="0" xfId="0" applyFont="1"/>
    <xf numFmtId="0" fontId="0" fillId="3" borderId="0" xfId="0" applyFill="1"/>
    <xf numFmtId="11" fontId="0" fillId="0" borderId="0" xfId="0" applyNumberFormat="1"/>
    <xf numFmtId="2" fontId="0" fillId="3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Raw silver price USD/gm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'25'!$B$12</c:f>
              <c:strCache>
                <c:ptCount val="1"/>
                <c:pt idx="0">
                  <c:v>Hedge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'25'!$C$11:$N$11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45683</c:v>
                </c:pt>
                <c:pt idx="10">
                  <c:v>45714</c:v>
                </c:pt>
                <c:pt idx="11">
                  <c:v>45742</c:v>
                </c:pt>
              </c:numCache>
            </c:numRef>
          </c:cat>
          <c:val>
            <c:numRef>
              <c:f>'25'!$C$12:$N$12</c:f>
              <c:numCache>
                <c:formatCode>General</c:formatCode>
                <c:ptCount val="12"/>
                <c:pt idx="0">
                  <c:v>1.5288157894736842</c:v>
                </c:pt>
                <c:pt idx="1">
                  <c:v>1.5806907894736841</c:v>
                </c:pt>
                <c:pt idx="2">
                  <c:v>1.6237697368421053</c:v>
                </c:pt>
                <c:pt idx="3">
                  <c:v>1.6237697368421053</c:v>
                </c:pt>
                <c:pt idx="4">
                  <c:v>1.6237697368421053</c:v>
                </c:pt>
                <c:pt idx="5">
                  <c:v>1.6237697368421053</c:v>
                </c:pt>
                <c:pt idx="6">
                  <c:v>1.7219534883720931</c:v>
                </c:pt>
                <c:pt idx="7">
                  <c:v>1.720433105627585</c:v>
                </c:pt>
                <c:pt idx="8">
                  <c:v>1.720433105627585</c:v>
                </c:pt>
                <c:pt idx="9">
                  <c:v>1.720433105627585</c:v>
                </c:pt>
                <c:pt idx="10">
                  <c:v>1.720433105627585</c:v>
                </c:pt>
                <c:pt idx="11">
                  <c:v>1.720433105627585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D-4DBC-8FFC-FF176F38CFD5}"/>
            </c:ext>
          </c:extLst>
        </c:ser>
        <c:ser>
          <c:idx val="1"/>
          <c:order val="1"/>
          <c:tx>
            <c:strRef>
              <c:f>'25'!$B$13</c:f>
              <c:strCache>
                <c:ptCount val="1"/>
                <c:pt idx="0">
                  <c:v>Un-Hedge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'25'!$C$11:$N$11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45683</c:v>
                </c:pt>
                <c:pt idx="10">
                  <c:v>45714</c:v>
                </c:pt>
                <c:pt idx="11">
                  <c:v>45742</c:v>
                </c:pt>
              </c:numCache>
            </c:numRef>
          </c:cat>
          <c:val>
            <c:numRef>
              <c:f>'25'!$C$13:$N$13</c:f>
              <c:numCache>
                <c:formatCode>General</c:formatCode>
                <c:ptCount val="12"/>
                <c:pt idx="0">
                  <c:v>1.4112105263157895</c:v>
                </c:pt>
                <c:pt idx="1">
                  <c:v>0</c:v>
                </c:pt>
                <c:pt idx="2">
                  <c:v>1.4613947368421052</c:v>
                </c:pt>
                <c:pt idx="3">
                  <c:v>0.97426315789473683</c:v>
                </c:pt>
                <c:pt idx="4">
                  <c:v>0.97426315789473683</c:v>
                </c:pt>
                <c:pt idx="5">
                  <c:v>0.32475657894736842</c:v>
                </c:pt>
                <c:pt idx="6">
                  <c:v>1.7219534883720931</c:v>
                </c:pt>
                <c:pt idx="7">
                  <c:v>1.720433105627585</c:v>
                </c:pt>
                <c:pt idx="8">
                  <c:v>2.2939030624099632</c:v>
                </c:pt>
                <c:pt idx="9">
                  <c:v>0.28673497839118917</c:v>
                </c:pt>
                <c:pt idx="10">
                  <c:v>1.4336865095961708</c:v>
                </c:pt>
                <c:pt idx="11">
                  <c:v>1.1469515312049816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D-4DBC-8FFC-FF176F38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418688"/>
        <c:axId val="844417248"/>
      </c:lineChart>
      <c:dateAx>
        <c:axId val="844418688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17248"/>
        <c:crosses val="autoZero"/>
        <c:auto val="1"/>
        <c:lblOffset val="100"/>
        <c:baseTimeUnit val="months"/>
      </c:dateAx>
      <c:valAx>
        <c:axId val="8444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Cost (KUSD)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Eval07!$J$41</c:f>
              <c:strCache>
                <c:ptCount val="1"/>
                <c:pt idx="0">
                  <c:v>Storage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Eval07!$J$42:$J$53</c:f>
              <c:numCache>
                <c:formatCode>General</c:formatCode>
                <c:ptCount val="12"/>
                <c:pt idx="0">
                  <c:v>4271.1183717419517</c:v>
                </c:pt>
                <c:pt idx="1">
                  <c:v>1654.4669661241915</c:v>
                </c:pt>
                <c:pt idx="2">
                  <c:v>3912.3378987292795</c:v>
                </c:pt>
                <c:pt idx="3">
                  <c:v>10728.398723507267</c:v>
                </c:pt>
                <c:pt idx="4">
                  <c:v>17041.954939826166</c:v>
                </c:pt>
                <c:pt idx="5">
                  <c:v>19660.601599272944</c:v>
                </c:pt>
                <c:pt idx="6">
                  <c:v>15111.978929410579</c:v>
                </c:pt>
                <c:pt idx="7">
                  <c:v>11038.074207174041</c:v>
                </c:pt>
                <c:pt idx="8">
                  <c:v>8897.5273788054092</c:v>
                </c:pt>
                <c:pt idx="9">
                  <c:v>7001.52272719336</c:v>
                </c:pt>
                <c:pt idx="10">
                  <c:v>5617.204276934046</c:v>
                </c:pt>
                <c:pt idx="11">
                  <c:v>4292.8554339669317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8-C84E-9EDC-F3E90AAE0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677743"/>
        <c:axId val="1339644543"/>
      </c:lineChart>
      <c:catAx>
        <c:axId val="133967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44543"/>
        <c:crosses val="autoZero"/>
        <c:auto val="1"/>
        <c:lblAlgn val="ctr"/>
        <c:lblOffset val="100"/>
        <c:noMultiLvlLbl val="0"/>
      </c:catAx>
      <c:valAx>
        <c:axId val="13396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Cumutaive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Eval07!$S$41</c:f>
              <c:strCache>
                <c:ptCount val="1"/>
                <c:pt idx="0">
                  <c:v>Cumulative 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Eval07!$R$42:$R$53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Eval07!$S$42:$S$53</c:f>
              <c:numCache>
                <c:formatCode>General</c:formatCode>
                <c:ptCount val="12"/>
                <c:pt idx="0">
                  <c:v>446884</c:v>
                </c:pt>
                <c:pt idx="1">
                  <c:v>687149</c:v>
                </c:pt>
                <c:pt idx="2">
                  <c:v>1161939.5789473685</c:v>
                </c:pt>
                <c:pt idx="3">
                  <c:v>1512998.7368421054</c:v>
                </c:pt>
                <c:pt idx="4">
                  <c:v>1864057.8947368423</c:v>
                </c:pt>
                <c:pt idx="5">
                  <c:v>2124510.6710526319</c:v>
                </c:pt>
                <c:pt idx="6">
                  <c:v>2403467.1361689111</c:v>
                </c:pt>
                <c:pt idx="7">
                  <c:v>2737231.1586606628</c:v>
                </c:pt>
                <c:pt idx="8">
                  <c:v>3208585.1538277245</c:v>
                </c:pt>
                <c:pt idx="9">
                  <c:v>3364393.2063859291</c:v>
                </c:pt>
                <c:pt idx="10">
                  <c:v>3644271.4050940475</c:v>
                </c:pt>
                <c:pt idx="11">
                  <c:v>3879440.5531492545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6-F149-ABE3-F3558E3DCE49}"/>
            </c:ext>
          </c:extLst>
        </c:ser>
        <c:ser>
          <c:idx val="1"/>
          <c:order val="1"/>
          <c:tx>
            <c:strRef>
              <c:f>Eval07!$T$41</c:f>
              <c:strCache>
                <c:ptCount val="1"/>
                <c:pt idx="0">
                  <c:v>Cumulative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Eval07!$R$42:$R$53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Eval07!$T$42:$T$53</c:f>
              <c:numCache>
                <c:formatCode>General</c:formatCode>
                <c:ptCount val="12"/>
                <c:pt idx="0">
                  <c:v>542281.50637903402</c:v>
                </c:pt>
                <c:pt idx="1">
                  <c:v>793696.84074117395</c:v>
                </c:pt>
                <c:pt idx="2">
                  <c:v>1372327.4382430147</c:v>
                </c:pt>
                <c:pt idx="3">
                  <c:v>1849345.7613032269</c:v>
                </c:pt>
                <c:pt idx="4">
                  <c:v>2320020.2366062365</c:v>
                </c:pt>
                <c:pt idx="5">
                  <c:v>2624472.9133926621</c:v>
                </c:pt>
                <c:pt idx="6">
                  <c:v>2794021.1728576827</c:v>
                </c:pt>
                <c:pt idx="7">
                  <c:v>2959232.2088144729</c:v>
                </c:pt>
                <c:pt idx="8">
                  <c:v>3118779.8252753783</c:v>
                </c:pt>
                <c:pt idx="9">
                  <c:v>3277245.4265613863</c:v>
                </c:pt>
                <c:pt idx="10">
                  <c:v>3432016.8084543906</c:v>
                </c:pt>
                <c:pt idx="11">
                  <c:v>3583736.9750696169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6-F149-ABE3-F3558E3DC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213215"/>
        <c:axId val="1035064015"/>
      </c:lineChart>
      <c:dateAx>
        <c:axId val="10352132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64015"/>
        <c:crosses val="autoZero"/>
        <c:auto val="1"/>
        <c:lblOffset val="100"/>
        <c:baseTimeUnit val="months"/>
      </c:dateAx>
      <c:valAx>
        <c:axId val="10350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Cumulative</a:t>
            </a:r>
            <a:r>
              <a:rPr lang="en-SG" baseline="0"/>
              <a:t> Unhedged Cost USD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Eval08!$M$136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Eval08!$L$137:$L$148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Eval08!$M$137:$M$148</c:f>
              <c:numCache>
                <c:formatCode>General</c:formatCode>
                <c:ptCount val="12"/>
                <c:pt idx="0">
                  <c:v>108996.8553735357</c:v>
                </c:pt>
                <c:pt idx="1">
                  <c:v>108996.8553735357</c:v>
                </c:pt>
                <c:pt idx="2">
                  <c:v>224690.52210675133</c:v>
                </c:pt>
                <c:pt idx="3">
                  <c:v>266259.03676399513</c:v>
                </c:pt>
                <c:pt idx="4">
                  <c:v>307827.55142123892</c:v>
                </c:pt>
                <c:pt idx="5">
                  <c:v>307827.55142123892</c:v>
                </c:pt>
                <c:pt idx="6">
                  <c:v>524509.49671846023</c:v>
                </c:pt>
                <c:pt idx="7">
                  <c:v>653078.15270851972</c:v>
                </c:pt>
                <c:pt idx="8">
                  <c:v>792768.8483112962</c:v>
                </c:pt>
                <c:pt idx="9">
                  <c:v>796195.90091614693</c:v>
                </c:pt>
                <c:pt idx="10">
                  <c:v>849213.61526811495</c:v>
                </c:pt>
                <c:pt idx="11">
                  <c:v>890831.11158837902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F-984A-8DF8-C7F5B2F57166}"/>
            </c:ext>
          </c:extLst>
        </c:ser>
        <c:ser>
          <c:idx val="1"/>
          <c:order val="1"/>
          <c:tx>
            <c:strRef>
              <c:f>Eval08!$N$136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Eval08!$L$137:$L$148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Eval08!$N$137:$N$148</c:f>
              <c:numCache>
                <c:formatCode>General</c:formatCode>
                <c:ptCount val="12"/>
                <c:pt idx="0">
                  <c:v>108996.8553735357</c:v>
                </c:pt>
                <c:pt idx="1">
                  <c:v>108996.8553735357</c:v>
                </c:pt>
                <c:pt idx="2">
                  <c:v>224690.52210675133</c:v>
                </c:pt>
                <c:pt idx="3">
                  <c:v>415833.15958043491</c:v>
                </c:pt>
                <c:pt idx="4">
                  <c:v>627957.52842254017</c:v>
                </c:pt>
                <c:pt idx="5">
                  <c:v>627957.52842254017</c:v>
                </c:pt>
                <c:pt idx="6">
                  <c:v>627957.52842254017</c:v>
                </c:pt>
                <c:pt idx="7">
                  <c:v>659262.465350062</c:v>
                </c:pt>
                <c:pt idx="8">
                  <c:v>659262.465350062</c:v>
                </c:pt>
                <c:pt idx="9">
                  <c:v>659262.465350062</c:v>
                </c:pt>
                <c:pt idx="10">
                  <c:v>659262.465350062</c:v>
                </c:pt>
                <c:pt idx="11">
                  <c:v>659262.465350062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F-984A-8DF8-C7F5B2F57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906560"/>
        <c:axId val="1156920480"/>
      </c:barChart>
      <c:dateAx>
        <c:axId val="1156906560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20480"/>
        <c:crosses val="autoZero"/>
        <c:auto val="1"/>
        <c:lblOffset val="100"/>
        <c:baseTimeUnit val="months"/>
      </c:dateAx>
      <c:valAx>
        <c:axId val="11569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Eval08!$H$206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Eval08!$G$207</c:f>
              <c:numCache>
                <c:formatCode>General</c:formatCode>
                <c:ptCount val="1"/>
              </c:numCache>
            </c:numRef>
          </c:cat>
          <c:val>
            <c:numRef>
              <c:f>Eval08!$H$207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4-C34D-99E2-6992F8573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8815"/>
        <c:axId val="379838479"/>
      </c:lineChart>
      <c:catAx>
        <c:axId val="378198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38479"/>
        <c:crosses val="autoZero"/>
        <c:auto val="1"/>
        <c:lblAlgn val="ctr"/>
        <c:lblOffset val="100"/>
        <c:noMultiLvlLbl val="0"/>
      </c:catAx>
      <c:valAx>
        <c:axId val="3798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Cost (KUSD)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Eval08!$K$169</c:f>
              <c:strCache>
                <c:ptCount val="1"/>
                <c:pt idx="0">
                  <c:v>Storage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Eval08!$K$170:$K$181</c:f>
              <c:numCache>
                <c:formatCode>General</c:formatCode>
                <c:ptCount val="12"/>
                <c:pt idx="0">
                  <c:v>4271.1183717419517</c:v>
                </c:pt>
                <c:pt idx="1">
                  <c:v>1654.4669661241915</c:v>
                </c:pt>
                <c:pt idx="2">
                  <c:v>3912.3378987292795</c:v>
                </c:pt>
                <c:pt idx="3">
                  <c:v>9862.9151844125918</c:v>
                </c:pt>
                <c:pt idx="4">
                  <c:v>16604.069137357037</c:v>
                </c:pt>
                <c:pt idx="5">
                  <c:v>15123.567442894353</c:v>
                </c:pt>
                <c:pt idx="6">
                  <c:v>10574.94477303199</c:v>
                </c:pt>
                <c:pt idx="7">
                  <c:v>7232.2949890670361</c:v>
                </c:pt>
                <c:pt idx="8">
                  <c:v>5091.7481606984029</c:v>
                </c:pt>
                <c:pt idx="9">
                  <c:v>3195.7435090863532</c:v>
                </c:pt>
                <c:pt idx="10">
                  <c:v>1811.4250588270397</c:v>
                </c:pt>
                <c:pt idx="11">
                  <c:v>487.07621585992518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4-3C43-90FC-B0F3608CE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677743"/>
        <c:axId val="1339644543"/>
      </c:lineChart>
      <c:catAx>
        <c:axId val="133967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44543"/>
        <c:crosses val="autoZero"/>
        <c:auto val="1"/>
        <c:lblAlgn val="ctr"/>
        <c:lblOffset val="100"/>
        <c:noMultiLvlLbl val="0"/>
      </c:catAx>
      <c:valAx>
        <c:axId val="13396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Cumutaive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Eval08!$T$169</c:f>
              <c:strCache>
                <c:ptCount val="1"/>
                <c:pt idx="0">
                  <c:v>Cumulative 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Eval08!$S$170:$S$181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Eval08!$T$170:$T$181</c:f>
              <c:numCache>
                <c:formatCode>General</c:formatCode>
                <c:ptCount val="12"/>
                <c:pt idx="0">
                  <c:v>446884</c:v>
                </c:pt>
                <c:pt idx="1">
                  <c:v>687149</c:v>
                </c:pt>
                <c:pt idx="2">
                  <c:v>1161939.5789473685</c:v>
                </c:pt>
                <c:pt idx="3">
                  <c:v>1512998.7368421054</c:v>
                </c:pt>
                <c:pt idx="4">
                  <c:v>1864057.8947368423</c:v>
                </c:pt>
                <c:pt idx="5">
                  <c:v>2124510.6710526319</c:v>
                </c:pt>
                <c:pt idx="6">
                  <c:v>2403467.1361689111</c:v>
                </c:pt>
                <c:pt idx="7">
                  <c:v>2737231.1586606628</c:v>
                </c:pt>
                <c:pt idx="8">
                  <c:v>3208585.1538277245</c:v>
                </c:pt>
                <c:pt idx="9">
                  <c:v>3364393.2063859291</c:v>
                </c:pt>
                <c:pt idx="10">
                  <c:v>3644271.4050940475</c:v>
                </c:pt>
                <c:pt idx="11">
                  <c:v>3879440.5531492545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D-7E4D-B9EE-16688C28E19F}"/>
            </c:ext>
          </c:extLst>
        </c:ser>
        <c:ser>
          <c:idx val="1"/>
          <c:order val="1"/>
          <c:tx>
            <c:strRef>
              <c:f>Eval08!$U$169</c:f>
              <c:strCache>
                <c:ptCount val="1"/>
                <c:pt idx="0">
                  <c:v>Cumulative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Eval08!$S$170:$S$181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Eval08!$U$170:$U$181</c:f>
              <c:numCache>
                <c:formatCode>General</c:formatCode>
                <c:ptCount val="12"/>
                <c:pt idx="0">
                  <c:v>542281.50637903402</c:v>
                </c:pt>
                <c:pt idx="1">
                  <c:v>793696.84074117395</c:v>
                </c:pt>
                <c:pt idx="2">
                  <c:v>1372327.4382430147</c:v>
                </c:pt>
                <c:pt idx="3">
                  <c:v>1849345.7613032269</c:v>
                </c:pt>
                <c:pt idx="4">
                  <c:v>2320020.2366062365</c:v>
                </c:pt>
                <c:pt idx="5">
                  <c:v>2624472.9133926621</c:v>
                </c:pt>
                <c:pt idx="6">
                  <c:v>2794021.1728576827</c:v>
                </c:pt>
                <c:pt idx="7">
                  <c:v>2959232.2088144729</c:v>
                </c:pt>
                <c:pt idx="8">
                  <c:v>3118779.8252753783</c:v>
                </c:pt>
                <c:pt idx="9">
                  <c:v>3277245.4265613863</c:v>
                </c:pt>
                <c:pt idx="10">
                  <c:v>3432016.8084543906</c:v>
                </c:pt>
                <c:pt idx="11">
                  <c:v>3583736.9750696169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D-7E4D-B9EE-16688C28E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213215"/>
        <c:axId val="1035064015"/>
      </c:lineChart>
      <c:dateAx>
        <c:axId val="10352132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64015"/>
        <c:crosses val="autoZero"/>
        <c:auto val="1"/>
        <c:lblOffset val="100"/>
        <c:baseTimeUnit val="months"/>
      </c:dateAx>
      <c:valAx>
        <c:axId val="10350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Cumulative</a:t>
            </a:r>
            <a:r>
              <a:rPr lang="en-SG" baseline="0"/>
              <a:t> Unhedged Cost USD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Eval04!$L$8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Eval04!$K$9:$K$20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Eval04!$L$9:$L$20</c:f>
              <c:numCache>
                <c:formatCode>General</c:formatCode>
                <c:ptCount val="12"/>
                <c:pt idx="0">
                  <c:v>214504</c:v>
                </c:pt>
                <c:pt idx="1">
                  <c:v>214504</c:v>
                </c:pt>
                <c:pt idx="2">
                  <c:v>442481.57894736843</c:v>
                </c:pt>
                <c:pt idx="3">
                  <c:v>546727.73684210528</c:v>
                </c:pt>
                <c:pt idx="4">
                  <c:v>650973.89473684214</c:v>
                </c:pt>
                <c:pt idx="5">
                  <c:v>664613.67105263157</c:v>
                </c:pt>
                <c:pt idx="6">
                  <c:v>795482.13616891066</c:v>
                </c:pt>
                <c:pt idx="7">
                  <c:v>981158.15866066213</c:v>
                </c:pt>
                <c:pt idx="8">
                  <c:v>1304424.1538277238</c:v>
                </c:pt>
                <c:pt idx="9">
                  <c:v>1312144.2063859282</c:v>
                </c:pt>
                <c:pt idx="10">
                  <c:v>1443934.4050940466</c:v>
                </c:pt>
                <c:pt idx="11">
                  <c:v>1531015.5531492536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7-401F-BF5C-D06FE4F1A5C3}"/>
            </c:ext>
          </c:extLst>
        </c:ser>
        <c:ser>
          <c:idx val="1"/>
          <c:order val="1"/>
          <c:tx>
            <c:strRef>
              <c:f>Eval04!$M$8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Eval04!$K$9:$K$20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Eval04!$M$9:$M$20</c:f>
              <c:numCache>
                <c:formatCode>General</c:formatCode>
                <c:ptCount val="12"/>
                <c:pt idx="0">
                  <c:v>307260.04547368421</c:v>
                </c:pt>
                <c:pt idx="1">
                  <c:v>307260.04547368421</c:v>
                </c:pt>
                <c:pt idx="2">
                  <c:v>625446.59873684205</c:v>
                </c:pt>
                <c:pt idx="3">
                  <c:v>837570.96757894731</c:v>
                </c:pt>
                <c:pt idx="4">
                  <c:v>1039329.1764210517</c:v>
                </c:pt>
                <c:pt idx="5">
                  <c:v>1072454.3241951317</c:v>
                </c:pt>
                <c:pt idx="6">
                  <c:v>1072454.3241951317</c:v>
                </c:pt>
                <c:pt idx="7">
                  <c:v>1072454.3241951317</c:v>
                </c:pt>
                <c:pt idx="8">
                  <c:v>1072454.3241951317</c:v>
                </c:pt>
                <c:pt idx="9">
                  <c:v>1072454.3241951317</c:v>
                </c:pt>
                <c:pt idx="10">
                  <c:v>1072454.3241951317</c:v>
                </c:pt>
                <c:pt idx="11">
                  <c:v>1072454.3241951317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7-401F-BF5C-D06FE4F1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906560"/>
        <c:axId val="1156920480"/>
      </c:barChart>
      <c:dateAx>
        <c:axId val="1156906560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20480"/>
        <c:crosses val="autoZero"/>
        <c:auto val="1"/>
        <c:lblOffset val="100"/>
        <c:baseTimeUnit val="months"/>
      </c:dateAx>
      <c:valAx>
        <c:axId val="11569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Eval04!$G$63</c:f>
              <c:strCache>
                <c:ptCount val="1"/>
                <c:pt idx="0">
                  <c:v>Demand-APP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Eval04!$F$64:$F$73</c:f>
              <c:numCache>
                <c:formatCode>mm/dd/yy</c:formatCode>
                <c:ptCount val="10"/>
                <c:pt idx="0">
                  <c:v>45833</c:v>
                </c:pt>
                <c:pt idx="1">
                  <c:v>45863</c:v>
                </c:pt>
                <c:pt idx="2">
                  <c:v>45894</c:v>
                </c:pt>
                <c:pt idx="3">
                  <c:v>45925</c:v>
                </c:pt>
                <c:pt idx="4">
                  <c:v>45955</c:v>
                </c:pt>
                <c:pt idx="5">
                  <c:v>45986</c:v>
                </c:pt>
                <c:pt idx="6">
                  <c:v>46016</c:v>
                </c:pt>
                <c:pt idx="7">
                  <c:v>46047</c:v>
                </c:pt>
                <c:pt idx="8">
                  <c:v>46078</c:v>
                </c:pt>
                <c:pt idx="9">
                  <c:v>46106</c:v>
                </c:pt>
              </c:numCache>
            </c:numRef>
          </c:cat>
          <c:val>
            <c:numRef>
              <c:f>Eval04!$G$64:$G$73</c:f>
              <c:numCache>
                <c:formatCode>#,##0.00</c:formatCode>
                <c:ptCount val="10"/>
                <c:pt idx="0">
                  <c:v>185342.5</c:v>
                </c:pt>
                <c:pt idx="1">
                  <c:v>211816.5</c:v>
                </c:pt>
                <c:pt idx="2">
                  <c:v>208414.5</c:v>
                </c:pt>
                <c:pt idx="3">
                  <c:v>204928.5</c:v>
                </c:pt>
                <c:pt idx="4">
                  <c:v>201565</c:v>
                </c:pt>
                <c:pt idx="5">
                  <c:v>198121</c:v>
                </c:pt>
                <c:pt idx="6">
                  <c:v>155050</c:v>
                </c:pt>
                <c:pt idx="7">
                  <c:v>154700</c:v>
                </c:pt>
                <c:pt idx="8">
                  <c:v>133350</c:v>
                </c:pt>
                <c:pt idx="9">
                  <c:v>132650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2-3147-93A6-B3457149C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8815"/>
        <c:axId val="379838479"/>
      </c:lineChart>
      <c:dateAx>
        <c:axId val="3781988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38479"/>
        <c:crosses val="autoZero"/>
        <c:auto val="1"/>
        <c:lblOffset val="100"/>
        <c:baseTimeUnit val="months"/>
      </c:dateAx>
      <c:valAx>
        <c:axId val="3798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Cost (KUSD)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Eval04!$J$41</c:f>
              <c:strCache>
                <c:ptCount val="1"/>
                <c:pt idx="0">
                  <c:v>Storage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Eval04!$J$42:$J$53</c:f>
              <c:numCache>
                <c:formatCode>General</c:formatCode>
                <c:ptCount val="12"/>
                <c:pt idx="0">
                  <c:v>2641.4609053497929</c:v>
                </c:pt>
                <c:pt idx="1">
                  <c:v>11150.334362139914</c:v>
                </c:pt>
                <c:pt idx="2">
                  <c:v>13631.044238683122</c:v>
                </c:pt>
                <c:pt idx="3">
                  <c:v>18080.954218106992</c:v>
                </c:pt>
                <c:pt idx="4">
                  <c:v>22103.26646090531</c:v>
                </c:pt>
                <c:pt idx="5">
                  <c:v>24514.529012345633</c:v>
                </c:pt>
                <c:pt idx="6">
                  <c:v>21460.259465020532</c:v>
                </c:pt>
                <c:pt idx="7">
                  <c:v>17123.035956790081</c:v>
                </c:pt>
                <c:pt idx="8">
                  <c:v>11459.616460905305</c:v>
                </c:pt>
                <c:pt idx="9">
                  <c:v>10377.601286008185</c:v>
                </c:pt>
                <c:pt idx="10">
                  <c:v>6683.3818930040688</c:v>
                </c:pt>
                <c:pt idx="11">
                  <c:v>3632.1666152262928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C-C347-A492-F695AAD79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677743"/>
        <c:axId val="1339644543"/>
      </c:lineChart>
      <c:catAx>
        <c:axId val="133967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44543"/>
        <c:crosses val="autoZero"/>
        <c:auto val="1"/>
        <c:lblAlgn val="ctr"/>
        <c:lblOffset val="100"/>
        <c:noMultiLvlLbl val="0"/>
      </c:catAx>
      <c:valAx>
        <c:axId val="13396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Cumutaive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Eval04!$S$41</c:f>
              <c:strCache>
                <c:ptCount val="1"/>
                <c:pt idx="0">
                  <c:v>Cumulative 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Eval04!$R$42:$R$53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Eval04!$S$42:$S$53</c:f>
              <c:numCache>
                <c:formatCode>General</c:formatCode>
                <c:ptCount val="12"/>
                <c:pt idx="0">
                  <c:v>446884</c:v>
                </c:pt>
                <c:pt idx="1">
                  <c:v>687149</c:v>
                </c:pt>
                <c:pt idx="2">
                  <c:v>1161939.5789473685</c:v>
                </c:pt>
                <c:pt idx="3">
                  <c:v>1512998.7368421054</c:v>
                </c:pt>
                <c:pt idx="4">
                  <c:v>1864057.8947368423</c:v>
                </c:pt>
                <c:pt idx="5">
                  <c:v>2124510.6710526319</c:v>
                </c:pt>
                <c:pt idx="6">
                  <c:v>2403467.1361689111</c:v>
                </c:pt>
                <c:pt idx="7">
                  <c:v>2737231.1586606628</c:v>
                </c:pt>
                <c:pt idx="8">
                  <c:v>3208585.1538277245</c:v>
                </c:pt>
                <c:pt idx="9">
                  <c:v>3364393.2063859291</c:v>
                </c:pt>
                <c:pt idx="10">
                  <c:v>3644271.4050940475</c:v>
                </c:pt>
                <c:pt idx="11">
                  <c:v>3879440.5531492545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E-184D-B080-BA0BA9DA7554}"/>
            </c:ext>
          </c:extLst>
        </c:ser>
        <c:ser>
          <c:idx val="1"/>
          <c:order val="1"/>
          <c:tx>
            <c:strRef>
              <c:f>Eval04!$T$41</c:f>
              <c:strCache>
                <c:ptCount val="1"/>
                <c:pt idx="0">
                  <c:v>Cumulative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Eval04!$R$42:$R$53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Eval04!$T$42:$T$53</c:f>
              <c:numCache>
                <c:formatCode>General</c:formatCode>
                <c:ptCount val="12"/>
                <c:pt idx="0">
                  <c:v>542281.50637903402</c:v>
                </c:pt>
                <c:pt idx="1">
                  <c:v>793696.84074117395</c:v>
                </c:pt>
                <c:pt idx="2">
                  <c:v>1372327.4382430147</c:v>
                </c:pt>
                <c:pt idx="3">
                  <c:v>1849345.7613032269</c:v>
                </c:pt>
                <c:pt idx="4">
                  <c:v>2320020.2366062365</c:v>
                </c:pt>
                <c:pt idx="5">
                  <c:v>2624472.9133926621</c:v>
                </c:pt>
                <c:pt idx="6">
                  <c:v>2794021.1728576827</c:v>
                </c:pt>
                <c:pt idx="7">
                  <c:v>2959232.2088144729</c:v>
                </c:pt>
                <c:pt idx="8">
                  <c:v>3118779.8252753783</c:v>
                </c:pt>
                <c:pt idx="9">
                  <c:v>3277245.4265613863</c:v>
                </c:pt>
                <c:pt idx="10">
                  <c:v>3432016.8084543906</c:v>
                </c:pt>
                <c:pt idx="11">
                  <c:v>3583736.9750696169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E-184D-B080-BA0BA9DA7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213215"/>
        <c:axId val="1035064015"/>
      </c:lineChart>
      <c:dateAx>
        <c:axId val="10352132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64015"/>
        <c:crosses val="autoZero"/>
        <c:auto val="1"/>
        <c:lblOffset val="100"/>
        <c:baseTimeUnit val="months"/>
      </c:dateAx>
      <c:valAx>
        <c:axId val="10350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Eval04!$H$63</c:f>
              <c:strCache>
                <c:ptCount val="1"/>
                <c:pt idx="0">
                  <c:v>Demand-PIDSG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Eval04!$F$64:$F$73</c:f>
              <c:numCache>
                <c:formatCode>mm/dd/yy</c:formatCode>
                <c:ptCount val="10"/>
                <c:pt idx="0">
                  <c:v>45833</c:v>
                </c:pt>
                <c:pt idx="1">
                  <c:v>45863</c:v>
                </c:pt>
                <c:pt idx="2">
                  <c:v>45894</c:v>
                </c:pt>
                <c:pt idx="3">
                  <c:v>45925</c:v>
                </c:pt>
                <c:pt idx="4">
                  <c:v>45955</c:v>
                </c:pt>
                <c:pt idx="5">
                  <c:v>45986</c:v>
                </c:pt>
                <c:pt idx="6">
                  <c:v>46016</c:v>
                </c:pt>
                <c:pt idx="7">
                  <c:v>46047</c:v>
                </c:pt>
                <c:pt idx="8">
                  <c:v>46078</c:v>
                </c:pt>
                <c:pt idx="9">
                  <c:v>46106</c:v>
                </c:pt>
              </c:numCache>
            </c:numRef>
          </c:cat>
          <c:val>
            <c:numRef>
              <c:f>Eval04!$H$64:$H$73</c:f>
              <c:numCache>
                <c:formatCode>General</c:formatCode>
                <c:ptCount val="10"/>
                <c:pt idx="0">
                  <c:v>9902.2633744855975</c:v>
                </c:pt>
                <c:pt idx="1">
                  <c:v>8326.9032921810704</c:v>
                </c:pt>
                <c:pt idx="2">
                  <c:v>8326.9032921810704</c:v>
                </c:pt>
                <c:pt idx="3">
                  <c:v>6237.1399176954737</c:v>
                </c:pt>
                <c:pt idx="4">
                  <c:v>5208.333333333333</c:v>
                </c:pt>
                <c:pt idx="5">
                  <c:v>6237.1399176954737</c:v>
                </c:pt>
                <c:pt idx="6">
                  <c:v>7298.0967078189306</c:v>
                </c:pt>
                <c:pt idx="7">
                  <c:v>3632.9732510288068</c:v>
                </c:pt>
                <c:pt idx="8">
                  <c:v>5722.7366255144034</c:v>
                </c:pt>
                <c:pt idx="9">
                  <c:v>5208.333333333333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D-124B-ABC7-86DA19CBA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780047"/>
        <c:axId val="1272781759"/>
      </c:lineChart>
      <c:dateAx>
        <c:axId val="1272780047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81759"/>
        <c:crosses val="autoZero"/>
        <c:auto val="1"/>
        <c:lblOffset val="100"/>
        <c:baseTimeUnit val="months"/>
      </c:dateAx>
      <c:valAx>
        <c:axId val="12727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8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Silver</a:t>
            </a:r>
            <a:r>
              <a:rPr lang="en-GB" baseline="0"/>
              <a:t>/unit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Eval04!$F$76:$F$85</c:f>
              <c:numCache>
                <c:formatCode>mm/dd/yy</c:formatCode>
                <c:ptCount val="10"/>
                <c:pt idx="0">
                  <c:v>45833</c:v>
                </c:pt>
                <c:pt idx="1">
                  <c:v>45863</c:v>
                </c:pt>
                <c:pt idx="2">
                  <c:v>45894</c:v>
                </c:pt>
                <c:pt idx="3">
                  <c:v>45925</c:v>
                </c:pt>
                <c:pt idx="4">
                  <c:v>45955</c:v>
                </c:pt>
                <c:pt idx="5">
                  <c:v>45986</c:v>
                </c:pt>
                <c:pt idx="6">
                  <c:v>46016</c:v>
                </c:pt>
                <c:pt idx="7">
                  <c:v>46047</c:v>
                </c:pt>
                <c:pt idx="8">
                  <c:v>46078</c:v>
                </c:pt>
                <c:pt idx="9">
                  <c:v>46106</c:v>
                </c:pt>
              </c:numCache>
            </c:numRef>
          </c:cat>
          <c:val>
            <c:numRef>
              <c:f>Eval04!$G$76:$G$85</c:f>
              <c:numCache>
                <c:formatCode>General</c:formatCode>
                <c:ptCount val="10"/>
                <c:pt idx="0">
                  <c:v>53.426836124934098</c:v>
                </c:pt>
                <c:pt idx="1">
                  <c:v>39.311872739758563</c:v>
                </c:pt>
                <c:pt idx="2">
                  <c:v>39.953569891639354</c:v>
                </c:pt>
                <c:pt idx="3">
                  <c:v>30.435688143403549</c:v>
                </c:pt>
                <c:pt idx="4">
                  <c:v>25.839472792068729</c:v>
                </c:pt>
                <c:pt idx="5">
                  <c:v>31.481467980150882</c:v>
                </c:pt>
                <c:pt idx="6">
                  <c:v>47.069311240367171</c:v>
                </c:pt>
                <c:pt idx="7">
                  <c:v>23.483989987257964</c:v>
                </c:pt>
                <c:pt idx="8">
                  <c:v>42.915160296320984</c:v>
                </c:pt>
                <c:pt idx="9">
                  <c:v>39.263726598818941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8-7F4A-BFA2-1618266ED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489391"/>
        <c:axId val="1279847071"/>
      </c:barChart>
      <c:dateAx>
        <c:axId val="1671489391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47071"/>
        <c:crosses val="autoZero"/>
        <c:auto val="1"/>
        <c:lblOffset val="100"/>
        <c:baseTimeUnit val="months"/>
      </c:dateAx>
      <c:valAx>
        <c:axId val="127984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8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Cumulative</a:t>
            </a:r>
            <a:r>
              <a:rPr lang="en-SG" baseline="0"/>
              <a:t> Unhedged Cost USD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Eval07!$L$8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Eval07!$K$9:$K$20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Eval07!$L$9:$L$20</c:f>
              <c:numCache>
                <c:formatCode>General</c:formatCode>
                <c:ptCount val="12"/>
                <c:pt idx="0">
                  <c:v>108996.8553735357</c:v>
                </c:pt>
                <c:pt idx="1">
                  <c:v>108996.8553735357</c:v>
                </c:pt>
                <c:pt idx="2">
                  <c:v>224690.52210675133</c:v>
                </c:pt>
                <c:pt idx="3">
                  <c:v>266259.03676399513</c:v>
                </c:pt>
                <c:pt idx="4">
                  <c:v>307827.55142123892</c:v>
                </c:pt>
                <c:pt idx="5">
                  <c:v>307827.55142123892</c:v>
                </c:pt>
                <c:pt idx="6">
                  <c:v>524509.49671846023</c:v>
                </c:pt>
                <c:pt idx="7">
                  <c:v>653078.15270851972</c:v>
                </c:pt>
                <c:pt idx="8">
                  <c:v>792768.8483112962</c:v>
                </c:pt>
                <c:pt idx="9">
                  <c:v>796195.90091614693</c:v>
                </c:pt>
                <c:pt idx="10">
                  <c:v>849213.61526811495</c:v>
                </c:pt>
                <c:pt idx="11">
                  <c:v>890831.11158837902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4-2748-8026-CBFDFC9363C6}"/>
            </c:ext>
          </c:extLst>
        </c:ser>
        <c:ser>
          <c:idx val="1"/>
          <c:order val="1"/>
          <c:tx>
            <c:strRef>
              <c:f>Eval07!$M$8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Eval07!$K$9:$K$20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Eval07!$M$9:$M$20</c:f>
              <c:numCache>
                <c:formatCode>General</c:formatCode>
                <c:ptCount val="12"/>
                <c:pt idx="0">
                  <c:v>307260.04547368421</c:v>
                </c:pt>
                <c:pt idx="1">
                  <c:v>307260.04547368421</c:v>
                </c:pt>
                <c:pt idx="2">
                  <c:v>625446.59873684205</c:v>
                </c:pt>
                <c:pt idx="3">
                  <c:v>837570.96757894731</c:v>
                </c:pt>
                <c:pt idx="4">
                  <c:v>1039329.1764210517</c:v>
                </c:pt>
                <c:pt idx="5">
                  <c:v>1072454.3241951317</c:v>
                </c:pt>
                <c:pt idx="6">
                  <c:v>1072454.3241951317</c:v>
                </c:pt>
                <c:pt idx="7">
                  <c:v>1072454.3241951317</c:v>
                </c:pt>
                <c:pt idx="8">
                  <c:v>1072454.3241951317</c:v>
                </c:pt>
                <c:pt idx="9">
                  <c:v>1072454.3241951317</c:v>
                </c:pt>
                <c:pt idx="10">
                  <c:v>1072454.3241951317</c:v>
                </c:pt>
                <c:pt idx="11">
                  <c:v>1072454.3241951317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4-2748-8026-CBFDFC936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906560"/>
        <c:axId val="1156920480"/>
      </c:barChart>
      <c:dateAx>
        <c:axId val="1156906560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20480"/>
        <c:crosses val="autoZero"/>
        <c:auto val="1"/>
        <c:lblOffset val="100"/>
        <c:baseTimeUnit val="months"/>
      </c:dateAx>
      <c:valAx>
        <c:axId val="11569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Eval07!$G$78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Eval07!$F$79:$F$79</c:f>
              <c:numCache>
                <c:formatCode>General</c:formatCode>
                <c:ptCount val="1"/>
              </c:numCache>
            </c:numRef>
          </c:cat>
          <c:val>
            <c:numRef>
              <c:f>Eval07!$G$79:$G$79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9-064F-91F1-290A5CB19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8815"/>
        <c:axId val="379838479"/>
      </c:lineChart>
      <c:catAx>
        <c:axId val="378198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38479"/>
        <c:crosses val="autoZero"/>
        <c:auto val="1"/>
        <c:lblAlgn val="ctr"/>
        <c:lblOffset val="100"/>
        <c:noMultiLvlLbl val="0"/>
      </c:catAx>
      <c:valAx>
        <c:axId val="3798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22</xdr:row>
      <xdr:rowOff>64770</xdr:rowOff>
    </xdr:from>
    <xdr:to>
      <xdr:col>10</xdr:col>
      <xdr:colOff>207010</xdr:colOff>
      <xdr:row>36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80A32-8CC6-3213-1BD9-9B16E1894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426720</xdr:colOff>
      <xdr:row>1</xdr:row>
      <xdr:rowOff>72390</xdr:rowOff>
    </xdr:from>
    <xdr:to>
      <xdr:col>18</xdr:col>
      <xdr:colOff>388620</xdr:colOff>
      <xdr:row>20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5EB19-5677-C584-C09F-21B4832A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387350</xdr:colOff>
      <xdr:row>58</xdr:row>
      <xdr:rowOff>127000</xdr:rowOff>
    </xdr:from>
    <xdr:to>
      <xdr:col>4</xdr:col>
      <xdr:colOff>844550</xdr:colOff>
      <xdr:row>73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C9C8B-78F5-88D9-58B4-3F2A193C0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482600</xdr:colOff>
      <xdr:row>38</xdr:row>
      <xdr:rowOff>133350</xdr:rowOff>
    </xdr:from>
    <xdr:to>
      <xdr:col>5</xdr:col>
      <xdr:colOff>939800</xdr:colOff>
      <xdr:row>53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9BED4D-12BA-2595-FC91-323B7D27C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584200</xdr:colOff>
      <xdr:row>33</xdr:row>
      <xdr:rowOff>120650</xdr:rowOff>
    </xdr:from>
    <xdr:to>
      <xdr:col>19</xdr:col>
      <xdr:colOff>368300</xdr:colOff>
      <xdr:row>52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8DF2F7-8347-959E-38E7-6DB658FBE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330200</xdr:colOff>
      <xdr:row>64</xdr:row>
      <xdr:rowOff>95250</xdr:rowOff>
    </xdr:from>
    <xdr:to>
      <xdr:col>16</xdr:col>
      <xdr:colOff>787400</xdr:colOff>
      <xdr:row>78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588233-48E1-9C4B-045A-707290AD7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469900</xdr:colOff>
      <xdr:row>76</xdr:row>
      <xdr:rowOff>146050</xdr:rowOff>
    </xdr:from>
    <xdr:to>
      <xdr:col>11</xdr:col>
      <xdr:colOff>927100</xdr:colOff>
      <xdr:row>91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4E3114-A8F1-7CCF-00DB-196F50F30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426720</xdr:colOff>
      <xdr:row>1</xdr:row>
      <xdr:rowOff>72390</xdr:rowOff>
    </xdr:from>
    <xdr:to>
      <xdr:col>18</xdr:col>
      <xdr:colOff>388620</xdr:colOff>
      <xdr:row>20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DC955-A9EA-1F4C-9622-9EE759F85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457200</xdr:colOff>
      <xdr:row>79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AABCD-AB80-6147-8258-7199F6464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19050</xdr:rowOff>
    </xdr:from>
    <xdr:to>
      <xdr:col>3</xdr:col>
      <xdr:colOff>965200</xdr:colOff>
      <xdr:row>61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2EED1-9E67-1944-A8CC-97545FCBB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584200</xdr:colOff>
      <xdr:row>33</xdr:row>
      <xdr:rowOff>120650</xdr:rowOff>
    </xdr:from>
    <xdr:to>
      <xdr:col>19</xdr:col>
      <xdr:colOff>368300</xdr:colOff>
      <xdr:row>52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929418-91C3-5E44-9DC9-E33B37468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426720</xdr:colOff>
      <xdr:row>2</xdr:row>
      <xdr:rowOff>72390</xdr:rowOff>
    </xdr:from>
    <xdr:to>
      <xdr:col>18</xdr:col>
      <xdr:colOff>388620</xdr:colOff>
      <xdr:row>21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65F63-B452-C44B-8F8E-4FCE658E0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4</xdr:col>
      <xdr:colOff>457200</xdr:colOff>
      <xdr:row>80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20DAF-C725-B142-AED2-5E4FDB069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3</xdr:col>
      <xdr:colOff>965200</xdr:colOff>
      <xdr:row>62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DB1700-C85C-2847-8F92-C17F13086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838200</xdr:colOff>
      <xdr:row>47</xdr:row>
      <xdr:rowOff>69850</xdr:rowOff>
    </xdr:from>
    <xdr:to>
      <xdr:col>19</xdr:col>
      <xdr:colOff>622300</xdr:colOff>
      <xdr:row>65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E0D748-1B7F-004A-AE16-CC68D1961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27"/>
  <sheetViews>
    <sheetView showGridLines="0" topLeftCell="A2" zoomScale="120" zoomScaleNormal="120" workbookViewId="0">
      <selection activeCell="D17" sqref="D17"/>
    </sheetView>
  </sheetViews>
  <sheetFormatPr baseColWidth="10" defaultColWidth="8.83203125" defaultRowHeight="15" x14ac:dyDescent="0.2"/>
  <cols>
    <col min="3" max="3" width="16.6640625" customWidth="1"/>
    <col min="16" max="16" width="10.5" customWidth="1"/>
  </cols>
  <sheetData>
    <row r="3" spans="2:16" x14ac:dyDescent="0.2">
      <c r="B3" s="23" t="s">
        <v>0</v>
      </c>
      <c r="C3" s="23"/>
      <c r="D3" s="1">
        <v>45383</v>
      </c>
      <c r="E3" s="1">
        <v>45413</v>
      </c>
      <c r="F3" s="1">
        <v>45444</v>
      </c>
      <c r="G3" s="1">
        <v>45474</v>
      </c>
      <c r="H3" s="1">
        <v>45505</v>
      </c>
      <c r="I3" s="1">
        <v>45536</v>
      </c>
      <c r="J3" s="1">
        <v>45566</v>
      </c>
      <c r="K3" s="1">
        <v>45597</v>
      </c>
      <c r="L3" s="1">
        <v>45627</v>
      </c>
      <c r="M3" s="1">
        <v>45658</v>
      </c>
      <c r="N3" s="1">
        <v>45689</v>
      </c>
      <c r="O3" s="1">
        <v>45717</v>
      </c>
      <c r="P3" s="2" t="s">
        <v>1</v>
      </c>
    </row>
    <row r="4" spans="2:16" x14ac:dyDescent="0.2">
      <c r="B4" s="3" t="s">
        <v>2</v>
      </c>
      <c r="C4" s="3" t="s">
        <v>3</v>
      </c>
      <c r="D4" s="4">
        <v>0</v>
      </c>
      <c r="E4" s="4">
        <v>0</v>
      </c>
      <c r="F4" s="4">
        <v>0</v>
      </c>
      <c r="G4" s="4">
        <v>0</v>
      </c>
      <c r="H4" s="4">
        <v>560.42307995895499</v>
      </c>
      <c r="I4" s="4">
        <v>915.62080669350405</v>
      </c>
      <c r="J4" s="4">
        <v>813.00813008130103</v>
      </c>
      <c r="K4" s="4">
        <v>718.28873628542101</v>
      </c>
      <c r="L4" s="4">
        <v>915.62080669350405</v>
      </c>
      <c r="M4" s="4">
        <v>0</v>
      </c>
      <c r="N4" s="4">
        <v>0</v>
      </c>
      <c r="O4" s="4">
        <v>0</v>
      </c>
      <c r="P4" s="4">
        <f t="shared" ref="P4:P11" si="0">SUM(D4:O4)</f>
        <v>3922.9615597126849</v>
      </c>
    </row>
    <row r="5" spans="2:16" x14ac:dyDescent="0.2">
      <c r="B5" s="3" t="s">
        <v>2</v>
      </c>
      <c r="C5" s="3" t="s">
        <v>4</v>
      </c>
      <c r="D5" s="4">
        <f t="shared" ref="D5:O5" si="1">D4*300</f>
        <v>0</v>
      </c>
      <c r="E5" s="4">
        <f t="shared" si="1"/>
        <v>0</v>
      </c>
      <c r="F5" s="4">
        <f t="shared" si="1"/>
        <v>0</v>
      </c>
      <c r="G5" s="4">
        <f t="shared" si="1"/>
        <v>0</v>
      </c>
      <c r="H5" s="4">
        <f t="shared" si="1"/>
        <v>168126.92398768649</v>
      </c>
      <c r="I5" s="4">
        <f t="shared" si="1"/>
        <v>274686.24200805119</v>
      </c>
      <c r="J5" s="4">
        <f t="shared" si="1"/>
        <v>243902.4390243903</v>
      </c>
      <c r="K5" s="4">
        <f t="shared" si="1"/>
        <v>215486.6208856263</v>
      </c>
      <c r="L5" s="4">
        <f t="shared" si="1"/>
        <v>274686.24200805119</v>
      </c>
      <c r="M5" s="4">
        <f t="shared" si="1"/>
        <v>0</v>
      </c>
      <c r="N5" s="4">
        <f t="shared" si="1"/>
        <v>0</v>
      </c>
      <c r="O5" s="4">
        <f t="shared" si="1"/>
        <v>0</v>
      </c>
      <c r="P5" s="4">
        <f t="shared" si="0"/>
        <v>1176888.4679138055</v>
      </c>
    </row>
    <row r="6" spans="2:16" x14ac:dyDescent="0.2">
      <c r="B6" s="3" t="s">
        <v>2</v>
      </c>
      <c r="C6" s="3" t="s">
        <v>5</v>
      </c>
      <c r="D6" s="4">
        <v>0</v>
      </c>
      <c r="E6" s="4">
        <v>0</v>
      </c>
      <c r="F6" s="4">
        <v>0</v>
      </c>
      <c r="G6" s="4">
        <v>0</v>
      </c>
      <c r="H6" s="4">
        <v>71000</v>
      </c>
      <c r="I6" s="4">
        <v>116000</v>
      </c>
      <c r="J6" s="4">
        <v>103000</v>
      </c>
      <c r="K6" s="4">
        <v>91000</v>
      </c>
      <c r="L6" s="4">
        <v>116000</v>
      </c>
      <c r="M6" s="4">
        <v>0</v>
      </c>
      <c r="N6" s="4">
        <v>0</v>
      </c>
      <c r="O6" s="4">
        <v>0</v>
      </c>
      <c r="P6" s="4">
        <f t="shared" si="0"/>
        <v>497000</v>
      </c>
    </row>
    <row r="7" spans="2:16" x14ac:dyDescent="0.2">
      <c r="B7" s="3" t="s">
        <v>6</v>
      </c>
      <c r="C7" s="3" t="s">
        <v>3</v>
      </c>
      <c r="D7" s="4">
        <v>1440</v>
      </c>
      <c r="E7" s="4">
        <v>1248</v>
      </c>
      <c r="F7" s="4">
        <v>1632</v>
      </c>
      <c r="G7" s="4">
        <v>2304</v>
      </c>
      <c r="H7" s="4">
        <v>1455.57692004105</v>
      </c>
      <c r="I7" s="4">
        <v>908.37919330649595</v>
      </c>
      <c r="J7" s="4">
        <v>1298.9918699187001</v>
      </c>
      <c r="K7" s="4">
        <v>721.71126371457899</v>
      </c>
      <c r="L7" s="4">
        <v>1388.3791933064999</v>
      </c>
      <c r="M7" s="4">
        <v>576</v>
      </c>
      <c r="N7" s="4">
        <v>2400</v>
      </c>
      <c r="O7" s="4">
        <v>1056</v>
      </c>
      <c r="P7" s="4">
        <f t="shared" si="0"/>
        <v>16429.038440287324</v>
      </c>
    </row>
    <row r="8" spans="2:16" x14ac:dyDescent="0.2">
      <c r="B8" s="3" t="s">
        <v>6</v>
      </c>
      <c r="C8" s="3" t="s">
        <v>4</v>
      </c>
      <c r="D8" s="4">
        <f t="shared" ref="D8:O8" si="2">D7*300</f>
        <v>432000</v>
      </c>
      <c r="E8" s="4">
        <f t="shared" si="2"/>
        <v>374400</v>
      </c>
      <c r="F8" s="4">
        <f t="shared" si="2"/>
        <v>489600</v>
      </c>
      <c r="G8" s="4">
        <f t="shared" si="2"/>
        <v>691200</v>
      </c>
      <c r="H8" s="4">
        <f t="shared" si="2"/>
        <v>436673.076012315</v>
      </c>
      <c r="I8" s="4">
        <f t="shared" si="2"/>
        <v>272513.75799194881</v>
      </c>
      <c r="J8" s="4">
        <f t="shared" si="2"/>
        <v>389697.56097561005</v>
      </c>
      <c r="K8" s="4">
        <f t="shared" si="2"/>
        <v>216513.3791143737</v>
      </c>
      <c r="L8" s="4">
        <f t="shared" si="2"/>
        <v>416513.75799194997</v>
      </c>
      <c r="M8" s="4">
        <f t="shared" si="2"/>
        <v>172800</v>
      </c>
      <c r="N8" s="4">
        <f t="shared" si="2"/>
        <v>720000</v>
      </c>
      <c r="O8" s="4">
        <f t="shared" si="2"/>
        <v>316800</v>
      </c>
      <c r="P8" s="4">
        <f t="shared" si="0"/>
        <v>4928711.5320861973</v>
      </c>
    </row>
    <row r="9" spans="2:16" x14ac:dyDescent="0.2">
      <c r="B9" s="3" t="s">
        <v>6</v>
      </c>
      <c r="C9" s="3" t="s">
        <v>5</v>
      </c>
      <c r="D9" s="4">
        <f t="shared" ref="D9:O9" si="3">ROUNDDOWN(D7*(0.41*1.03*0.3),0)*1000</f>
        <v>182000</v>
      </c>
      <c r="E9" s="4">
        <f t="shared" si="3"/>
        <v>158000</v>
      </c>
      <c r="F9" s="4">
        <f t="shared" si="3"/>
        <v>206000</v>
      </c>
      <c r="G9" s="4">
        <f t="shared" si="3"/>
        <v>291000</v>
      </c>
      <c r="H9" s="4">
        <f t="shared" si="3"/>
        <v>184000</v>
      </c>
      <c r="I9" s="4">
        <f t="shared" si="3"/>
        <v>115000</v>
      </c>
      <c r="J9" s="4">
        <f t="shared" si="3"/>
        <v>164000</v>
      </c>
      <c r="K9" s="4">
        <f t="shared" si="3"/>
        <v>91000</v>
      </c>
      <c r="L9" s="4">
        <f t="shared" si="3"/>
        <v>175000</v>
      </c>
      <c r="M9" s="4">
        <f t="shared" si="3"/>
        <v>72000</v>
      </c>
      <c r="N9" s="4">
        <f t="shared" si="3"/>
        <v>304000</v>
      </c>
      <c r="O9" s="4">
        <f t="shared" si="3"/>
        <v>133000</v>
      </c>
      <c r="P9" s="4">
        <f t="shared" si="0"/>
        <v>2075000</v>
      </c>
    </row>
    <row r="10" spans="2:16" x14ac:dyDescent="0.2">
      <c r="B10" s="3" t="s">
        <v>2</v>
      </c>
      <c r="C10" s="3" t="s">
        <v>7</v>
      </c>
      <c r="D10" s="4">
        <v>0</v>
      </c>
      <c r="E10" s="4">
        <v>0</v>
      </c>
      <c r="F10" s="4">
        <v>0</v>
      </c>
      <c r="G10" s="4">
        <v>0</v>
      </c>
      <c r="H10" s="4">
        <v>98586.8261109796</v>
      </c>
      <c r="I10" s="4">
        <v>161683.709842924</v>
      </c>
      <c r="J10" s="4">
        <v>148821.138211382</v>
      </c>
      <c r="K10" s="4">
        <v>134780.12944983799</v>
      </c>
      <c r="L10" s="4">
        <v>172548.741021391</v>
      </c>
      <c r="M10" s="4">
        <v>0</v>
      </c>
      <c r="N10" s="4">
        <v>0</v>
      </c>
      <c r="O10" s="4">
        <v>0</v>
      </c>
      <c r="P10" s="4">
        <f t="shared" si="0"/>
        <v>716420.54463651462</v>
      </c>
    </row>
    <row r="11" spans="2:16" x14ac:dyDescent="0.2">
      <c r="B11" s="3" t="s">
        <v>6</v>
      </c>
      <c r="C11" s="3" t="s">
        <v>7</v>
      </c>
      <c r="D11" s="4">
        <v>213883.2</v>
      </c>
      <c r="E11" s="4">
        <v>203012.16</v>
      </c>
      <c r="F11" s="4">
        <v>285518.40000000002</v>
      </c>
      <c r="G11" s="4">
        <v>419362.56</v>
      </c>
      <c r="H11" s="4">
        <v>256057.81388902001</v>
      </c>
      <c r="I11" s="4">
        <v>160404.95895707601</v>
      </c>
      <c r="J11" s="4">
        <v>237780.46178861801</v>
      </c>
      <c r="K11" s="4">
        <v>135422.33455016199</v>
      </c>
      <c r="L11" s="4">
        <v>261640.05897860901</v>
      </c>
      <c r="M11" s="4">
        <v>106796.16</v>
      </c>
      <c r="N11" s="4">
        <v>432624</v>
      </c>
      <c r="O11" s="4">
        <v>192582.72</v>
      </c>
      <c r="P11" s="4">
        <f t="shared" si="0"/>
        <v>2905084.8281634855</v>
      </c>
    </row>
    <row r="14" spans="2:16" x14ac:dyDescent="0.2">
      <c r="B14" s="23" t="s">
        <v>8</v>
      </c>
      <c r="C14" s="23"/>
      <c r="D14" s="1">
        <v>45748</v>
      </c>
      <c r="E14" s="1">
        <v>45778</v>
      </c>
      <c r="F14" s="1">
        <v>45809</v>
      </c>
      <c r="G14" s="1">
        <v>45839</v>
      </c>
      <c r="H14" s="1">
        <v>45870</v>
      </c>
      <c r="I14" s="1">
        <v>45901</v>
      </c>
      <c r="J14" s="1">
        <v>45931</v>
      </c>
      <c r="K14" s="1">
        <v>45962</v>
      </c>
      <c r="L14" s="1">
        <v>45992</v>
      </c>
      <c r="M14" s="1">
        <v>46023</v>
      </c>
      <c r="N14" s="1">
        <v>46054</v>
      </c>
      <c r="O14" s="1">
        <v>46082</v>
      </c>
      <c r="P14" s="2" t="s">
        <v>9</v>
      </c>
    </row>
    <row r="15" spans="2:16" x14ac:dyDescent="0.2">
      <c r="B15" s="3" t="s">
        <v>2</v>
      </c>
      <c r="C15" s="5" t="s">
        <v>3</v>
      </c>
      <c r="D15" s="4">
        <v>1248</v>
      </c>
      <c r="E15" s="4">
        <v>1248</v>
      </c>
      <c r="F15" s="4">
        <v>960</v>
      </c>
      <c r="G15" s="4">
        <v>960</v>
      </c>
      <c r="H15" s="4">
        <v>960</v>
      </c>
      <c r="I15" s="4">
        <v>960</v>
      </c>
      <c r="J15" s="4">
        <v>576</v>
      </c>
      <c r="K15" s="4">
        <v>576</v>
      </c>
      <c r="L15" s="4">
        <v>576</v>
      </c>
      <c r="M15" s="4">
        <v>576</v>
      </c>
      <c r="N15" s="4">
        <v>576</v>
      </c>
      <c r="O15" s="4">
        <v>576</v>
      </c>
      <c r="P15" s="4">
        <f t="shared" ref="P15:P22" si="4">SUM(D15:O15)</f>
        <v>9792</v>
      </c>
    </row>
    <row r="16" spans="2:16" x14ac:dyDescent="0.2">
      <c r="B16" s="3" t="s">
        <v>2</v>
      </c>
      <c r="C16" s="5" t="s">
        <v>4</v>
      </c>
      <c r="D16" s="4">
        <f>D15*300</f>
        <v>374400</v>
      </c>
      <c r="E16" s="4">
        <f>E15*300</f>
        <v>374400</v>
      </c>
      <c r="F16" s="4">
        <f t="shared" ref="F16:O16" si="5">F15*400</f>
        <v>384000</v>
      </c>
      <c r="G16" s="4">
        <f t="shared" si="5"/>
        <v>384000</v>
      </c>
      <c r="H16" s="4">
        <f t="shared" si="5"/>
        <v>384000</v>
      </c>
      <c r="I16" s="4">
        <f t="shared" si="5"/>
        <v>384000</v>
      </c>
      <c r="J16" s="4">
        <f t="shared" si="5"/>
        <v>230400</v>
      </c>
      <c r="K16" s="4">
        <f t="shared" si="5"/>
        <v>230400</v>
      </c>
      <c r="L16" s="4">
        <f t="shared" si="5"/>
        <v>230400</v>
      </c>
      <c r="M16" s="4">
        <f t="shared" si="5"/>
        <v>230400</v>
      </c>
      <c r="N16" s="4">
        <f t="shared" si="5"/>
        <v>230400</v>
      </c>
      <c r="O16" s="4">
        <f t="shared" si="5"/>
        <v>230400</v>
      </c>
      <c r="P16" s="4">
        <f t="shared" si="4"/>
        <v>3667200</v>
      </c>
    </row>
    <row r="17" spans="2:16" x14ac:dyDescent="0.2">
      <c r="B17" s="3" t="s">
        <v>2</v>
      </c>
      <c r="C17" s="5" t="s">
        <v>5</v>
      </c>
      <c r="D17" s="4">
        <v>152000</v>
      </c>
      <c r="E17" s="4">
        <v>152000</v>
      </c>
      <c r="F17" s="4">
        <v>152000</v>
      </c>
      <c r="G17" s="4">
        <v>152000</v>
      </c>
      <c r="H17" s="4">
        <v>152000</v>
      </c>
      <c r="I17" s="4">
        <v>152000</v>
      </c>
      <c r="J17" s="4">
        <v>86000</v>
      </c>
      <c r="K17" s="4">
        <v>86076.030624999999</v>
      </c>
      <c r="L17" s="4">
        <v>86076.030624999999</v>
      </c>
      <c r="M17" s="4">
        <v>86076.030624999999</v>
      </c>
      <c r="N17" s="4">
        <v>86076.030624999999</v>
      </c>
      <c r="O17" s="4">
        <v>86076.030624999999</v>
      </c>
      <c r="P17" s="4">
        <f t="shared" si="4"/>
        <v>1428380.1531249995</v>
      </c>
    </row>
    <row r="18" spans="2:16" x14ac:dyDescent="0.2">
      <c r="B18" s="3" t="s">
        <v>6</v>
      </c>
      <c r="C18" s="5" t="s">
        <v>3</v>
      </c>
      <c r="D18" s="4">
        <v>1152</v>
      </c>
      <c r="E18" s="4">
        <v>0</v>
      </c>
      <c r="F18" s="4">
        <v>864</v>
      </c>
      <c r="G18" s="4">
        <v>576</v>
      </c>
      <c r="H18" s="4">
        <v>576</v>
      </c>
      <c r="I18" s="4">
        <v>192</v>
      </c>
      <c r="J18" s="4">
        <v>576</v>
      </c>
      <c r="K18" s="4">
        <v>576</v>
      </c>
      <c r="L18" s="4">
        <v>768</v>
      </c>
      <c r="M18" s="4">
        <v>96</v>
      </c>
      <c r="N18" s="4">
        <v>480</v>
      </c>
      <c r="O18" s="4">
        <v>384</v>
      </c>
      <c r="P18" s="4">
        <f t="shared" si="4"/>
        <v>6240</v>
      </c>
    </row>
    <row r="19" spans="2:16" x14ac:dyDescent="0.2">
      <c r="B19" s="3" t="s">
        <v>6</v>
      </c>
      <c r="C19" s="5" t="s">
        <v>4</v>
      </c>
      <c r="D19" s="4">
        <f>D18*300</f>
        <v>345600</v>
      </c>
      <c r="E19" s="4">
        <f>E18*300</f>
        <v>0</v>
      </c>
      <c r="F19" s="4">
        <f t="shared" ref="F19:O19" si="6">F18*400</f>
        <v>345600</v>
      </c>
      <c r="G19" s="4">
        <f t="shared" si="6"/>
        <v>230400</v>
      </c>
      <c r="H19" s="4">
        <f t="shared" si="6"/>
        <v>230400</v>
      </c>
      <c r="I19" s="4">
        <f t="shared" si="6"/>
        <v>76800</v>
      </c>
      <c r="J19" s="4">
        <f t="shared" si="6"/>
        <v>230400</v>
      </c>
      <c r="K19" s="4">
        <f t="shared" si="6"/>
        <v>230400</v>
      </c>
      <c r="L19" s="4">
        <f t="shared" si="6"/>
        <v>307200</v>
      </c>
      <c r="M19" s="4">
        <f t="shared" si="6"/>
        <v>38400</v>
      </c>
      <c r="N19" s="4">
        <f t="shared" si="6"/>
        <v>192000</v>
      </c>
      <c r="O19" s="4">
        <f t="shared" si="6"/>
        <v>153600</v>
      </c>
      <c r="P19" s="4">
        <f t="shared" si="4"/>
        <v>2380800</v>
      </c>
    </row>
    <row r="20" spans="2:16" x14ac:dyDescent="0.2">
      <c r="B20" s="3" t="s">
        <v>6</v>
      </c>
      <c r="C20" s="5" t="s">
        <v>5</v>
      </c>
      <c r="D20" s="4">
        <v>152000</v>
      </c>
      <c r="E20" s="4">
        <v>6000</v>
      </c>
      <c r="F20" s="4">
        <v>156000</v>
      </c>
      <c r="G20" s="4">
        <v>107000</v>
      </c>
      <c r="H20" s="4">
        <v>107000</v>
      </c>
      <c r="I20" s="4">
        <v>42000</v>
      </c>
      <c r="J20" s="4">
        <v>76000</v>
      </c>
      <c r="K20" s="4">
        <v>107923.969375</v>
      </c>
      <c r="L20" s="4">
        <v>140923.96937499999</v>
      </c>
      <c r="M20" s="4">
        <v>26923.969375000001</v>
      </c>
      <c r="N20" s="4">
        <v>91923.969375000001</v>
      </c>
      <c r="O20" s="4">
        <v>75923.969375000001</v>
      </c>
      <c r="P20" s="4">
        <f t="shared" si="4"/>
        <v>1089619.846875</v>
      </c>
    </row>
    <row r="21" spans="2:16" x14ac:dyDescent="0.2">
      <c r="B21" s="3" t="s">
        <v>2</v>
      </c>
      <c r="C21" s="3" t="s">
        <v>7</v>
      </c>
      <c r="D21" s="4">
        <v>232379.5968</v>
      </c>
      <c r="E21" s="4">
        <v>240264.95999999999</v>
      </c>
      <c r="F21" s="4">
        <v>246812.83199999999</v>
      </c>
      <c r="G21" s="4">
        <v>246812.83199999999</v>
      </c>
      <c r="H21" s="4">
        <v>246812.83199999999</v>
      </c>
      <c r="I21" s="4">
        <v>246812.83199999999</v>
      </c>
      <c r="J21" s="4">
        <v>148087.6992</v>
      </c>
      <c r="K21" s="4">
        <v>148087.6992</v>
      </c>
      <c r="L21" s="4">
        <v>148087.6992</v>
      </c>
      <c r="M21" s="4">
        <v>148087.6992</v>
      </c>
      <c r="N21" s="4">
        <v>148087.6992</v>
      </c>
      <c r="O21" s="4">
        <v>148087.6992</v>
      </c>
      <c r="P21" s="4">
        <f t="shared" si="4"/>
        <v>2348422.0799999996</v>
      </c>
    </row>
    <row r="22" spans="2:16" x14ac:dyDescent="0.2">
      <c r="B22" s="3" t="s">
        <v>6</v>
      </c>
      <c r="C22" s="3" t="s">
        <v>7</v>
      </c>
      <c r="D22" s="4">
        <v>214504.2432</v>
      </c>
      <c r="E22" s="4">
        <v>0</v>
      </c>
      <c r="F22" s="4">
        <v>222131.54879999999</v>
      </c>
      <c r="G22" s="4">
        <v>148087.6992</v>
      </c>
      <c r="H22" s="4">
        <v>148087.6992</v>
      </c>
      <c r="I22" s="4">
        <v>49362.566400000003</v>
      </c>
      <c r="J22" s="4">
        <v>148087.6992</v>
      </c>
      <c r="K22" s="4">
        <v>148087.6992</v>
      </c>
      <c r="L22" s="4">
        <v>197450.26560000001</v>
      </c>
      <c r="M22" s="4">
        <v>24681.283200000002</v>
      </c>
      <c r="N22" s="4">
        <v>123406.416</v>
      </c>
      <c r="O22" s="4">
        <v>98725.132800000007</v>
      </c>
      <c r="P22" s="4">
        <f t="shared" si="4"/>
        <v>1522612.2528000001</v>
      </c>
    </row>
    <row r="24" spans="2:16" x14ac:dyDescent="0.2">
      <c r="C24" t="s">
        <v>10</v>
      </c>
    </row>
    <row r="25" spans="2:16" x14ac:dyDescent="0.2">
      <c r="C25" t="s">
        <v>11</v>
      </c>
    </row>
    <row r="26" spans="2:16" x14ac:dyDescent="0.2">
      <c r="C26" t="s">
        <v>12</v>
      </c>
    </row>
    <row r="27" spans="2:16" x14ac:dyDescent="0.2">
      <c r="D27" s="6"/>
    </row>
  </sheetData>
  <mergeCells count="2">
    <mergeCell ref="B3:C3"/>
    <mergeCell ref="B14:C1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6D2B-71FC-0A4A-8981-25C5B83CB6E9}">
  <dimension ref="A1:T13"/>
  <sheetViews>
    <sheetView tabSelected="1" workbookViewId="0">
      <selection activeCell="E19" sqref="E19"/>
    </sheetView>
  </sheetViews>
  <sheetFormatPr baseColWidth="10" defaultRowHeight="15" x14ac:dyDescent="0.2"/>
  <cols>
    <col min="3" max="3" width="12.83203125" customWidth="1"/>
  </cols>
  <sheetData>
    <row r="1" spans="1:20" ht="48" x14ac:dyDescent="0.2">
      <c r="A1" s="13" t="s">
        <v>63</v>
      </c>
      <c r="B1" s="13" t="s">
        <v>30</v>
      </c>
      <c r="C1" s="13" t="s">
        <v>31</v>
      </c>
      <c r="D1" s="13" t="s">
        <v>64</v>
      </c>
      <c r="E1" s="13" t="s">
        <v>65</v>
      </c>
      <c r="F1" s="13" t="s">
        <v>66</v>
      </c>
      <c r="G1" s="13" t="s">
        <v>67</v>
      </c>
      <c r="H1" s="13" t="s">
        <v>68</v>
      </c>
      <c r="I1" s="13" t="s">
        <v>69</v>
      </c>
      <c r="J1" s="13" t="s">
        <v>39</v>
      </c>
      <c r="K1" s="13" t="s">
        <v>71</v>
      </c>
      <c r="L1" s="13" t="s">
        <v>72</v>
      </c>
      <c r="M1" s="13" t="s">
        <v>93</v>
      </c>
      <c r="N1" s="13" t="s">
        <v>94</v>
      </c>
      <c r="O1" s="13"/>
      <c r="P1" s="13"/>
      <c r="Q1" s="13"/>
      <c r="R1" s="13"/>
      <c r="S1" s="13"/>
      <c r="T1" s="13"/>
    </row>
    <row r="2" spans="1:20" x14ac:dyDescent="0.2">
      <c r="A2" s="12">
        <v>45748</v>
      </c>
      <c r="B2">
        <v>1.5288157894736842</v>
      </c>
      <c r="C2">
        <v>1.4112105263157895</v>
      </c>
      <c r="D2">
        <v>4886.8312757201647</v>
      </c>
      <c r="E2">
        <v>9513.1687242798362</v>
      </c>
      <c r="F2">
        <f t="shared" ref="F2:F13" si="0">SUM(D2:E2)</f>
        <v>14400</v>
      </c>
      <c r="G2" s="8">
        <v>4886.8312757201647</v>
      </c>
      <c r="H2" s="8">
        <v>9513.1687242798362</v>
      </c>
      <c r="I2">
        <f>SUM(G2:H2)</f>
        <v>14400</v>
      </c>
      <c r="J2">
        <v>10314.285714285714</v>
      </c>
      <c r="K2">
        <v>254.28571428571433</v>
      </c>
      <c r="L2">
        <v>254.28571428571433</v>
      </c>
      <c r="M2">
        <f>C2*E2</f>
        <v>13425.083842321856</v>
      </c>
      <c r="N2">
        <f>C2*H2</f>
        <v>13425.083842321856</v>
      </c>
    </row>
    <row r="3" spans="1:20" x14ac:dyDescent="0.2">
      <c r="A3" s="12">
        <v>45778</v>
      </c>
      <c r="B3">
        <v>1.5806907894736841</v>
      </c>
      <c r="C3">
        <v>0</v>
      </c>
      <c r="D3">
        <v>4886.8312757201647</v>
      </c>
      <c r="E3">
        <v>2570.3115814226921</v>
      </c>
      <c r="F3">
        <f t="shared" si="0"/>
        <v>7457.1428571428569</v>
      </c>
      <c r="G3" s="8">
        <v>4886.8312757201647</v>
      </c>
      <c r="H3" s="8">
        <v>2570.3115814226921</v>
      </c>
      <c r="I3">
        <f t="shared" ref="I3:I13" si="1">SUM(G3:H3)</f>
        <v>7457.1428571428569</v>
      </c>
      <c r="J3">
        <v>12000</v>
      </c>
      <c r="K3">
        <v>27.142857142857157</v>
      </c>
      <c r="L3">
        <v>27.142857142857157</v>
      </c>
      <c r="M3">
        <f t="shared" ref="M3:M13" si="2">C3*E3</f>
        <v>0</v>
      </c>
      <c r="N3">
        <f t="shared" ref="N3:N13" si="3">C3*H3</f>
        <v>0</v>
      </c>
    </row>
    <row r="4" spans="1:20" x14ac:dyDescent="0.2">
      <c r="A4" s="12">
        <v>45809</v>
      </c>
      <c r="B4">
        <v>1.6237697368421053</v>
      </c>
      <c r="C4">
        <v>1.4613947368421052</v>
      </c>
      <c r="D4">
        <v>4886.8312757201647</v>
      </c>
      <c r="E4">
        <v>9627.4544385655499</v>
      </c>
      <c r="F4">
        <f t="shared" si="0"/>
        <v>14514.285714285714</v>
      </c>
      <c r="G4" s="8">
        <v>4886.8312757201647</v>
      </c>
      <c r="H4" s="8">
        <v>9627.4544385655499</v>
      </c>
      <c r="I4">
        <f t="shared" si="1"/>
        <v>14514.285714285714</v>
      </c>
      <c r="J4">
        <v>9828.5714285714294</v>
      </c>
      <c r="K4">
        <v>261.42857142857139</v>
      </c>
      <c r="L4">
        <v>261.42857142857139</v>
      </c>
      <c r="M4">
        <f t="shared" si="2"/>
        <v>14069.511245706859</v>
      </c>
      <c r="N4">
        <f t="shared" si="3"/>
        <v>14069.511245706859</v>
      </c>
    </row>
    <row r="5" spans="1:20" x14ac:dyDescent="0.2">
      <c r="A5" s="12">
        <v>45839</v>
      </c>
      <c r="B5">
        <v>1.6237697368421053</v>
      </c>
      <c r="C5">
        <v>0.97426315789473683</v>
      </c>
      <c r="D5">
        <v>4886.8312757201647</v>
      </c>
      <c r="E5">
        <v>7341.7401528512646</v>
      </c>
      <c r="F5">
        <f t="shared" si="0"/>
        <v>12228.571428571429</v>
      </c>
      <c r="G5" s="8">
        <v>4886.8312757201647</v>
      </c>
      <c r="H5">
        <v>7341.7401528512646</v>
      </c>
      <c r="I5">
        <f t="shared" si="1"/>
        <v>12228.571428571429</v>
      </c>
      <c r="J5">
        <v>12457.142857142857</v>
      </c>
      <c r="K5">
        <v>249.99999999999991</v>
      </c>
      <c r="L5">
        <v>249.99999999999991</v>
      </c>
      <c r="M5">
        <f t="shared" si="2"/>
        <v>7152.7869457594607</v>
      </c>
      <c r="N5">
        <f t="shared" si="3"/>
        <v>7152.7869457594607</v>
      </c>
    </row>
    <row r="6" spans="1:20" x14ac:dyDescent="0.2">
      <c r="A6" s="12">
        <v>45870</v>
      </c>
      <c r="B6">
        <v>1.6237697368421053</v>
      </c>
      <c r="C6">
        <v>0.97426315789473683</v>
      </c>
      <c r="D6">
        <v>4886.8312757201647</v>
      </c>
      <c r="E6">
        <v>7341.7401528512646</v>
      </c>
      <c r="F6">
        <f t="shared" si="0"/>
        <v>12228.571428571429</v>
      </c>
      <c r="G6" s="8">
        <v>4886.8312757201647</v>
      </c>
      <c r="H6">
        <v>15000</v>
      </c>
      <c r="I6">
        <f t="shared" si="1"/>
        <v>19886.831275720164</v>
      </c>
      <c r="J6">
        <v>12657.142857142857</v>
      </c>
      <c r="K6">
        <v>228.57142857142856</v>
      </c>
      <c r="L6">
        <v>611.48442092886535</v>
      </c>
      <c r="M6">
        <f t="shared" si="2"/>
        <v>7152.7869457594607</v>
      </c>
      <c r="N6">
        <f t="shared" si="3"/>
        <v>14613.947368421052</v>
      </c>
    </row>
    <row r="7" spans="1:20" x14ac:dyDescent="0.2">
      <c r="A7" s="12">
        <v>45901</v>
      </c>
      <c r="B7">
        <v>1.6237697368421053</v>
      </c>
      <c r="C7">
        <v>0.32475657894736842</v>
      </c>
      <c r="D7">
        <v>4886.8312757201647</v>
      </c>
      <c r="E7">
        <v>4456.0258671369784</v>
      </c>
      <c r="F7">
        <f t="shared" si="0"/>
        <v>9342.8571428571431</v>
      </c>
      <c r="G7" s="8">
        <v>4886.8312757201647</v>
      </c>
      <c r="H7">
        <v>15000</v>
      </c>
      <c r="I7">
        <f t="shared" si="1"/>
        <v>19886.831275720164</v>
      </c>
      <c r="J7">
        <v>12000</v>
      </c>
      <c r="K7">
        <v>95.714285714285694</v>
      </c>
      <c r="L7">
        <v>1005.8259847148737</v>
      </c>
      <c r="M7">
        <f t="shared" si="2"/>
        <v>1447.123716312386</v>
      </c>
      <c r="N7">
        <f t="shared" si="3"/>
        <v>4871.3486842105267</v>
      </c>
    </row>
    <row r="8" spans="1:20" x14ac:dyDescent="0.2">
      <c r="A8" s="12">
        <v>45931</v>
      </c>
      <c r="B8">
        <v>1.7219534883720931</v>
      </c>
      <c r="C8">
        <v>1.7219534883720931</v>
      </c>
      <c r="D8">
        <v>2767.3611111111113</v>
      </c>
      <c r="E8">
        <v>10546.924603174602</v>
      </c>
      <c r="F8">
        <f t="shared" si="0"/>
        <v>13314.285714285714</v>
      </c>
      <c r="G8" s="8">
        <v>2767.3611111111113</v>
      </c>
      <c r="H8">
        <v>15000</v>
      </c>
      <c r="I8">
        <f t="shared" si="1"/>
        <v>17767.361111111109</v>
      </c>
      <c r="J8">
        <v>11714.285714285714</v>
      </c>
      <c r="K8">
        <v>175.71428571428569</v>
      </c>
      <c r="L8">
        <v>1308.4797545561435</v>
      </c>
      <c r="M8">
        <f t="shared" si="2"/>
        <v>18161.313612033959</v>
      </c>
      <c r="N8">
        <f t="shared" si="3"/>
        <v>25829.302325581397</v>
      </c>
    </row>
    <row r="9" spans="1:20" x14ac:dyDescent="0.2">
      <c r="A9" s="12">
        <v>45962</v>
      </c>
      <c r="B9">
        <v>1.720433105627585</v>
      </c>
      <c r="C9">
        <v>1.720433105627585</v>
      </c>
      <c r="D9">
        <v>2767.3611111111113</v>
      </c>
      <c r="E9">
        <v>7346.9246031746025</v>
      </c>
      <c r="F9">
        <f t="shared" si="0"/>
        <v>10114.285714285714</v>
      </c>
      <c r="G9" s="8">
        <v>2767.3611111111113</v>
      </c>
      <c r="H9">
        <v>3088.8718871251899</v>
      </c>
      <c r="I9">
        <f t="shared" si="1"/>
        <v>5856.2329982363008</v>
      </c>
      <c r="J9">
        <v>9342.8571428571431</v>
      </c>
      <c r="K9">
        <v>214.28571428571422</v>
      </c>
      <c r="L9">
        <v>1134.1485473251014</v>
      </c>
      <c r="M9">
        <f t="shared" si="2"/>
        <v>12639.892311851394</v>
      </c>
      <c r="N9">
        <f t="shared" si="3"/>
        <v>5314.1974536525295</v>
      </c>
    </row>
    <row r="10" spans="1:20" x14ac:dyDescent="0.2">
      <c r="A10" s="12">
        <v>45992</v>
      </c>
      <c r="B10">
        <v>1.720433105627585</v>
      </c>
      <c r="C10">
        <v>2.2939030624099632</v>
      </c>
      <c r="D10">
        <v>2767.3611111111113</v>
      </c>
      <c r="E10">
        <v>6461.210317460318</v>
      </c>
      <c r="F10">
        <f t="shared" si="0"/>
        <v>9228.5714285714294</v>
      </c>
      <c r="G10" s="8">
        <v>2767.3611111111113</v>
      </c>
      <c r="H10">
        <v>0</v>
      </c>
      <c r="I10">
        <f t="shared" si="1"/>
        <v>2767.3611111111113</v>
      </c>
      <c r="J10">
        <v>9085.7142857142862</v>
      </c>
      <c r="K10">
        <v>221.42857142857139</v>
      </c>
      <c r="L10">
        <v>818.2308885949426</v>
      </c>
      <c r="M10">
        <f t="shared" si="2"/>
        <v>14821.390134097073</v>
      </c>
      <c r="N10">
        <f t="shared" si="3"/>
        <v>0</v>
      </c>
    </row>
    <row r="11" spans="1:20" x14ac:dyDescent="0.2">
      <c r="A11" s="12">
        <v>46023</v>
      </c>
      <c r="B11">
        <v>1.720433105627585</v>
      </c>
      <c r="C11">
        <v>0.28673497839118917</v>
      </c>
      <c r="D11">
        <v>2767.3611111111113</v>
      </c>
      <c r="E11">
        <v>3404.0674603174602</v>
      </c>
      <c r="F11">
        <f t="shared" si="0"/>
        <v>6171.4285714285716</v>
      </c>
      <c r="G11" s="8">
        <v>2767.3611111111113</v>
      </c>
      <c r="H11">
        <v>0</v>
      </c>
      <c r="I11">
        <f t="shared" si="1"/>
        <v>2767.3611111111113</v>
      </c>
      <c r="J11">
        <v>9028.5714285714294</v>
      </c>
      <c r="K11">
        <v>78.571428571428541</v>
      </c>
      <c r="L11">
        <v>505.17037272192675</v>
      </c>
      <c r="M11">
        <f t="shared" si="2"/>
        <v>976.06520967627716</v>
      </c>
      <c r="N11">
        <f t="shared" si="3"/>
        <v>0</v>
      </c>
    </row>
    <row r="12" spans="1:20" x14ac:dyDescent="0.2">
      <c r="A12" s="12">
        <v>46054</v>
      </c>
      <c r="B12">
        <v>1.720433105627585</v>
      </c>
      <c r="C12">
        <v>1.4336865095961708</v>
      </c>
      <c r="D12">
        <v>2767.3611111111113</v>
      </c>
      <c r="E12">
        <v>4975.4960317460318</v>
      </c>
      <c r="F12">
        <f t="shared" si="0"/>
        <v>7742.8571428571431</v>
      </c>
      <c r="G12" s="8">
        <v>2767.3611111111113</v>
      </c>
      <c r="H12">
        <v>0</v>
      </c>
      <c r="I12">
        <f t="shared" si="1"/>
        <v>2767.3611111111113</v>
      </c>
      <c r="J12">
        <v>7685.7142857142853</v>
      </c>
      <c r="K12">
        <v>81.428571428571431</v>
      </c>
      <c r="L12">
        <v>259.25271399176808</v>
      </c>
      <c r="M12">
        <f t="shared" si="2"/>
        <v>7133.3015392635671</v>
      </c>
      <c r="N12">
        <f t="shared" si="3"/>
        <v>0</v>
      </c>
    </row>
    <row r="13" spans="1:20" x14ac:dyDescent="0.2">
      <c r="A13" s="12">
        <v>46082</v>
      </c>
      <c r="B13">
        <v>1.720433105627585</v>
      </c>
      <c r="C13">
        <v>1.1469515312049816</v>
      </c>
      <c r="D13">
        <v>2767.3611111111113</v>
      </c>
      <c r="E13">
        <v>4918.353174603174</v>
      </c>
      <c r="F13">
        <f t="shared" si="0"/>
        <v>7685.7142857142853</v>
      </c>
      <c r="G13" s="8">
        <v>2767.3611111111113</v>
      </c>
      <c r="H13">
        <v>0</v>
      </c>
      <c r="I13">
        <f t="shared" si="1"/>
        <v>2767.3611111111113</v>
      </c>
      <c r="J13">
        <v>7571.4285714285716</v>
      </c>
      <c r="K13">
        <v>87.14285714285711</v>
      </c>
      <c r="L13">
        <v>19.049340975895031</v>
      </c>
      <c r="M13">
        <f t="shared" si="2"/>
        <v>5641.1127046179927</v>
      </c>
      <c r="N13">
        <f t="shared" si="3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D2CF-B189-444E-87DD-C47F99ABC978}">
  <dimension ref="A1:J11"/>
  <sheetViews>
    <sheetView workbookViewId="0">
      <selection activeCell="O16" sqref="O16"/>
    </sheetView>
  </sheetViews>
  <sheetFormatPr baseColWidth="10" defaultRowHeight="15" x14ac:dyDescent="0.2"/>
  <sheetData>
    <row r="1" spans="1:10" x14ac:dyDescent="0.2">
      <c r="A1" t="s">
        <v>113</v>
      </c>
    </row>
    <row r="2" spans="1:10" s="15" customFormat="1" ht="32" x14ac:dyDescent="0.2">
      <c r="A2" s="15" t="s">
        <v>100</v>
      </c>
      <c r="B2" s="15" t="s">
        <v>101</v>
      </c>
      <c r="C2" s="15" t="s">
        <v>102</v>
      </c>
      <c r="D2" s="15" t="s">
        <v>103</v>
      </c>
      <c r="E2" s="15" t="s">
        <v>104</v>
      </c>
      <c r="F2" s="15" t="s">
        <v>108</v>
      </c>
      <c r="G2" s="15" t="s">
        <v>109</v>
      </c>
      <c r="H2" s="15" t="s">
        <v>110</v>
      </c>
      <c r="I2" s="15" t="s">
        <v>111</v>
      </c>
      <c r="J2" s="15" t="s">
        <v>112</v>
      </c>
    </row>
    <row r="3" spans="1:10" x14ac:dyDescent="0.2">
      <c r="A3" t="s">
        <v>58</v>
      </c>
      <c r="B3">
        <v>4064</v>
      </c>
      <c r="C3">
        <v>3904.9788600000002</v>
      </c>
      <c r="D3">
        <v>191.708946</v>
      </c>
      <c r="E3">
        <v>199.67633499999999</v>
      </c>
      <c r="F3">
        <f t="shared" ref="F3:F6" si="0">B3+D3</f>
        <v>4255.7089459999997</v>
      </c>
      <c r="G3">
        <f t="shared" ref="G3:G6" si="1">C3+E3</f>
        <v>4104.6551950000003</v>
      </c>
      <c r="H3">
        <f t="shared" ref="H3:H6" si="2">100*(B3-C3)/B3</f>
        <v>3.9129217519684998</v>
      </c>
      <c r="I3">
        <f t="shared" ref="I3:I6" si="3">100*(D3- E3)/D3</f>
        <v>-4.1559818496941698</v>
      </c>
      <c r="J3">
        <f t="shared" ref="J3:J6" si="4">100*(F3-G3)/F3</f>
        <v>3.5494380117789071</v>
      </c>
    </row>
    <row r="4" spans="1:10" x14ac:dyDescent="0.2">
      <c r="A4" t="s">
        <v>105</v>
      </c>
      <c r="B4">
        <v>3661</v>
      </c>
      <c r="C4">
        <v>3431.7619599999998</v>
      </c>
      <c r="D4">
        <v>134.98111499999999</v>
      </c>
      <c r="E4">
        <v>176.81445099999999</v>
      </c>
      <c r="F4">
        <f t="shared" si="0"/>
        <v>3795.981115</v>
      </c>
      <c r="G4">
        <f t="shared" si="1"/>
        <v>3608.576411</v>
      </c>
      <c r="H4">
        <f t="shared" si="2"/>
        <v>6.2616236001092647</v>
      </c>
      <c r="I4">
        <f t="shared" si="3"/>
        <v>-30.991991731584083</v>
      </c>
      <c r="J4">
        <f t="shared" si="4"/>
        <v>4.9369240341966254</v>
      </c>
    </row>
    <row r="5" spans="1:10" x14ac:dyDescent="0.2">
      <c r="A5" t="s">
        <v>106</v>
      </c>
      <c r="B5">
        <v>3276</v>
      </c>
      <c r="C5">
        <v>3041.8</v>
      </c>
      <c r="D5">
        <v>24.705120059999999</v>
      </c>
      <c r="E5">
        <v>80.727150140000006</v>
      </c>
      <c r="F5">
        <f t="shared" si="0"/>
        <v>3300.7051200599999</v>
      </c>
      <c r="G5">
        <f t="shared" si="1"/>
        <v>3122.5271501400002</v>
      </c>
      <c r="H5">
        <f t="shared" si="2"/>
        <v>7.1489621489621431</v>
      </c>
      <c r="I5">
        <f t="shared" si="3"/>
        <v>-226.76283274051011</v>
      </c>
      <c r="J5">
        <f t="shared" si="4"/>
        <v>5.3981789780954674</v>
      </c>
    </row>
    <row r="6" spans="1:10" x14ac:dyDescent="0.2">
      <c r="A6" t="s">
        <v>107</v>
      </c>
      <c r="B6">
        <v>2768</v>
      </c>
      <c r="C6">
        <v>2498</v>
      </c>
      <c r="D6">
        <v>30.7</v>
      </c>
      <c r="E6">
        <v>100.3</v>
      </c>
      <c r="F6">
        <f t="shared" si="0"/>
        <v>2798.7</v>
      </c>
      <c r="G6">
        <f t="shared" si="1"/>
        <v>2598.3000000000002</v>
      </c>
      <c r="H6">
        <f t="shared" si="2"/>
        <v>9.7543352601156066</v>
      </c>
      <c r="I6">
        <f t="shared" si="3"/>
        <v>-226.71009771986968</v>
      </c>
      <c r="J6">
        <f t="shared" si="4"/>
        <v>7.1604673598456303</v>
      </c>
    </row>
    <row r="7" spans="1:10" x14ac:dyDescent="0.2">
      <c r="A7" t="s">
        <v>114</v>
      </c>
    </row>
    <row r="8" spans="1:10" x14ac:dyDescent="0.2">
      <c r="A8" t="s">
        <v>58</v>
      </c>
      <c r="B8">
        <v>4064</v>
      </c>
      <c r="C8">
        <v>3960.48</v>
      </c>
      <c r="D8">
        <v>191.7</v>
      </c>
      <c r="E8">
        <v>240.5</v>
      </c>
      <c r="F8">
        <f t="shared" ref="F8:F11" si="5">B8+D8</f>
        <v>4255.7</v>
      </c>
      <c r="G8">
        <f t="shared" ref="G8:G11" si="6">C8+E8</f>
        <v>4200.9799999999996</v>
      </c>
      <c r="H8">
        <f t="shared" ref="H8:H11" si="7">100*(B8-C8)/B8</f>
        <v>2.5472440944881884</v>
      </c>
      <c r="I8">
        <f t="shared" ref="I8:I11" si="8">100*(D8- E8)/D8</f>
        <v>-25.456442357850815</v>
      </c>
      <c r="J8">
        <f t="shared" ref="J8:J11" si="9">100*(F8-G8)/F8</f>
        <v>1.2858049204596249</v>
      </c>
    </row>
    <row r="9" spans="1:10" x14ac:dyDescent="0.2">
      <c r="A9" t="s">
        <v>105</v>
      </c>
      <c r="B9">
        <v>3661</v>
      </c>
      <c r="C9">
        <v>3518.2579700000001</v>
      </c>
      <c r="D9">
        <v>134.98111499999999</v>
      </c>
      <c r="E9">
        <v>121.399073</v>
      </c>
      <c r="F9">
        <f t="shared" si="5"/>
        <v>3795.981115</v>
      </c>
      <c r="G9">
        <f t="shared" si="6"/>
        <v>3639.6570430000002</v>
      </c>
      <c r="H9">
        <f t="shared" si="7"/>
        <v>3.8989901666211386</v>
      </c>
      <c r="I9">
        <f t="shared" si="8"/>
        <v>10.062179438953359</v>
      </c>
      <c r="J9">
        <f t="shared" si="9"/>
        <v>4.1181467258168878</v>
      </c>
    </row>
    <row r="10" spans="1:10" x14ac:dyDescent="0.2">
      <c r="A10" t="s">
        <v>106</v>
      </c>
      <c r="B10">
        <v>3276</v>
      </c>
      <c r="C10">
        <v>3166.3396299999999</v>
      </c>
      <c r="D10">
        <v>24.705120099999998</v>
      </c>
      <c r="E10">
        <v>58.523564200000003</v>
      </c>
      <c r="F10">
        <f t="shared" si="5"/>
        <v>3300.7051200999999</v>
      </c>
      <c r="G10">
        <f t="shared" si="6"/>
        <v>3224.8631941999997</v>
      </c>
      <c r="H10">
        <f t="shared" si="7"/>
        <v>3.3473861416361435</v>
      </c>
      <c r="I10">
        <f t="shared" si="8"/>
        <v>-136.88840193090181</v>
      </c>
      <c r="J10">
        <f t="shared" si="9"/>
        <v>2.2977492123774588</v>
      </c>
    </row>
    <row r="11" spans="1:10" x14ac:dyDescent="0.2">
      <c r="A11" t="s">
        <v>107</v>
      </c>
      <c r="B11">
        <v>2768</v>
      </c>
      <c r="C11">
        <v>2653.09</v>
      </c>
      <c r="D11">
        <v>30.7</v>
      </c>
      <c r="E11">
        <v>11.54</v>
      </c>
      <c r="F11">
        <f t="shared" si="5"/>
        <v>2798.7</v>
      </c>
      <c r="G11">
        <f t="shared" si="6"/>
        <v>2664.63</v>
      </c>
      <c r="H11">
        <f t="shared" si="7"/>
        <v>4.1513728323699368</v>
      </c>
      <c r="I11">
        <f t="shared" si="8"/>
        <v>62.410423452768732</v>
      </c>
      <c r="J11">
        <f t="shared" si="9"/>
        <v>4.7904384178368424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zoomScaleNormal="100" workbookViewId="0">
      <selection activeCell="C11" sqref="C11:N11"/>
    </sheetView>
  </sheetViews>
  <sheetFormatPr baseColWidth="10" defaultColWidth="13.5" defaultRowHeight="15" x14ac:dyDescent="0.2"/>
  <cols>
    <col min="2" max="2" width="17.83203125" customWidth="1"/>
  </cols>
  <sheetData>
    <row r="1" spans="1:15" x14ac:dyDescent="0.2">
      <c r="A1" t="s">
        <v>0</v>
      </c>
      <c r="B1" t="s">
        <v>13</v>
      </c>
      <c r="C1" s="7">
        <v>45771</v>
      </c>
      <c r="D1" s="7">
        <v>45801</v>
      </c>
      <c r="E1" s="7">
        <v>45832</v>
      </c>
      <c r="F1" s="7">
        <v>45862</v>
      </c>
      <c r="G1" s="7">
        <v>45893</v>
      </c>
      <c r="H1" s="7">
        <v>45924</v>
      </c>
      <c r="I1" s="7">
        <v>45954</v>
      </c>
      <c r="J1" s="7">
        <v>45985</v>
      </c>
      <c r="K1" s="7">
        <v>46015</v>
      </c>
      <c r="L1" s="7">
        <v>45682</v>
      </c>
      <c r="M1" s="7">
        <v>45713</v>
      </c>
      <c r="N1" s="7">
        <v>45741</v>
      </c>
      <c r="O1" t="s">
        <v>1</v>
      </c>
    </row>
    <row r="2" spans="1:15" x14ac:dyDescent="0.2">
      <c r="A2" t="s">
        <v>2</v>
      </c>
      <c r="B2" t="s">
        <v>3</v>
      </c>
      <c r="C2">
        <v>0</v>
      </c>
      <c r="D2">
        <v>0</v>
      </c>
      <c r="E2">
        <v>0</v>
      </c>
      <c r="F2">
        <v>0</v>
      </c>
      <c r="G2">
        <v>560</v>
      </c>
      <c r="H2">
        <v>916</v>
      </c>
      <c r="I2">
        <v>813</v>
      </c>
      <c r="J2">
        <v>718</v>
      </c>
      <c r="K2">
        <v>916</v>
      </c>
      <c r="L2">
        <v>0</v>
      </c>
      <c r="M2">
        <v>0</v>
      </c>
      <c r="N2">
        <v>0</v>
      </c>
      <c r="O2">
        <v>3923</v>
      </c>
    </row>
    <row r="3" spans="1:15" x14ac:dyDescent="0.2">
      <c r="A3" t="s">
        <v>2</v>
      </c>
      <c r="B3" t="s">
        <v>4</v>
      </c>
      <c r="C3">
        <v>0</v>
      </c>
      <c r="D3">
        <v>0</v>
      </c>
      <c r="E3">
        <v>0</v>
      </c>
      <c r="F3">
        <v>0</v>
      </c>
      <c r="G3">
        <v>168127</v>
      </c>
      <c r="H3">
        <v>274686</v>
      </c>
      <c r="I3">
        <v>243902</v>
      </c>
      <c r="J3">
        <v>215487</v>
      </c>
      <c r="K3">
        <v>274686</v>
      </c>
      <c r="L3">
        <v>0</v>
      </c>
      <c r="M3">
        <v>0</v>
      </c>
      <c r="N3">
        <v>0</v>
      </c>
      <c r="O3">
        <v>1176888</v>
      </c>
    </row>
    <row r="4" spans="1:15" x14ac:dyDescent="0.2">
      <c r="A4" t="s">
        <v>2</v>
      </c>
      <c r="B4" t="s">
        <v>5</v>
      </c>
      <c r="C4">
        <v>0</v>
      </c>
      <c r="D4">
        <v>0</v>
      </c>
      <c r="E4">
        <v>0</v>
      </c>
      <c r="F4">
        <v>0</v>
      </c>
      <c r="G4">
        <v>71000</v>
      </c>
      <c r="H4">
        <v>116000</v>
      </c>
      <c r="I4">
        <v>103000</v>
      </c>
      <c r="J4">
        <v>91000</v>
      </c>
      <c r="K4">
        <v>116000</v>
      </c>
      <c r="L4">
        <v>0</v>
      </c>
      <c r="M4">
        <v>0</v>
      </c>
      <c r="N4">
        <v>0</v>
      </c>
      <c r="O4">
        <v>497000</v>
      </c>
    </row>
    <row r="5" spans="1:15" x14ac:dyDescent="0.2">
      <c r="A5" t="s">
        <v>6</v>
      </c>
      <c r="B5" t="s">
        <v>3</v>
      </c>
      <c r="C5">
        <v>1440</v>
      </c>
      <c r="D5">
        <v>1248</v>
      </c>
      <c r="E5">
        <v>1632</v>
      </c>
      <c r="F5">
        <v>2304</v>
      </c>
      <c r="G5">
        <v>1456</v>
      </c>
      <c r="H5">
        <v>908</v>
      </c>
      <c r="I5">
        <v>1299</v>
      </c>
      <c r="J5">
        <v>722</v>
      </c>
      <c r="K5">
        <v>1388</v>
      </c>
      <c r="L5">
        <v>576</v>
      </c>
      <c r="M5">
        <v>2400</v>
      </c>
      <c r="N5">
        <v>1056</v>
      </c>
      <c r="O5">
        <v>16429</v>
      </c>
    </row>
    <row r="6" spans="1:15" x14ac:dyDescent="0.2">
      <c r="A6" t="s">
        <v>6</v>
      </c>
      <c r="B6" t="s">
        <v>4</v>
      </c>
      <c r="C6">
        <v>432000</v>
      </c>
      <c r="D6">
        <v>374400</v>
      </c>
      <c r="E6">
        <v>489600</v>
      </c>
      <c r="F6">
        <v>691200</v>
      </c>
      <c r="G6">
        <v>436673</v>
      </c>
      <c r="H6">
        <v>272514</v>
      </c>
      <c r="I6">
        <v>389698</v>
      </c>
      <c r="J6">
        <v>216513</v>
      </c>
      <c r="K6">
        <v>416514</v>
      </c>
      <c r="L6">
        <v>172800</v>
      </c>
      <c r="M6">
        <v>720000</v>
      </c>
      <c r="N6">
        <v>316800</v>
      </c>
      <c r="O6">
        <v>4928712</v>
      </c>
    </row>
    <row r="7" spans="1:15" x14ac:dyDescent="0.2">
      <c r="A7" t="s">
        <v>6</v>
      </c>
      <c r="B7" t="s">
        <v>5</v>
      </c>
      <c r="C7">
        <v>182000</v>
      </c>
      <c r="D7">
        <v>158000</v>
      </c>
      <c r="E7">
        <v>206000</v>
      </c>
      <c r="F7">
        <v>291000</v>
      </c>
      <c r="G7">
        <v>184000</v>
      </c>
      <c r="H7">
        <v>115000</v>
      </c>
      <c r="I7">
        <v>164000</v>
      </c>
      <c r="J7">
        <v>91000</v>
      </c>
      <c r="K7">
        <v>175000</v>
      </c>
      <c r="L7">
        <v>72000</v>
      </c>
      <c r="M7">
        <v>304000</v>
      </c>
      <c r="N7">
        <v>133000</v>
      </c>
      <c r="O7">
        <v>2075000</v>
      </c>
    </row>
    <row r="8" spans="1:15" x14ac:dyDescent="0.2">
      <c r="A8" t="s">
        <v>2</v>
      </c>
      <c r="B8" t="s">
        <v>7</v>
      </c>
      <c r="C8">
        <v>0</v>
      </c>
      <c r="D8">
        <v>0</v>
      </c>
      <c r="E8">
        <v>0</v>
      </c>
      <c r="F8">
        <v>0</v>
      </c>
      <c r="G8">
        <v>98587</v>
      </c>
      <c r="H8">
        <v>161684</v>
      </c>
      <c r="I8">
        <v>148821</v>
      </c>
      <c r="J8">
        <v>134780</v>
      </c>
      <c r="K8">
        <v>172549</v>
      </c>
      <c r="L8">
        <v>0</v>
      </c>
      <c r="M8">
        <v>0</v>
      </c>
      <c r="N8">
        <v>0</v>
      </c>
      <c r="O8">
        <v>716421</v>
      </c>
    </row>
    <row r="9" spans="1:15" x14ac:dyDescent="0.2">
      <c r="A9" t="s">
        <v>6</v>
      </c>
      <c r="B9" t="s">
        <v>7</v>
      </c>
      <c r="C9">
        <v>213883</v>
      </c>
      <c r="D9">
        <v>203012</v>
      </c>
      <c r="E9">
        <v>285518</v>
      </c>
      <c r="F9">
        <v>419363</v>
      </c>
      <c r="G9">
        <v>256058</v>
      </c>
      <c r="H9">
        <v>160405</v>
      </c>
      <c r="I9">
        <v>237780</v>
      </c>
      <c r="J9">
        <v>135422</v>
      </c>
      <c r="K9">
        <v>261640</v>
      </c>
      <c r="L9">
        <v>106796</v>
      </c>
      <c r="M9">
        <v>432624</v>
      </c>
      <c r="N9">
        <v>192583</v>
      </c>
      <c r="O9">
        <v>2905085</v>
      </c>
    </row>
    <row r="11" spans="1:15" x14ac:dyDescent="0.2">
      <c r="C11">
        <v>31.103999999999999</v>
      </c>
      <c r="D11">
        <v>31.103999999999999</v>
      </c>
      <c r="E11">
        <v>31.103999999999999</v>
      </c>
      <c r="F11">
        <v>31.103999999999999</v>
      </c>
      <c r="G11">
        <v>31.103999999999999</v>
      </c>
      <c r="H11">
        <v>31.103999999999999</v>
      </c>
      <c r="I11">
        <v>31.103999999999999</v>
      </c>
      <c r="J11">
        <v>31.103999999999999</v>
      </c>
      <c r="K11">
        <v>31.103999999999999</v>
      </c>
      <c r="L11">
        <v>31.103999999999999</v>
      </c>
      <c r="M11">
        <v>31.103999999999999</v>
      </c>
      <c r="N11">
        <v>31.103999999999999</v>
      </c>
    </row>
    <row r="12" spans="1:15" x14ac:dyDescent="0.2">
      <c r="C12">
        <f>C4/C11</f>
        <v>0</v>
      </c>
      <c r="D12">
        <f t="shared" ref="D12:N12" si="0">D4/D11</f>
        <v>0</v>
      </c>
      <c r="E12">
        <f t="shared" si="0"/>
        <v>0</v>
      </c>
      <c r="F12">
        <f t="shared" si="0"/>
        <v>0</v>
      </c>
      <c r="G12">
        <f t="shared" si="0"/>
        <v>2282.6646090534982</v>
      </c>
      <c r="H12">
        <f t="shared" si="0"/>
        <v>3729.4238683127573</v>
      </c>
      <c r="I12">
        <f t="shared" si="0"/>
        <v>3311.471193415638</v>
      </c>
      <c r="J12">
        <f t="shared" si="0"/>
        <v>2925.6687242798353</v>
      </c>
      <c r="K12">
        <f t="shared" si="0"/>
        <v>3729.4238683127573</v>
      </c>
      <c r="L12">
        <f t="shared" si="0"/>
        <v>0</v>
      </c>
      <c r="M12">
        <f t="shared" si="0"/>
        <v>0</v>
      </c>
      <c r="N12">
        <f t="shared" si="0"/>
        <v>0</v>
      </c>
    </row>
    <row r="13" spans="1:15" x14ac:dyDescent="0.2">
      <c r="C13">
        <f>C6/C11</f>
        <v>13888.888888888889</v>
      </c>
      <c r="D13">
        <f t="shared" ref="D13:N13" si="1">D6/D11</f>
        <v>12037.037037037036</v>
      </c>
      <c r="E13">
        <f t="shared" si="1"/>
        <v>15740.740740740741</v>
      </c>
      <c r="F13">
        <f t="shared" si="1"/>
        <v>22222.222222222223</v>
      </c>
      <c r="G13">
        <f t="shared" si="1"/>
        <v>14039.126800411523</v>
      </c>
      <c r="H13">
        <f t="shared" si="1"/>
        <v>8761.3811728395067</v>
      </c>
      <c r="I13">
        <f t="shared" si="1"/>
        <v>12528.870884773663</v>
      </c>
      <c r="J13">
        <f t="shared" si="1"/>
        <v>6960.9375</v>
      </c>
      <c r="K13">
        <f t="shared" si="1"/>
        <v>13391.010802469136</v>
      </c>
      <c r="L13">
        <f t="shared" si="1"/>
        <v>5555.5555555555557</v>
      </c>
      <c r="M13">
        <f t="shared" si="1"/>
        <v>23148.14814814815</v>
      </c>
      <c r="N13">
        <f t="shared" si="1"/>
        <v>10185.185185185186</v>
      </c>
    </row>
    <row r="15" spans="1:15" x14ac:dyDescent="0.2">
      <c r="C15">
        <f>SUM(C12:C13)</f>
        <v>13888.888888888889</v>
      </c>
      <c r="D15">
        <f t="shared" ref="D15:N15" si="2">SUM(D12:D13)</f>
        <v>12037.037037037036</v>
      </c>
      <c r="E15">
        <f t="shared" si="2"/>
        <v>15740.740740740741</v>
      </c>
      <c r="F15">
        <f t="shared" si="2"/>
        <v>22222.222222222223</v>
      </c>
      <c r="G15">
        <f t="shared" si="2"/>
        <v>16321.79140946502</v>
      </c>
      <c r="H15">
        <f t="shared" si="2"/>
        <v>12490.805041152264</v>
      </c>
      <c r="I15">
        <f t="shared" si="2"/>
        <v>15840.342078189302</v>
      </c>
      <c r="J15">
        <f t="shared" si="2"/>
        <v>9886.6062242798362</v>
      </c>
      <c r="K15">
        <f t="shared" si="2"/>
        <v>17120.434670781895</v>
      </c>
      <c r="L15">
        <f t="shared" si="2"/>
        <v>5555.5555555555557</v>
      </c>
      <c r="M15">
        <f t="shared" si="2"/>
        <v>23148.14814814815</v>
      </c>
      <c r="N15">
        <f t="shared" si="2"/>
        <v>10185.185185185186</v>
      </c>
    </row>
    <row r="17" spans="3:14" x14ac:dyDescent="0.2">
      <c r="C17">
        <f>C9*C11/C6</f>
        <v>15.399575999999998</v>
      </c>
      <c r="D17">
        <f>D9*D11/D6</f>
        <v>16.865612307692306</v>
      </c>
      <c r="E17">
        <f t="shared" ref="E17:N17" si="3">E9*E11/E6</f>
        <v>18.138790588235292</v>
      </c>
      <c r="F17">
        <f t="shared" si="3"/>
        <v>18.871335000000002</v>
      </c>
      <c r="G17">
        <f t="shared" si="3"/>
        <v>18.23888363145878</v>
      </c>
      <c r="H17">
        <f t="shared" si="3"/>
        <v>18.308186441797485</v>
      </c>
      <c r="I17">
        <f t="shared" si="3"/>
        <v>18.978565761179169</v>
      </c>
      <c r="J17">
        <f t="shared" si="3"/>
        <v>19.454563411896746</v>
      </c>
      <c r="K17">
        <f t="shared" si="3"/>
        <v>19.538480243161093</v>
      </c>
      <c r="L17">
        <f t="shared" si="3"/>
        <v>19.223279999999999</v>
      </c>
      <c r="M17">
        <f t="shared" si="3"/>
        <v>18.689356799999999</v>
      </c>
      <c r="N17">
        <f t="shared" si="3"/>
        <v>18.908149090909092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zoomScaleNormal="100" workbookViewId="0">
      <selection activeCell="C21" sqref="C21:C32"/>
    </sheetView>
  </sheetViews>
  <sheetFormatPr baseColWidth="10" defaultColWidth="13.5" defaultRowHeight="15" x14ac:dyDescent="0.2"/>
  <cols>
    <col min="2" max="2" width="17.83203125" customWidth="1"/>
  </cols>
  <sheetData>
    <row r="1" spans="1:15" x14ac:dyDescent="0.2">
      <c r="A1" t="s">
        <v>8</v>
      </c>
      <c r="B1" t="s">
        <v>13</v>
      </c>
      <c r="C1" s="7">
        <v>45772</v>
      </c>
      <c r="D1" s="7">
        <v>45802</v>
      </c>
      <c r="E1" s="7">
        <v>45833</v>
      </c>
      <c r="F1" s="7">
        <v>45863</v>
      </c>
      <c r="G1" s="7">
        <v>45894</v>
      </c>
      <c r="H1" s="7">
        <v>45925</v>
      </c>
      <c r="I1" s="7">
        <v>45955</v>
      </c>
      <c r="J1" s="7">
        <v>45986</v>
      </c>
      <c r="K1" s="7">
        <v>46016</v>
      </c>
      <c r="L1" s="7">
        <v>45683</v>
      </c>
      <c r="M1" s="7">
        <v>45714</v>
      </c>
      <c r="N1" s="7">
        <v>45742</v>
      </c>
      <c r="O1" t="s">
        <v>9</v>
      </c>
    </row>
    <row r="2" spans="1:15" x14ac:dyDescent="0.2">
      <c r="A2" t="s">
        <v>2</v>
      </c>
      <c r="B2" t="s">
        <v>3</v>
      </c>
      <c r="C2">
        <v>1248</v>
      </c>
      <c r="D2">
        <v>1248</v>
      </c>
      <c r="E2">
        <v>960</v>
      </c>
      <c r="F2">
        <v>960</v>
      </c>
      <c r="G2">
        <v>960</v>
      </c>
      <c r="H2">
        <v>960</v>
      </c>
      <c r="I2">
        <v>576</v>
      </c>
      <c r="J2">
        <v>576</v>
      </c>
      <c r="K2">
        <v>576</v>
      </c>
      <c r="L2">
        <v>576</v>
      </c>
      <c r="M2">
        <v>576</v>
      </c>
      <c r="N2">
        <v>576</v>
      </c>
      <c r="O2">
        <v>9792</v>
      </c>
    </row>
    <row r="3" spans="1:15" x14ac:dyDescent="0.2">
      <c r="A3" t="s">
        <v>2</v>
      </c>
      <c r="B3" t="s">
        <v>4</v>
      </c>
      <c r="C3">
        <v>374400</v>
      </c>
      <c r="D3">
        <v>374400</v>
      </c>
      <c r="E3">
        <v>384000</v>
      </c>
      <c r="F3">
        <v>384000</v>
      </c>
      <c r="G3">
        <v>384000</v>
      </c>
      <c r="H3">
        <v>384000</v>
      </c>
      <c r="I3">
        <v>230400</v>
      </c>
      <c r="J3">
        <v>230400</v>
      </c>
      <c r="K3">
        <v>230400</v>
      </c>
      <c r="L3">
        <v>230400</v>
      </c>
      <c r="M3">
        <v>230400</v>
      </c>
      <c r="N3">
        <v>230400</v>
      </c>
      <c r="O3">
        <v>3667200</v>
      </c>
    </row>
    <row r="4" spans="1:15" x14ac:dyDescent="0.2">
      <c r="A4" t="s">
        <v>2</v>
      </c>
      <c r="B4" t="s">
        <v>5</v>
      </c>
      <c r="C4">
        <v>152000</v>
      </c>
      <c r="D4">
        <v>152000</v>
      </c>
      <c r="E4">
        <v>152000</v>
      </c>
      <c r="F4">
        <v>152000</v>
      </c>
      <c r="G4">
        <v>152000</v>
      </c>
      <c r="H4">
        <v>152000</v>
      </c>
      <c r="I4">
        <v>86000</v>
      </c>
      <c r="J4">
        <v>86076</v>
      </c>
      <c r="K4">
        <v>86076</v>
      </c>
      <c r="L4">
        <v>86076</v>
      </c>
      <c r="M4">
        <v>86076</v>
      </c>
      <c r="N4">
        <v>86076</v>
      </c>
      <c r="O4">
        <v>1428380</v>
      </c>
    </row>
    <row r="5" spans="1:15" x14ac:dyDescent="0.2">
      <c r="A5" t="s">
        <v>6</v>
      </c>
      <c r="B5" t="s">
        <v>3</v>
      </c>
      <c r="C5">
        <v>1152</v>
      </c>
      <c r="D5">
        <v>0</v>
      </c>
      <c r="E5">
        <v>864</v>
      </c>
      <c r="F5">
        <v>576</v>
      </c>
      <c r="G5">
        <v>576</v>
      </c>
      <c r="H5">
        <v>192</v>
      </c>
      <c r="I5">
        <v>576</v>
      </c>
      <c r="J5">
        <v>576</v>
      </c>
      <c r="K5">
        <v>768</v>
      </c>
      <c r="L5">
        <v>96</v>
      </c>
      <c r="M5">
        <v>480</v>
      </c>
      <c r="N5">
        <v>384</v>
      </c>
      <c r="O5">
        <v>6240</v>
      </c>
    </row>
    <row r="6" spans="1:15" x14ac:dyDescent="0.2">
      <c r="A6" t="s">
        <v>6</v>
      </c>
      <c r="B6" t="s">
        <v>4</v>
      </c>
      <c r="C6">
        <v>345600</v>
      </c>
      <c r="D6">
        <v>0</v>
      </c>
      <c r="E6">
        <v>345600</v>
      </c>
      <c r="F6">
        <v>230400</v>
      </c>
      <c r="G6">
        <v>230400</v>
      </c>
      <c r="H6">
        <v>76800</v>
      </c>
      <c r="I6">
        <v>230400</v>
      </c>
      <c r="J6">
        <v>230400</v>
      </c>
      <c r="K6">
        <v>307200</v>
      </c>
      <c r="L6">
        <v>38400</v>
      </c>
      <c r="M6">
        <v>192000</v>
      </c>
      <c r="N6">
        <v>153600</v>
      </c>
      <c r="O6">
        <v>2380800</v>
      </c>
    </row>
    <row r="7" spans="1:15" x14ac:dyDescent="0.2">
      <c r="A7" t="s">
        <v>6</v>
      </c>
      <c r="B7" t="s">
        <v>5</v>
      </c>
      <c r="C7">
        <v>152000</v>
      </c>
      <c r="D7">
        <v>6000</v>
      </c>
      <c r="E7">
        <v>156000</v>
      </c>
      <c r="F7">
        <v>107000</v>
      </c>
      <c r="G7">
        <v>107000</v>
      </c>
      <c r="H7">
        <v>42000</v>
      </c>
      <c r="I7">
        <v>76000</v>
      </c>
      <c r="J7">
        <v>107924</v>
      </c>
      <c r="K7">
        <v>140924</v>
      </c>
      <c r="L7">
        <v>26924</v>
      </c>
      <c r="M7">
        <v>91924</v>
      </c>
      <c r="N7">
        <v>75924</v>
      </c>
      <c r="O7">
        <v>1089620</v>
      </c>
    </row>
    <row r="8" spans="1:15" x14ac:dyDescent="0.2">
      <c r="A8" t="s">
        <v>2</v>
      </c>
      <c r="B8" t="s">
        <v>7</v>
      </c>
      <c r="C8">
        <v>232380</v>
      </c>
      <c r="D8">
        <v>240265</v>
      </c>
      <c r="E8">
        <v>246813</v>
      </c>
      <c r="F8">
        <v>246813</v>
      </c>
      <c r="G8">
        <v>246813</v>
      </c>
      <c r="H8">
        <v>246813</v>
      </c>
      <c r="I8">
        <v>148088</v>
      </c>
      <c r="J8">
        <v>148088</v>
      </c>
      <c r="K8">
        <v>148088</v>
      </c>
      <c r="L8">
        <v>148088</v>
      </c>
      <c r="M8">
        <v>148088</v>
      </c>
      <c r="N8">
        <v>148088</v>
      </c>
      <c r="O8">
        <v>2348422</v>
      </c>
    </row>
    <row r="9" spans="1:15" x14ac:dyDescent="0.2">
      <c r="A9" t="s">
        <v>6</v>
      </c>
      <c r="B9" t="s">
        <v>7</v>
      </c>
      <c r="C9">
        <v>214504</v>
      </c>
      <c r="D9">
        <v>0</v>
      </c>
      <c r="E9">
        <v>222132</v>
      </c>
      <c r="F9">
        <v>148088</v>
      </c>
      <c r="G9">
        <v>148088</v>
      </c>
      <c r="H9">
        <v>49363</v>
      </c>
      <c r="I9">
        <v>148088</v>
      </c>
      <c r="J9">
        <v>148088</v>
      </c>
      <c r="K9">
        <v>197450</v>
      </c>
      <c r="L9">
        <v>24681</v>
      </c>
      <c r="M9">
        <v>123406</v>
      </c>
      <c r="N9">
        <v>98725</v>
      </c>
      <c r="O9">
        <v>1522612</v>
      </c>
    </row>
    <row r="11" spans="1:15" x14ac:dyDescent="0.2">
      <c r="C11" s="7">
        <v>45772</v>
      </c>
      <c r="D11" s="7">
        <v>45802</v>
      </c>
      <c r="E11" s="7">
        <v>45833</v>
      </c>
      <c r="F11" s="7">
        <v>45863</v>
      </c>
      <c r="G11" s="7">
        <v>45894</v>
      </c>
      <c r="H11" s="7">
        <v>45925</v>
      </c>
      <c r="I11" s="7">
        <v>45955</v>
      </c>
      <c r="J11" s="7">
        <v>45986</v>
      </c>
      <c r="K11" s="7">
        <v>46016</v>
      </c>
      <c r="L11" s="7">
        <v>45683</v>
      </c>
      <c r="M11" s="7">
        <v>45714</v>
      </c>
      <c r="N11" s="7">
        <v>45742</v>
      </c>
    </row>
    <row r="12" spans="1:15" x14ac:dyDescent="0.2">
      <c r="A12" t="s">
        <v>20</v>
      </c>
      <c r="B12" t="s">
        <v>2</v>
      </c>
      <c r="C12">
        <f>C8/C4</f>
        <v>1.5288157894736842</v>
      </c>
      <c r="D12">
        <f t="shared" ref="D12:N12" si="0">D8/D4</f>
        <v>1.5806907894736841</v>
      </c>
      <c r="E12">
        <f t="shared" si="0"/>
        <v>1.6237697368421053</v>
      </c>
      <c r="F12">
        <f t="shared" si="0"/>
        <v>1.6237697368421053</v>
      </c>
      <c r="G12">
        <f t="shared" si="0"/>
        <v>1.6237697368421053</v>
      </c>
      <c r="H12">
        <f t="shared" si="0"/>
        <v>1.6237697368421053</v>
      </c>
      <c r="I12">
        <f t="shared" si="0"/>
        <v>1.7219534883720931</v>
      </c>
      <c r="J12">
        <f t="shared" si="0"/>
        <v>1.720433105627585</v>
      </c>
      <c r="K12">
        <f t="shared" si="0"/>
        <v>1.720433105627585</v>
      </c>
      <c r="L12">
        <f t="shared" si="0"/>
        <v>1.720433105627585</v>
      </c>
      <c r="M12">
        <f t="shared" si="0"/>
        <v>1.720433105627585</v>
      </c>
      <c r="N12">
        <f t="shared" si="0"/>
        <v>1.720433105627585</v>
      </c>
    </row>
    <row r="13" spans="1:15" x14ac:dyDescent="0.2">
      <c r="B13" t="s">
        <v>6</v>
      </c>
      <c r="C13">
        <f>C9/C4</f>
        <v>1.4112105263157895</v>
      </c>
      <c r="D13">
        <f>D9/D4</f>
        <v>0</v>
      </c>
      <c r="E13">
        <f>E9/E4</f>
        <v>1.4613947368421052</v>
      </c>
      <c r="F13">
        <f t="shared" ref="F13:N13" si="1">F9/F4</f>
        <v>0.97426315789473683</v>
      </c>
      <c r="G13">
        <f t="shared" si="1"/>
        <v>0.97426315789473683</v>
      </c>
      <c r="H13">
        <f t="shared" si="1"/>
        <v>0.32475657894736842</v>
      </c>
      <c r="I13">
        <f t="shared" si="1"/>
        <v>1.7219534883720931</v>
      </c>
      <c r="J13">
        <f t="shared" si="1"/>
        <v>1.720433105627585</v>
      </c>
      <c r="K13">
        <f t="shared" si="1"/>
        <v>2.2939030624099632</v>
      </c>
      <c r="L13">
        <f t="shared" si="1"/>
        <v>0.28673497839118917</v>
      </c>
      <c r="M13">
        <f t="shared" si="1"/>
        <v>1.4336865095961708</v>
      </c>
      <c r="N13">
        <f t="shared" si="1"/>
        <v>1.1469515312049816</v>
      </c>
    </row>
    <row r="15" spans="1:15" x14ac:dyDescent="0.2">
      <c r="C15">
        <v>31.103999999999999</v>
      </c>
      <c r="D15">
        <v>31.103999999999999</v>
      </c>
      <c r="E15">
        <v>31.103999999999999</v>
      </c>
      <c r="F15">
        <v>31.103999999999999</v>
      </c>
      <c r="G15">
        <v>31.103999999999999</v>
      </c>
      <c r="H15">
        <v>31.103999999999999</v>
      </c>
      <c r="I15">
        <v>31.103999999999999</v>
      </c>
      <c r="J15">
        <v>31.103999999999999</v>
      </c>
      <c r="K15">
        <v>31.103999999999999</v>
      </c>
      <c r="L15">
        <v>31.103999999999999</v>
      </c>
      <c r="M15">
        <v>31.103999999999999</v>
      </c>
      <c r="N15">
        <v>31.103999999999999</v>
      </c>
    </row>
    <row r="16" spans="1:15" x14ac:dyDescent="0.2">
      <c r="C16">
        <f>C13*C15</f>
        <v>43.894292210526316</v>
      </c>
      <c r="D16">
        <v>43.894292210526316</v>
      </c>
      <c r="E16">
        <f t="shared" ref="E16:N16" si="2">E13*E15</f>
        <v>45.455221894736837</v>
      </c>
      <c r="F16">
        <f t="shared" si="2"/>
        <v>30.303481263157895</v>
      </c>
      <c r="G16">
        <f t="shared" si="2"/>
        <v>30.303481263157895</v>
      </c>
      <c r="H16">
        <f t="shared" si="2"/>
        <v>10.101228631578946</v>
      </c>
      <c r="I16">
        <f t="shared" si="2"/>
        <v>53.559641302325581</v>
      </c>
      <c r="J16">
        <f t="shared" si="2"/>
        <v>53.512351317440405</v>
      </c>
      <c r="K16">
        <v>53.512351317440405</v>
      </c>
      <c r="L16">
        <v>53.512351317440405</v>
      </c>
      <c r="M16">
        <f t="shared" si="2"/>
        <v>44.593385194479296</v>
      </c>
      <c r="N16">
        <f t="shared" si="2"/>
        <v>35.674780426599746</v>
      </c>
    </row>
    <row r="17" spans="3:14" x14ac:dyDescent="0.2">
      <c r="C17">
        <f>C8*C15/C3</f>
        <v>19.305415384615383</v>
      </c>
      <c r="D17">
        <f t="shared" ref="D17:N17" si="3">D8*D15/D3</f>
        <v>19.960476923076921</v>
      </c>
      <c r="E17">
        <f t="shared" si="3"/>
        <v>19.991852999999999</v>
      </c>
      <c r="F17">
        <f t="shared" si="3"/>
        <v>19.991852999999999</v>
      </c>
      <c r="G17">
        <f t="shared" si="3"/>
        <v>19.991852999999999</v>
      </c>
      <c r="H17">
        <f t="shared" si="3"/>
        <v>19.991852999999999</v>
      </c>
      <c r="I17">
        <f>I8*I15/I3</f>
        <v>19.991879999999998</v>
      </c>
      <c r="J17">
        <f t="shared" si="3"/>
        <v>19.991879999999998</v>
      </c>
      <c r="K17">
        <f t="shared" si="3"/>
        <v>19.991879999999998</v>
      </c>
      <c r="L17">
        <f t="shared" si="3"/>
        <v>19.991879999999998</v>
      </c>
      <c r="M17">
        <f t="shared" si="3"/>
        <v>19.991879999999998</v>
      </c>
      <c r="N17">
        <f t="shared" si="3"/>
        <v>19.991879999999998</v>
      </c>
    </row>
    <row r="19" spans="3:14" x14ac:dyDescent="0.2">
      <c r="C19">
        <v>43.894292210526316</v>
      </c>
      <c r="D19">
        <v>43.894292210526316</v>
      </c>
      <c r="E19">
        <v>45.455221894736837</v>
      </c>
      <c r="F19">
        <v>30.303481263157895</v>
      </c>
      <c r="G19">
        <v>30.303481263157895</v>
      </c>
      <c r="H19">
        <v>10.101228631578946</v>
      </c>
      <c r="I19">
        <v>53.559641302325581</v>
      </c>
      <c r="J19">
        <v>53.512351317440405</v>
      </c>
      <c r="K19">
        <v>53.512351317440405</v>
      </c>
      <c r="L19">
        <v>53.512351317440405</v>
      </c>
      <c r="M19">
        <v>44.593385194479296</v>
      </c>
      <c r="N19">
        <v>35.674780426599746</v>
      </c>
    </row>
    <row r="21" spans="3:14" x14ac:dyDescent="0.2">
      <c r="C21">
        <v>43.894292210526316</v>
      </c>
    </row>
    <row r="22" spans="3:14" x14ac:dyDescent="0.2">
      <c r="C22">
        <v>43.894292210526316</v>
      </c>
    </row>
    <row r="23" spans="3:14" x14ac:dyDescent="0.2">
      <c r="C23">
        <v>45.455221894736837</v>
      </c>
    </row>
    <row r="24" spans="3:14" x14ac:dyDescent="0.2">
      <c r="C24">
        <v>30.303481263157895</v>
      </c>
    </row>
    <row r="25" spans="3:14" x14ac:dyDescent="0.2">
      <c r="C25">
        <v>30.303481263157895</v>
      </c>
    </row>
    <row r="26" spans="3:14" x14ac:dyDescent="0.2">
      <c r="C26">
        <v>30.303481263157895</v>
      </c>
    </row>
    <row r="27" spans="3:14" x14ac:dyDescent="0.2">
      <c r="C27">
        <v>53.559641302325581</v>
      </c>
    </row>
    <row r="28" spans="3:14" x14ac:dyDescent="0.2">
      <c r="C28">
        <v>53.512351317440405</v>
      </c>
    </row>
    <row r="29" spans="3:14" x14ac:dyDescent="0.2">
      <c r="C29">
        <v>53.512351317440405</v>
      </c>
    </row>
    <row r="30" spans="3:14" x14ac:dyDescent="0.2">
      <c r="C30">
        <v>53.512351317440405</v>
      </c>
    </row>
    <row r="31" spans="3:14" x14ac:dyDescent="0.2">
      <c r="C31">
        <v>44.593385194479296</v>
      </c>
    </row>
    <row r="32" spans="3:14" x14ac:dyDescent="0.2">
      <c r="C32">
        <v>35.674780426599746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K16"/>
  <sheetViews>
    <sheetView zoomScaleNormal="100" workbookViewId="0">
      <selection activeCell="G5" sqref="G5"/>
    </sheetView>
  </sheetViews>
  <sheetFormatPr baseColWidth="10" defaultColWidth="13.5" defaultRowHeight="15" x14ac:dyDescent="0.2"/>
  <sheetData>
    <row r="3" spans="2:11" x14ac:dyDescent="0.2">
      <c r="B3" t="s">
        <v>27</v>
      </c>
    </row>
    <row r="4" spans="2:11" x14ac:dyDescent="0.2"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25</v>
      </c>
      <c r="J4" t="s">
        <v>37</v>
      </c>
      <c r="K4" t="s">
        <v>38</v>
      </c>
    </row>
    <row r="5" spans="2:11" x14ac:dyDescent="0.2">
      <c r="B5" s="7">
        <v>45772</v>
      </c>
      <c r="C5">
        <v>152000</v>
      </c>
      <c r="D5">
        <v>152000</v>
      </c>
      <c r="E5">
        <f t="shared" ref="E5:E16" si="0">SUM(C5:D5)</f>
        <v>304000</v>
      </c>
      <c r="F5">
        <v>31.103999999999999</v>
      </c>
      <c r="G5">
        <f t="shared" ref="G5:G16" si="1">E5/F5</f>
        <v>9773.6625514403295</v>
      </c>
      <c r="H5">
        <f t="shared" ref="H5:H16" si="2">C5/F5</f>
        <v>4886.8312757201647</v>
      </c>
      <c r="I5">
        <f>G5-H5</f>
        <v>4886.8312757201647</v>
      </c>
      <c r="J5">
        <f>SUM(H5:I5)</f>
        <v>9773.6625514403295</v>
      </c>
      <c r="K5">
        <f>J5</f>
        <v>9773.6625514403295</v>
      </c>
    </row>
    <row r="6" spans="2:11" x14ac:dyDescent="0.2">
      <c r="B6" s="7">
        <v>45802</v>
      </c>
      <c r="C6">
        <v>152000</v>
      </c>
      <c r="D6">
        <v>6000</v>
      </c>
      <c r="E6">
        <f t="shared" si="0"/>
        <v>158000</v>
      </c>
      <c r="F6">
        <v>31.103999999999999</v>
      </c>
      <c r="G6">
        <f t="shared" si="1"/>
        <v>5079.7325102880659</v>
      </c>
      <c r="H6">
        <f t="shared" si="2"/>
        <v>4886.8312757201647</v>
      </c>
      <c r="I6">
        <f t="shared" ref="I6:I16" si="3">G6-H6</f>
        <v>192.90123456790116</v>
      </c>
      <c r="J6">
        <f t="shared" ref="J6:J16" si="4">SUM(H6:I6)</f>
        <v>5079.7325102880659</v>
      </c>
      <c r="K6">
        <f t="shared" ref="K6:K16" si="5">J6</f>
        <v>5079.7325102880659</v>
      </c>
    </row>
    <row r="7" spans="2:11" x14ac:dyDescent="0.2">
      <c r="B7" s="7">
        <v>45833</v>
      </c>
      <c r="C7">
        <v>152000</v>
      </c>
      <c r="D7">
        <v>156000</v>
      </c>
      <c r="E7">
        <f t="shared" si="0"/>
        <v>308000</v>
      </c>
      <c r="F7">
        <v>31.103999999999999</v>
      </c>
      <c r="G7">
        <f t="shared" si="1"/>
        <v>9902.2633744855975</v>
      </c>
      <c r="H7">
        <f t="shared" si="2"/>
        <v>4886.8312757201647</v>
      </c>
      <c r="I7">
        <f t="shared" si="3"/>
        <v>5015.4320987654328</v>
      </c>
      <c r="J7">
        <f t="shared" si="4"/>
        <v>9902.2633744855975</v>
      </c>
      <c r="K7">
        <f t="shared" si="5"/>
        <v>9902.2633744855975</v>
      </c>
    </row>
    <row r="8" spans="2:11" x14ac:dyDescent="0.2">
      <c r="B8" s="7">
        <v>45863</v>
      </c>
      <c r="C8">
        <v>152000</v>
      </c>
      <c r="D8">
        <v>107000</v>
      </c>
      <c r="E8">
        <f t="shared" si="0"/>
        <v>259000</v>
      </c>
      <c r="F8">
        <v>31.103999999999999</v>
      </c>
      <c r="G8">
        <f t="shared" si="1"/>
        <v>8326.9032921810704</v>
      </c>
      <c r="H8">
        <f t="shared" si="2"/>
        <v>4886.8312757201647</v>
      </c>
      <c r="I8">
        <f t="shared" si="3"/>
        <v>3440.0720164609056</v>
      </c>
      <c r="J8">
        <f t="shared" si="4"/>
        <v>8326.9032921810704</v>
      </c>
      <c r="K8">
        <f t="shared" si="5"/>
        <v>8326.9032921810704</v>
      </c>
    </row>
    <row r="9" spans="2:11" x14ac:dyDescent="0.2">
      <c r="B9" s="7">
        <v>45894</v>
      </c>
      <c r="C9">
        <v>152000</v>
      </c>
      <c r="D9">
        <v>107000</v>
      </c>
      <c r="E9">
        <f t="shared" si="0"/>
        <v>259000</v>
      </c>
      <c r="F9">
        <v>31.103999999999999</v>
      </c>
      <c r="G9">
        <f t="shared" si="1"/>
        <v>8326.9032921810704</v>
      </c>
      <c r="H9">
        <f t="shared" si="2"/>
        <v>4886.8312757201647</v>
      </c>
      <c r="I9">
        <f t="shared" si="3"/>
        <v>3440.0720164609056</v>
      </c>
      <c r="J9">
        <f t="shared" si="4"/>
        <v>8326.9032921810704</v>
      </c>
      <c r="K9">
        <f t="shared" si="5"/>
        <v>8326.9032921810704</v>
      </c>
    </row>
    <row r="10" spans="2:11" x14ac:dyDescent="0.2">
      <c r="B10" s="7">
        <v>45925</v>
      </c>
      <c r="C10">
        <v>152000</v>
      </c>
      <c r="D10">
        <v>42000</v>
      </c>
      <c r="E10">
        <f t="shared" si="0"/>
        <v>194000</v>
      </c>
      <c r="F10">
        <v>31.103999999999999</v>
      </c>
      <c r="G10">
        <f t="shared" si="1"/>
        <v>6237.1399176954737</v>
      </c>
      <c r="H10">
        <f t="shared" si="2"/>
        <v>4886.8312757201647</v>
      </c>
      <c r="I10">
        <f t="shared" si="3"/>
        <v>1350.308641975309</v>
      </c>
      <c r="J10">
        <f t="shared" si="4"/>
        <v>6237.1399176954737</v>
      </c>
      <c r="K10">
        <f t="shared" si="5"/>
        <v>6237.1399176954737</v>
      </c>
    </row>
    <row r="11" spans="2:11" x14ac:dyDescent="0.2">
      <c r="B11" s="7">
        <v>45955</v>
      </c>
      <c r="C11">
        <v>86000</v>
      </c>
      <c r="D11">
        <v>76000</v>
      </c>
      <c r="E11">
        <f t="shared" si="0"/>
        <v>162000</v>
      </c>
      <c r="F11">
        <v>31.103999999999999</v>
      </c>
      <c r="G11">
        <f t="shared" si="1"/>
        <v>5208.333333333333</v>
      </c>
      <c r="H11">
        <f t="shared" si="2"/>
        <v>2764.9176954732511</v>
      </c>
      <c r="I11">
        <f t="shared" si="3"/>
        <v>2443.4156378600819</v>
      </c>
      <c r="J11">
        <f t="shared" si="4"/>
        <v>5208.333333333333</v>
      </c>
      <c r="K11">
        <f t="shared" si="5"/>
        <v>5208.333333333333</v>
      </c>
    </row>
    <row r="12" spans="2:11" x14ac:dyDescent="0.2">
      <c r="B12" s="7">
        <v>45986</v>
      </c>
      <c r="C12">
        <v>86076</v>
      </c>
      <c r="D12">
        <v>107924</v>
      </c>
      <c r="E12">
        <f t="shared" si="0"/>
        <v>194000</v>
      </c>
      <c r="F12">
        <v>31.103999999999999</v>
      </c>
      <c r="G12">
        <f t="shared" si="1"/>
        <v>6237.1399176954737</v>
      </c>
      <c r="H12">
        <f t="shared" si="2"/>
        <v>2767.3611111111113</v>
      </c>
      <c r="I12">
        <f t="shared" si="3"/>
        <v>3469.7788065843624</v>
      </c>
      <c r="J12">
        <f t="shared" si="4"/>
        <v>6237.1399176954737</v>
      </c>
      <c r="K12">
        <f t="shared" si="5"/>
        <v>6237.1399176954737</v>
      </c>
    </row>
    <row r="13" spans="2:11" x14ac:dyDescent="0.2">
      <c r="B13" s="7">
        <v>46016</v>
      </c>
      <c r="C13">
        <v>86076</v>
      </c>
      <c r="D13">
        <v>140924</v>
      </c>
      <c r="E13">
        <f t="shared" si="0"/>
        <v>227000</v>
      </c>
      <c r="F13">
        <v>31.103999999999999</v>
      </c>
      <c r="G13">
        <f t="shared" si="1"/>
        <v>7298.0967078189306</v>
      </c>
      <c r="H13">
        <f t="shared" si="2"/>
        <v>2767.3611111111113</v>
      </c>
      <c r="I13">
        <f t="shared" si="3"/>
        <v>4530.7355967078192</v>
      </c>
      <c r="J13">
        <f t="shared" si="4"/>
        <v>7298.0967078189306</v>
      </c>
      <c r="K13">
        <f t="shared" si="5"/>
        <v>7298.0967078189306</v>
      </c>
    </row>
    <row r="14" spans="2:11" x14ac:dyDescent="0.2">
      <c r="B14" s="7">
        <v>46047</v>
      </c>
      <c r="C14">
        <v>86076</v>
      </c>
      <c r="D14">
        <v>26924</v>
      </c>
      <c r="E14">
        <f t="shared" si="0"/>
        <v>113000</v>
      </c>
      <c r="F14">
        <v>31.103999999999999</v>
      </c>
      <c r="G14">
        <f t="shared" si="1"/>
        <v>3632.9732510288068</v>
      </c>
      <c r="H14">
        <f t="shared" si="2"/>
        <v>2767.3611111111113</v>
      </c>
      <c r="I14">
        <f t="shared" si="3"/>
        <v>865.61213991769546</v>
      </c>
      <c r="J14">
        <f t="shared" si="4"/>
        <v>3632.9732510288068</v>
      </c>
      <c r="K14">
        <f t="shared" si="5"/>
        <v>3632.9732510288068</v>
      </c>
    </row>
    <row r="15" spans="2:11" x14ac:dyDescent="0.2">
      <c r="B15" s="7">
        <v>46078</v>
      </c>
      <c r="C15">
        <v>86076</v>
      </c>
      <c r="D15">
        <v>91924</v>
      </c>
      <c r="E15">
        <f t="shared" si="0"/>
        <v>178000</v>
      </c>
      <c r="F15">
        <v>31.103999999999999</v>
      </c>
      <c r="G15">
        <f t="shared" si="1"/>
        <v>5722.7366255144034</v>
      </c>
      <c r="H15">
        <f t="shared" si="2"/>
        <v>2767.3611111111113</v>
      </c>
      <c r="I15">
        <f t="shared" si="3"/>
        <v>2955.3755144032921</v>
      </c>
      <c r="J15">
        <f t="shared" si="4"/>
        <v>5722.7366255144034</v>
      </c>
      <c r="K15">
        <f t="shared" si="5"/>
        <v>5722.7366255144034</v>
      </c>
    </row>
    <row r="16" spans="2:11" x14ac:dyDescent="0.2">
      <c r="B16" s="7">
        <v>46106</v>
      </c>
      <c r="C16">
        <v>86076</v>
      </c>
      <c r="D16">
        <v>75924</v>
      </c>
      <c r="E16">
        <f t="shared" si="0"/>
        <v>162000</v>
      </c>
      <c r="F16">
        <v>31.103999999999999</v>
      </c>
      <c r="G16">
        <f t="shared" si="1"/>
        <v>5208.333333333333</v>
      </c>
      <c r="H16">
        <f t="shared" si="2"/>
        <v>2767.3611111111113</v>
      </c>
      <c r="I16">
        <f t="shared" si="3"/>
        <v>2440.9722222222217</v>
      </c>
      <c r="J16">
        <f t="shared" si="4"/>
        <v>5208.333333333333</v>
      </c>
      <c r="K16">
        <f t="shared" si="5"/>
        <v>5208.333333333333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A8C1-78FE-4A69-B39B-104D697149B8}">
  <dimension ref="B1:T85"/>
  <sheetViews>
    <sheetView topLeftCell="A51" zoomScaleNormal="100" workbookViewId="0">
      <selection activeCell="G25" sqref="G25:G36"/>
    </sheetView>
  </sheetViews>
  <sheetFormatPr baseColWidth="10" defaultColWidth="13.5" defaultRowHeight="15" x14ac:dyDescent="0.2"/>
  <cols>
    <col min="6" max="6" width="14.83203125" customWidth="1"/>
    <col min="7" max="7" width="16.5" customWidth="1"/>
  </cols>
  <sheetData>
    <row r="1" spans="2:14" x14ac:dyDescent="0.2">
      <c r="I1" t="s">
        <v>33</v>
      </c>
      <c r="J1" t="s">
        <v>34</v>
      </c>
      <c r="K1" t="s">
        <v>57</v>
      </c>
    </row>
    <row r="2" spans="2:14" x14ac:dyDescent="0.2">
      <c r="H2" s="24" t="s">
        <v>58</v>
      </c>
      <c r="I2">
        <v>1316511.5530000001</v>
      </c>
      <c r="J2">
        <v>765195</v>
      </c>
    </row>
    <row r="3" spans="2:14" x14ac:dyDescent="0.2">
      <c r="H3" s="24"/>
      <c r="I3">
        <v>2116045</v>
      </c>
      <c r="J3">
        <v>2116045</v>
      </c>
      <c r="K3">
        <v>160216</v>
      </c>
    </row>
    <row r="4" spans="2:14" x14ac:dyDescent="0.2">
      <c r="I4">
        <f>SUM(I2:I3)</f>
        <v>3432556.5530000003</v>
      </c>
      <c r="J4">
        <f>SUM(J2:J3)</f>
        <v>2881240</v>
      </c>
      <c r="K4">
        <f>SUM(K3,J4)</f>
        <v>3041456</v>
      </c>
    </row>
    <row r="5" spans="2:14" x14ac:dyDescent="0.2">
      <c r="I5">
        <v>3432556.5529999998</v>
      </c>
      <c r="J5">
        <v>2881240</v>
      </c>
      <c r="K5">
        <v>3041456</v>
      </c>
    </row>
    <row r="7" spans="2:14" x14ac:dyDescent="0.2">
      <c r="B7" t="s">
        <v>26</v>
      </c>
      <c r="F7" t="s">
        <v>35</v>
      </c>
      <c r="L7" s="8" t="s">
        <v>32</v>
      </c>
    </row>
    <row r="8" spans="2:14" x14ac:dyDescent="0.2">
      <c r="C8" s="8" t="s">
        <v>30</v>
      </c>
      <c r="D8" s="8" t="s">
        <v>31</v>
      </c>
      <c r="E8" s="8" t="s">
        <v>28</v>
      </c>
      <c r="F8" s="8" t="s">
        <v>23</v>
      </c>
      <c r="G8" s="8" t="s">
        <v>24</v>
      </c>
      <c r="H8" s="8" t="s">
        <v>21</v>
      </c>
      <c r="I8" s="8" t="s">
        <v>22</v>
      </c>
      <c r="J8" s="8" t="s">
        <v>29</v>
      </c>
      <c r="L8" s="8" t="s">
        <v>33</v>
      </c>
      <c r="M8" s="8" t="s">
        <v>34</v>
      </c>
    </row>
    <row r="9" spans="2:14" x14ac:dyDescent="0.2">
      <c r="B9" s="7">
        <v>45772</v>
      </c>
      <c r="C9">
        <v>1.5288157894736842</v>
      </c>
      <c r="D9">
        <v>1.4112105263157895</v>
      </c>
      <c r="E9">
        <v>31.103999999999999</v>
      </c>
      <c r="F9" s="8">
        <v>4886.8312757201647</v>
      </c>
      <c r="G9" s="8">
        <v>4886.8312757201647</v>
      </c>
      <c r="H9">
        <f>C9*E9*F9</f>
        <v>232380</v>
      </c>
      <c r="I9">
        <f>D9*E9*G9</f>
        <v>214504</v>
      </c>
      <c r="J9">
        <f>H9+I9</f>
        <v>446884</v>
      </c>
      <c r="K9" s="7">
        <v>45772</v>
      </c>
      <c r="L9">
        <f>I9</f>
        <v>214504</v>
      </c>
      <c r="M9">
        <f>L25</f>
        <v>307260.04547368421</v>
      </c>
      <c r="N9">
        <f>G9*31.104</f>
        <v>152000</v>
      </c>
    </row>
    <row r="10" spans="2:14" x14ac:dyDescent="0.2">
      <c r="B10" s="7">
        <v>45802</v>
      </c>
      <c r="C10">
        <v>1.5806907894736841</v>
      </c>
      <c r="D10">
        <v>0</v>
      </c>
      <c r="E10">
        <v>31.103999999999999</v>
      </c>
      <c r="F10" s="8">
        <v>4886.8312757201647</v>
      </c>
      <c r="G10" s="8">
        <v>192.90123456790116</v>
      </c>
      <c r="H10">
        <f t="shared" ref="H10:H20" si="0">C10*E10*F10</f>
        <v>240264.99999999997</v>
      </c>
      <c r="I10">
        <f t="shared" ref="I10:I20" si="1">D10*E10*G10</f>
        <v>0</v>
      </c>
      <c r="J10">
        <f t="shared" ref="J10:J20" si="2">H10+I10</f>
        <v>240264.99999999997</v>
      </c>
      <c r="K10" s="7">
        <v>45802</v>
      </c>
      <c r="L10">
        <f>L9+I10</f>
        <v>214504</v>
      </c>
      <c r="M10">
        <f t="shared" ref="M10:M20" si="3">L26</f>
        <v>307260.04547368421</v>
      </c>
    </row>
    <row r="11" spans="2:14" x14ac:dyDescent="0.2">
      <c r="B11" s="7">
        <v>45833</v>
      </c>
      <c r="C11">
        <v>1.6237697368421053</v>
      </c>
      <c r="D11">
        <v>1.4613947368421052</v>
      </c>
      <c r="E11">
        <v>31.103999999999999</v>
      </c>
      <c r="F11" s="8">
        <v>4886.8312757201647</v>
      </c>
      <c r="G11" s="8">
        <v>5015.4320987654328</v>
      </c>
      <c r="H11">
        <f t="shared" si="0"/>
        <v>246813</v>
      </c>
      <c r="I11">
        <f t="shared" si="1"/>
        <v>227977.57894736843</v>
      </c>
      <c r="J11">
        <f t="shared" si="2"/>
        <v>474790.57894736843</v>
      </c>
      <c r="K11" s="7">
        <v>45833</v>
      </c>
      <c r="L11">
        <f t="shared" ref="L11:L20" si="4">L10+I11</f>
        <v>442481.57894736843</v>
      </c>
      <c r="M11">
        <f t="shared" si="3"/>
        <v>625446.59873684205</v>
      </c>
    </row>
    <row r="12" spans="2:14" x14ac:dyDescent="0.2">
      <c r="B12" s="7">
        <v>45863</v>
      </c>
      <c r="C12">
        <v>1.6237697368421053</v>
      </c>
      <c r="D12">
        <v>0.97426315789473683</v>
      </c>
      <c r="E12">
        <v>31.103999999999999</v>
      </c>
      <c r="F12" s="8">
        <v>4886.8312757201647</v>
      </c>
      <c r="G12" s="8">
        <v>3440.0720164609056</v>
      </c>
      <c r="H12">
        <f t="shared" si="0"/>
        <v>246813</v>
      </c>
      <c r="I12">
        <f t="shared" si="1"/>
        <v>104246.15789473685</v>
      </c>
      <c r="J12">
        <f t="shared" si="2"/>
        <v>351059.15789473685</v>
      </c>
      <c r="K12" s="7">
        <v>45863</v>
      </c>
      <c r="L12">
        <f t="shared" si="4"/>
        <v>546727.73684210528</v>
      </c>
      <c r="M12">
        <f t="shared" si="3"/>
        <v>837570.96757894731</v>
      </c>
    </row>
    <row r="13" spans="2:14" x14ac:dyDescent="0.2">
      <c r="B13" s="7">
        <v>45894</v>
      </c>
      <c r="C13">
        <v>1.6237697368421053</v>
      </c>
      <c r="D13">
        <v>0.97426315789473683</v>
      </c>
      <c r="E13">
        <v>31.103999999999999</v>
      </c>
      <c r="F13" s="8">
        <v>4886.8312757201647</v>
      </c>
      <c r="G13" s="8">
        <v>3440.0720164609056</v>
      </c>
      <c r="H13">
        <f t="shared" si="0"/>
        <v>246813</v>
      </c>
      <c r="I13">
        <f t="shared" si="1"/>
        <v>104246.15789473685</v>
      </c>
      <c r="J13">
        <f t="shared" si="2"/>
        <v>351059.15789473685</v>
      </c>
      <c r="K13" s="7">
        <v>45894</v>
      </c>
      <c r="L13">
        <f t="shared" si="4"/>
        <v>650973.89473684214</v>
      </c>
      <c r="M13">
        <f t="shared" si="3"/>
        <v>1039329.1764210517</v>
      </c>
    </row>
    <row r="14" spans="2:14" x14ac:dyDescent="0.2">
      <c r="B14" s="7">
        <v>45925</v>
      </c>
      <c r="C14">
        <v>1.6237697368421053</v>
      </c>
      <c r="D14">
        <v>0.32475657894736842</v>
      </c>
      <c r="E14">
        <v>31.103999999999999</v>
      </c>
      <c r="F14" s="8">
        <v>4886.8312757201647</v>
      </c>
      <c r="G14" s="8">
        <v>1350.308641975309</v>
      </c>
      <c r="H14">
        <f t="shared" si="0"/>
        <v>246813</v>
      </c>
      <c r="I14">
        <f t="shared" si="1"/>
        <v>13639.776315789475</v>
      </c>
      <c r="J14">
        <f t="shared" si="2"/>
        <v>260452.77631578947</v>
      </c>
      <c r="K14" s="7">
        <v>45925</v>
      </c>
      <c r="L14">
        <f t="shared" si="4"/>
        <v>664613.67105263157</v>
      </c>
      <c r="M14">
        <f t="shared" si="3"/>
        <v>1072454.3241951317</v>
      </c>
    </row>
    <row r="15" spans="2:14" x14ac:dyDescent="0.2">
      <c r="B15" s="7">
        <v>45955</v>
      </c>
      <c r="C15">
        <v>1.7219534883720931</v>
      </c>
      <c r="D15">
        <v>1.7219534883720931</v>
      </c>
      <c r="E15">
        <v>31.103999999999999</v>
      </c>
      <c r="F15" s="8">
        <v>2764.9176954732511</v>
      </c>
      <c r="G15" s="8">
        <v>2443.4156378600819</v>
      </c>
      <c r="H15">
        <f t="shared" si="0"/>
        <v>148088</v>
      </c>
      <c r="I15">
        <f t="shared" si="1"/>
        <v>130868.46511627905</v>
      </c>
      <c r="J15">
        <f t="shared" si="2"/>
        <v>278956.46511627908</v>
      </c>
      <c r="K15" s="7">
        <v>45955</v>
      </c>
      <c r="L15">
        <f t="shared" si="4"/>
        <v>795482.13616891066</v>
      </c>
      <c r="M15">
        <f t="shared" si="3"/>
        <v>1072454.3241951317</v>
      </c>
    </row>
    <row r="16" spans="2:14" x14ac:dyDescent="0.2">
      <c r="B16" s="7">
        <v>45986</v>
      </c>
      <c r="C16">
        <v>1.720433105627585</v>
      </c>
      <c r="D16">
        <v>1.720433105627585</v>
      </c>
      <c r="E16">
        <v>31.103999999999999</v>
      </c>
      <c r="F16" s="8">
        <v>2767.3611111111113</v>
      </c>
      <c r="G16" s="8">
        <v>3469.7788065843624</v>
      </c>
      <c r="H16">
        <f t="shared" si="0"/>
        <v>148088.00000000003</v>
      </c>
      <c r="I16">
        <f t="shared" si="1"/>
        <v>185676.0224917515</v>
      </c>
      <c r="J16">
        <f t="shared" si="2"/>
        <v>333764.02249175153</v>
      </c>
      <c r="K16" s="7">
        <v>45986</v>
      </c>
      <c r="L16">
        <f t="shared" si="4"/>
        <v>981158.15866066213</v>
      </c>
      <c r="M16">
        <f t="shared" si="3"/>
        <v>1072454.3241951317</v>
      </c>
    </row>
    <row r="17" spans="2:13" x14ac:dyDescent="0.2">
      <c r="B17" s="7">
        <v>46016</v>
      </c>
      <c r="C17">
        <v>1.720433105627585</v>
      </c>
      <c r="D17">
        <v>2.2939030624099632</v>
      </c>
      <c r="E17">
        <v>31.103999999999999</v>
      </c>
      <c r="F17" s="8">
        <v>2767.3611111111113</v>
      </c>
      <c r="G17" s="8">
        <v>4530.7355967078192</v>
      </c>
      <c r="H17">
        <f t="shared" si="0"/>
        <v>148088.00000000003</v>
      </c>
      <c r="I17">
        <f t="shared" si="1"/>
        <v>323265.99516706169</v>
      </c>
      <c r="J17">
        <f t="shared" si="2"/>
        <v>471353.99516706169</v>
      </c>
      <c r="K17" s="7">
        <v>46016</v>
      </c>
      <c r="L17">
        <f t="shared" si="4"/>
        <v>1304424.1538277238</v>
      </c>
      <c r="M17">
        <f t="shared" si="3"/>
        <v>1072454.3241951317</v>
      </c>
    </row>
    <row r="18" spans="2:13" x14ac:dyDescent="0.2">
      <c r="B18" s="7">
        <v>46047</v>
      </c>
      <c r="C18">
        <v>1.720433105627585</v>
      </c>
      <c r="D18">
        <v>0.28673497839118917</v>
      </c>
      <c r="E18">
        <v>31.103999999999999</v>
      </c>
      <c r="F18" s="8">
        <v>2767.3611111111113</v>
      </c>
      <c r="G18" s="8">
        <v>865.61213991769546</v>
      </c>
      <c r="H18">
        <f t="shared" si="0"/>
        <v>148088.00000000003</v>
      </c>
      <c r="I18">
        <f t="shared" si="1"/>
        <v>7720.0525582043765</v>
      </c>
      <c r="J18">
        <f t="shared" si="2"/>
        <v>155808.05255820439</v>
      </c>
      <c r="K18" s="7">
        <v>46047</v>
      </c>
      <c r="L18">
        <f t="shared" si="4"/>
        <v>1312144.2063859282</v>
      </c>
      <c r="M18">
        <f t="shared" si="3"/>
        <v>1072454.3241951317</v>
      </c>
    </row>
    <row r="19" spans="2:13" x14ac:dyDescent="0.2">
      <c r="B19" s="7">
        <v>46078</v>
      </c>
      <c r="C19">
        <v>1.720433105627585</v>
      </c>
      <c r="D19">
        <v>1.4336865095961708</v>
      </c>
      <c r="E19">
        <v>31.103999999999999</v>
      </c>
      <c r="F19" s="8">
        <v>2767.3611111111113</v>
      </c>
      <c r="G19" s="8">
        <v>2955.3755144032921</v>
      </c>
      <c r="H19">
        <f t="shared" si="0"/>
        <v>148088.00000000003</v>
      </c>
      <c r="I19">
        <f t="shared" si="1"/>
        <v>131790.19870811841</v>
      </c>
      <c r="J19">
        <f t="shared" si="2"/>
        <v>279878.19870811841</v>
      </c>
      <c r="K19" s="7">
        <v>46078</v>
      </c>
      <c r="L19">
        <f t="shared" si="4"/>
        <v>1443934.4050940466</v>
      </c>
      <c r="M19">
        <f t="shared" si="3"/>
        <v>1072454.3241951317</v>
      </c>
    </row>
    <row r="20" spans="2:13" x14ac:dyDescent="0.2">
      <c r="B20" s="7">
        <v>46106</v>
      </c>
      <c r="C20">
        <v>1.720433105627585</v>
      </c>
      <c r="D20">
        <v>1.1469515312049816</v>
      </c>
      <c r="E20">
        <v>31.103999999999999</v>
      </c>
      <c r="F20" s="8">
        <v>2767.3611111111113</v>
      </c>
      <c r="G20" s="8">
        <v>2440.9722222222217</v>
      </c>
      <c r="H20">
        <f t="shared" si="0"/>
        <v>148088.00000000003</v>
      </c>
      <c r="I20">
        <f t="shared" si="1"/>
        <v>87081.148055206999</v>
      </c>
      <c r="J20">
        <f t="shared" si="2"/>
        <v>235169.14805520704</v>
      </c>
      <c r="K20" s="7">
        <v>46106</v>
      </c>
      <c r="L20">
        <f t="shared" si="4"/>
        <v>1531015.5531492536</v>
      </c>
      <c r="M20">
        <f t="shared" si="3"/>
        <v>1072454.3241951317</v>
      </c>
    </row>
    <row r="21" spans="2:13" x14ac:dyDescent="0.2">
      <c r="F21">
        <f>SUM(F9:F20)</f>
        <v>45922.710905349784</v>
      </c>
      <c r="G21" s="8">
        <f>SUM(G9:G20)</f>
        <v>35031.507201646091</v>
      </c>
      <c r="H21" s="9">
        <f>SUM(H9:H20)</f>
        <v>2348425</v>
      </c>
      <c r="I21" s="9">
        <f>SUM(I9:I20)</f>
        <v>1531015.5531492536</v>
      </c>
      <c r="J21" s="9">
        <f>SUM(J9:J20)</f>
        <v>3879440.5531492545</v>
      </c>
    </row>
    <row r="22" spans="2:13" x14ac:dyDescent="0.2">
      <c r="I22">
        <f>I21/G21</f>
        <v>43.703958962899343</v>
      </c>
    </row>
    <row r="23" spans="2:13" x14ac:dyDescent="0.2">
      <c r="B23" t="s">
        <v>26</v>
      </c>
      <c r="F23" t="s">
        <v>36</v>
      </c>
      <c r="L23" s="8" t="s">
        <v>32</v>
      </c>
    </row>
    <row r="24" spans="2:13" x14ac:dyDescent="0.2">
      <c r="C24" s="8" t="s">
        <v>30</v>
      </c>
      <c r="D24" s="8" t="s">
        <v>31</v>
      </c>
      <c r="E24" s="8" t="s">
        <v>28</v>
      </c>
      <c r="F24" s="8" t="s">
        <v>23</v>
      </c>
      <c r="G24" s="8" t="s">
        <v>24</v>
      </c>
      <c r="H24" s="8" t="s">
        <v>21</v>
      </c>
      <c r="I24" s="8" t="s">
        <v>22</v>
      </c>
      <c r="J24" s="8" t="s">
        <v>29</v>
      </c>
      <c r="L24" s="8" t="s">
        <v>34</v>
      </c>
    </row>
    <row r="25" spans="2:13" x14ac:dyDescent="0.2">
      <c r="B25" s="7">
        <v>45772</v>
      </c>
      <c r="C25">
        <v>1.5288157894736842</v>
      </c>
      <c r="D25">
        <v>1.4112105263157895</v>
      </c>
      <c r="E25">
        <v>31.103999999999999</v>
      </c>
      <c r="F25" s="8">
        <v>4886.8312757201647</v>
      </c>
      <c r="G25">
        <v>7000</v>
      </c>
      <c r="H25">
        <f>C25*E25*F25</f>
        <v>232380</v>
      </c>
      <c r="I25">
        <f>D25*E25*G25</f>
        <v>307260.04547368421</v>
      </c>
      <c r="J25">
        <f>H25+I25</f>
        <v>539640.04547368421</v>
      </c>
      <c r="L25">
        <f>I25</f>
        <v>307260.04547368421</v>
      </c>
    </row>
    <row r="26" spans="2:13" x14ac:dyDescent="0.2">
      <c r="B26" s="7">
        <v>45802</v>
      </c>
      <c r="C26">
        <v>1.5806907894736841</v>
      </c>
      <c r="D26">
        <v>0</v>
      </c>
      <c r="E26">
        <v>31.103999999999999</v>
      </c>
      <c r="F26" s="8">
        <v>4886.8312757201647</v>
      </c>
      <c r="G26">
        <v>7000</v>
      </c>
      <c r="H26">
        <f t="shared" ref="H26:H36" si="5">C26*E26*F26</f>
        <v>240264.99999999997</v>
      </c>
      <c r="I26">
        <f t="shared" ref="I26:I36" si="6">D26*E26*G26</f>
        <v>0</v>
      </c>
      <c r="J26">
        <f t="shared" ref="J26:J36" si="7">H26+I26</f>
        <v>240264.99999999997</v>
      </c>
      <c r="L26">
        <f>L25+I26</f>
        <v>307260.04547368421</v>
      </c>
    </row>
    <row r="27" spans="2:13" x14ac:dyDescent="0.2">
      <c r="B27" s="7">
        <v>45833</v>
      </c>
      <c r="C27">
        <v>1.6237697368421053</v>
      </c>
      <c r="D27">
        <v>1.4613947368421052</v>
      </c>
      <c r="E27">
        <v>31.103999999999999</v>
      </c>
      <c r="F27" s="8">
        <v>4886.8312757201647</v>
      </c>
      <c r="G27">
        <v>7000</v>
      </c>
      <c r="H27">
        <f t="shared" si="5"/>
        <v>246813</v>
      </c>
      <c r="I27">
        <f t="shared" si="6"/>
        <v>318186.55326315784</v>
      </c>
      <c r="J27">
        <f t="shared" si="7"/>
        <v>564999.55326315784</v>
      </c>
      <c r="L27">
        <f t="shared" ref="L27:L36" si="8">L26+I27</f>
        <v>625446.59873684205</v>
      </c>
    </row>
    <row r="28" spans="2:13" x14ac:dyDescent="0.2">
      <c r="B28" s="7">
        <v>45863</v>
      </c>
      <c r="C28">
        <v>1.6237697368421053</v>
      </c>
      <c r="D28">
        <v>0.97426315789473683</v>
      </c>
      <c r="E28">
        <v>31.103999999999999</v>
      </c>
      <c r="F28" s="8">
        <v>4886.8312757201647</v>
      </c>
      <c r="G28">
        <v>7000</v>
      </c>
      <c r="H28">
        <f t="shared" si="5"/>
        <v>246813</v>
      </c>
      <c r="I28">
        <f t="shared" si="6"/>
        <v>212124.36884210526</v>
      </c>
      <c r="J28">
        <f t="shared" si="7"/>
        <v>458937.36884210526</v>
      </c>
      <c r="L28">
        <f t="shared" si="8"/>
        <v>837570.96757894731</v>
      </c>
    </row>
    <row r="29" spans="2:13" x14ac:dyDescent="0.2">
      <c r="B29" s="7">
        <v>45894</v>
      </c>
      <c r="C29">
        <v>1.6237697368421053</v>
      </c>
      <c r="D29">
        <v>0.97426315789473683</v>
      </c>
      <c r="E29">
        <v>31.103999999999999</v>
      </c>
      <c r="F29" s="8">
        <v>4886.8312757201647</v>
      </c>
      <c r="G29">
        <v>6657.9218106995604</v>
      </c>
      <c r="H29">
        <f t="shared" si="5"/>
        <v>246813</v>
      </c>
      <c r="I29">
        <f t="shared" si="6"/>
        <v>201758.20884210442</v>
      </c>
      <c r="J29">
        <f t="shared" si="7"/>
        <v>448571.20884210442</v>
      </c>
      <c r="L29">
        <f t="shared" si="8"/>
        <v>1039329.1764210517</v>
      </c>
    </row>
    <row r="30" spans="2:13" x14ac:dyDescent="0.2">
      <c r="B30" s="7">
        <v>45925</v>
      </c>
      <c r="C30">
        <v>1.6237697368421053</v>
      </c>
      <c r="D30">
        <v>0.32475657894736842</v>
      </c>
      <c r="E30">
        <v>31.103999999999999</v>
      </c>
      <c r="F30" s="8">
        <v>4886.8312757201647</v>
      </c>
      <c r="G30">
        <v>3279.3186831275698</v>
      </c>
      <c r="H30">
        <f t="shared" si="5"/>
        <v>246813</v>
      </c>
      <c r="I30">
        <f t="shared" si="6"/>
        <v>33125.147774079975</v>
      </c>
      <c r="J30">
        <f t="shared" si="7"/>
        <v>279938.14777407999</v>
      </c>
      <c r="L30">
        <f t="shared" si="8"/>
        <v>1072454.3241951317</v>
      </c>
    </row>
    <row r="31" spans="2:13" x14ac:dyDescent="0.2">
      <c r="B31" s="7">
        <v>45955</v>
      </c>
      <c r="C31">
        <v>1.7219534883720931</v>
      </c>
      <c r="D31">
        <v>1.7219534883720931</v>
      </c>
      <c r="E31">
        <v>31.103999999999999</v>
      </c>
      <c r="F31" s="8">
        <v>2764.9176954732511</v>
      </c>
      <c r="G31">
        <v>0</v>
      </c>
      <c r="H31">
        <f t="shared" si="5"/>
        <v>148088</v>
      </c>
      <c r="I31">
        <f t="shared" si="6"/>
        <v>0</v>
      </c>
      <c r="J31">
        <f t="shared" si="7"/>
        <v>148088</v>
      </c>
      <c r="L31">
        <f t="shared" si="8"/>
        <v>1072454.3241951317</v>
      </c>
    </row>
    <row r="32" spans="2:13" x14ac:dyDescent="0.2">
      <c r="B32" s="7">
        <v>45986</v>
      </c>
      <c r="C32">
        <v>1.720433105627585</v>
      </c>
      <c r="D32">
        <v>1.720433105627585</v>
      </c>
      <c r="E32">
        <v>31.103999999999999</v>
      </c>
      <c r="F32" s="8">
        <v>2767.3611111111113</v>
      </c>
      <c r="G32">
        <v>0</v>
      </c>
      <c r="H32">
        <f t="shared" si="5"/>
        <v>148088.00000000003</v>
      </c>
      <c r="I32">
        <f t="shared" si="6"/>
        <v>0</v>
      </c>
      <c r="J32">
        <f t="shared" si="7"/>
        <v>148088.00000000003</v>
      </c>
      <c r="L32">
        <f t="shared" si="8"/>
        <v>1072454.3241951317</v>
      </c>
    </row>
    <row r="33" spans="2:20" x14ac:dyDescent="0.2">
      <c r="B33" s="7">
        <v>46016</v>
      </c>
      <c r="C33">
        <v>1.720433105627585</v>
      </c>
      <c r="D33">
        <v>2.2939030624099632</v>
      </c>
      <c r="E33">
        <v>31.103999999999999</v>
      </c>
      <c r="F33" s="8">
        <v>2767.3611111111113</v>
      </c>
      <c r="G33">
        <v>0</v>
      </c>
      <c r="H33">
        <f t="shared" si="5"/>
        <v>148088.00000000003</v>
      </c>
      <c r="I33">
        <f t="shared" si="6"/>
        <v>0</v>
      </c>
      <c r="J33">
        <f t="shared" si="7"/>
        <v>148088.00000000003</v>
      </c>
      <c r="L33">
        <f t="shared" si="8"/>
        <v>1072454.3241951317</v>
      </c>
    </row>
    <row r="34" spans="2:20" x14ac:dyDescent="0.2">
      <c r="B34" s="7">
        <v>46047</v>
      </c>
      <c r="C34">
        <v>1.720433105627585</v>
      </c>
      <c r="D34">
        <v>0.28673497839118917</v>
      </c>
      <c r="E34">
        <v>31.103999999999999</v>
      </c>
      <c r="F34" s="8">
        <v>2767.3611111111113</v>
      </c>
      <c r="G34">
        <v>0</v>
      </c>
      <c r="H34">
        <f t="shared" si="5"/>
        <v>148088.00000000003</v>
      </c>
      <c r="I34">
        <f t="shared" si="6"/>
        <v>0</v>
      </c>
      <c r="J34">
        <f t="shared" si="7"/>
        <v>148088.00000000003</v>
      </c>
      <c r="L34">
        <f t="shared" si="8"/>
        <v>1072454.3241951317</v>
      </c>
    </row>
    <row r="35" spans="2:20" x14ac:dyDescent="0.2">
      <c r="B35" s="7">
        <v>46078</v>
      </c>
      <c r="C35">
        <v>1.720433105627585</v>
      </c>
      <c r="D35">
        <v>1.4336865095961708</v>
      </c>
      <c r="E35">
        <v>31.103999999999999</v>
      </c>
      <c r="F35" s="8">
        <v>2767.3611111111113</v>
      </c>
      <c r="G35">
        <v>0</v>
      </c>
      <c r="H35">
        <f t="shared" si="5"/>
        <v>148088.00000000003</v>
      </c>
      <c r="I35">
        <f t="shared" si="6"/>
        <v>0</v>
      </c>
      <c r="J35">
        <f t="shared" si="7"/>
        <v>148088.00000000003</v>
      </c>
      <c r="L35">
        <f t="shared" si="8"/>
        <v>1072454.3241951317</v>
      </c>
    </row>
    <row r="36" spans="2:20" x14ac:dyDescent="0.2">
      <c r="B36" s="7">
        <v>46106</v>
      </c>
      <c r="C36">
        <v>1.720433105627585</v>
      </c>
      <c r="D36">
        <v>1.1469515312049816</v>
      </c>
      <c r="E36">
        <v>31.103999999999999</v>
      </c>
      <c r="F36" s="8">
        <v>2767.3611111111113</v>
      </c>
      <c r="G36">
        <v>0</v>
      </c>
      <c r="H36">
        <f t="shared" si="5"/>
        <v>148088.00000000003</v>
      </c>
      <c r="I36">
        <f t="shared" si="6"/>
        <v>0</v>
      </c>
      <c r="J36">
        <f t="shared" si="7"/>
        <v>148088.00000000003</v>
      </c>
      <c r="L36">
        <f t="shared" si="8"/>
        <v>1072454.3241951317</v>
      </c>
    </row>
    <row r="37" spans="2:20" x14ac:dyDescent="0.2">
      <c r="F37">
        <f>SUM(F25:F36)</f>
        <v>45922.710905349784</v>
      </c>
      <c r="G37">
        <f>SUM(G25:G36)</f>
        <v>37937.240493827128</v>
      </c>
      <c r="H37" s="9">
        <f>SUM(H25:H36)</f>
        <v>2348425</v>
      </c>
      <c r="I37" s="9">
        <f>SUM(I25:I36)</f>
        <v>1072454.3241951317</v>
      </c>
      <c r="J37" s="9">
        <f>SUM(J25:J36)</f>
        <v>3420879.3241951317</v>
      </c>
    </row>
    <row r="38" spans="2:20" x14ac:dyDescent="0.2">
      <c r="I38">
        <f>I37/G37</f>
        <v>28.269170615338606</v>
      </c>
    </row>
    <row r="41" spans="2:20" x14ac:dyDescent="0.2">
      <c r="F41" t="s">
        <v>39</v>
      </c>
      <c r="G41" t="s">
        <v>40</v>
      </c>
      <c r="H41" t="s">
        <v>41</v>
      </c>
      <c r="I41" t="s">
        <v>43</v>
      </c>
      <c r="J41" t="s">
        <v>42</v>
      </c>
      <c r="K41" t="s">
        <v>45</v>
      </c>
      <c r="N41" t="s">
        <v>49</v>
      </c>
      <c r="O41" t="s">
        <v>51</v>
      </c>
      <c r="P41" t="s">
        <v>42</v>
      </c>
      <c r="Q41" t="s">
        <v>50</v>
      </c>
      <c r="R41" t="s">
        <v>54</v>
      </c>
      <c r="S41" t="s">
        <v>52</v>
      </c>
      <c r="T41" t="s">
        <v>53</v>
      </c>
    </row>
    <row r="42" spans="2:20" x14ac:dyDescent="0.2">
      <c r="E42" s="7">
        <v>45772</v>
      </c>
      <c r="F42">
        <f>SUM(F9:G9)</f>
        <v>9773.6625514403295</v>
      </c>
      <c r="G42">
        <f>SUM(F25:G25)</f>
        <v>11886.831275720164</v>
      </c>
      <c r="H42">
        <f>G42-F42</f>
        <v>2113.1687242798344</v>
      </c>
      <c r="I42">
        <v>0.05</v>
      </c>
      <c r="J42">
        <f t="shared" ref="J42:J53" si="9">H42*I42*K42</f>
        <v>2641.4609053497929</v>
      </c>
      <c r="K42">
        <v>25</v>
      </c>
      <c r="N42">
        <v>446884</v>
      </c>
      <c r="O42">
        <f>SUM(P42:Q42)</f>
        <v>542281.50637903402</v>
      </c>
      <c r="P42">
        <v>2641.4609053497929</v>
      </c>
      <c r="Q42">
        <v>539640.04547368421</v>
      </c>
      <c r="R42" s="7">
        <v>45772</v>
      </c>
      <c r="S42">
        <f>N42</f>
        <v>446884</v>
      </c>
      <c r="T42">
        <f>O42</f>
        <v>542281.50637903402</v>
      </c>
    </row>
    <row r="43" spans="2:20" x14ac:dyDescent="0.2">
      <c r="E43" s="7">
        <v>45802</v>
      </c>
      <c r="F43">
        <f t="shared" ref="F43:F53" si="10">SUM(F10:G10)</f>
        <v>5079.7325102880659</v>
      </c>
      <c r="G43">
        <f t="shared" ref="G43:G53" si="11">SUM(F26:G26)</f>
        <v>11886.831275720164</v>
      </c>
      <c r="H43">
        <f>H42+G43-F43</f>
        <v>8920.2674897119323</v>
      </c>
      <c r="I43">
        <v>0.05</v>
      </c>
      <c r="J43">
        <f t="shared" si="9"/>
        <v>11150.334362139914</v>
      </c>
      <c r="K43">
        <v>25</v>
      </c>
      <c r="N43">
        <v>240264.99999999997</v>
      </c>
      <c r="O43">
        <f t="shared" ref="O43:O53" si="12">SUM(P43:Q43)</f>
        <v>251415.3343621399</v>
      </c>
      <c r="P43">
        <v>11150.334362139914</v>
      </c>
      <c r="Q43">
        <v>240264.99999999997</v>
      </c>
      <c r="R43" s="7">
        <v>45802</v>
      </c>
      <c r="S43">
        <f>N43+S42</f>
        <v>687149</v>
      </c>
      <c r="T43">
        <f>O43+T42</f>
        <v>793696.84074117395</v>
      </c>
    </row>
    <row r="44" spans="2:20" x14ac:dyDescent="0.2">
      <c r="E44" s="7">
        <v>45833</v>
      </c>
      <c r="F44">
        <f t="shared" si="10"/>
        <v>9902.2633744855975</v>
      </c>
      <c r="G44">
        <f t="shared" si="11"/>
        <v>11886.831275720164</v>
      </c>
      <c r="H44">
        <f t="shared" ref="H44:H53" si="13">H43+G44-F44</f>
        <v>10904.835390946499</v>
      </c>
      <c r="I44">
        <v>0.05</v>
      </c>
      <c r="J44">
        <f t="shared" si="9"/>
        <v>13631.044238683122</v>
      </c>
      <c r="K44">
        <v>25</v>
      </c>
      <c r="N44">
        <v>474790.57894736843</v>
      </c>
      <c r="O44">
        <f t="shared" si="12"/>
        <v>578630.59750184091</v>
      </c>
      <c r="P44">
        <v>13631.044238683122</v>
      </c>
      <c r="Q44">
        <v>564999.55326315784</v>
      </c>
      <c r="R44" s="7">
        <v>45833</v>
      </c>
      <c r="S44">
        <f t="shared" ref="S44:T53" si="14">N44+S43</f>
        <v>1161939.5789473685</v>
      </c>
      <c r="T44">
        <f t="shared" si="14"/>
        <v>1372327.4382430147</v>
      </c>
    </row>
    <row r="45" spans="2:20" x14ac:dyDescent="0.2">
      <c r="E45" s="7">
        <v>45863</v>
      </c>
      <c r="F45">
        <f t="shared" si="10"/>
        <v>8326.9032921810704</v>
      </c>
      <c r="G45">
        <f t="shared" si="11"/>
        <v>11886.831275720164</v>
      </c>
      <c r="H45">
        <f t="shared" si="13"/>
        <v>14464.763374485594</v>
      </c>
      <c r="I45">
        <v>0.05</v>
      </c>
      <c r="J45">
        <f t="shared" si="9"/>
        <v>18080.954218106992</v>
      </c>
      <c r="K45">
        <v>25</v>
      </c>
      <c r="N45">
        <v>351059.15789473685</v>
      </c>
      <c r="O45">
        <f t="shared" si="12"/>
        <v>477018.32306021225</v>
      </c>
      <c r="P45">
        <v>18080.954218106992</v>
      </c>
      <c r="Q45">
        <v>458937.36884210526</v>
      </c>
      <c r="R45" s="7">
        <v>45863</v>
      </c>
      <c r="S45">
        <f t="shared" si="14"/>
        <v>1512998.7368421054</v>
      </c>
      <c r="T45">
        <f t="shared" si="14"/>
        <v>1849345.7613032269</v>
      </c>
    </row>
    <row r="46" spans="2:20" x14ac:dyDescent="0.2">
      <c r="E46" s="7">
        <v>45894</v>
      </c>
      <c r="F46">
        <f t="shared" si="10"/>
        <v>8326.9032921810704</v>
      </c>
      <c r="G46">
        <f t="shared" si="11"/>
        <v>11544.753086419725</v>
      </c>
      <c r="H46">
        <f t="shared" si="13"/>
        <v>17682.613168724245</v>
      </c>
      <c r="I46">
        <v>0.05</v>
      </c>
      <c r="J46">
        <f t="shared" si="9"/>
        <v>22103.26646090531</v>
      </c>
      <c r="K46">
        <v>25</v>
      </c>
      <c r="N46">
        <v>351059.15789473685</v>
      </c>
      <c r="O46">
        <f t="shared" si="12"/>
        <v>470674.47530300973</v>
      </c>
      <c r="P46">
        <v>22103.26646090531</v>
      </c>
      <c r="Q46">
        <v>448571.20884210442</v>
      </c>
      <c r="R46" s="7">
        <v>45894</v>
      </c>
      <c r="S46">
        <f t="shared" si="14"/>
        <v>1864057.8947368423</v>
      </c>
      <c r="T46">
        <f t="shared" si="14"/>
        <v>2320020.2366062365</v>
      </c>
    </row>
    <row r="47" spans="2:20" x14ac:dyDescent="0.2">
      <c r="E47" s="7">
        <v>45925</v>
      </c>
      <c r="F47">
        <f t="shared" si="10"/>
        <v>6237.1399176954737</v>
      </c>
      <c r="G47">
        <f t="shared" si="11"/>
        <v>8166.1499588477345</v>
      </c>
      <c r="H47">
        <f t="shared" si="13"/>
        <v>19611.623209876507</v>
      </c>
      <c r="I47">
        <v>0.05</v>
      </c>
      <c r="J47">
        <f t="shared" si="9"/>
        <v>24514.529012345633</v>
      </c>
      <c r="K47">
        <v>25</v>
      </c>
      <c r="N47">
        <v>260452.77631578947</v>
      </c>
      <c r="O47">
        <f t="shared" si="12"/>
        <v>304452.67678642564</v>
      </c>
      <c r="P47">
        <v>24514.529012345633</v>
      </c>
      <c r="Q47">
        <v>279938.14777407999</v>
      </c>
      <c r="R47" s="7">
        <v>45925</v>
      </c>
      <c r="S47">
        <f t="shared" si="14"/>
        <v>2124510.6710526319</v>
      </c>
      <c r="T47">
        <f t="shared" si="14"/>
        <v>2624472.9133926621</v>
      </c>
    </row>
    <row r="48" spans="2:20" x14ac:dyDescent="0.2">
      <c r="E48" s="7">
        <v>45955</v>
      </c>
      <c r="F48">
        <f t="shared" si="10"/>
        <v>5208.333333333333</v>
      </c>
      <c r="G48">
        <f t="shared" si="11"/>
        <v>2764.9176954732511</v>
      </c>
      <c r="H48">
        <f t="shared" si="13"/>
        <v>17168.207572016425</v>
      </c>
      <c r="I48">
        <v>0.05</v>
      </c>
      <c r="J48">
        <f t="shared" si="9"/>
        <v>21460.259465020532</v>
      </c>
      <c r="K48">
        <v>25</v>
      </c>
      <c r="N48">
        <v>278956.46511627908</v>
      </c>
      <c r="O48">
        <f t="shared" si="12"/>
        <v>169548.25946502053</v>
      </c>
      <c r="P48">
        <v>21460.259465020532</v>
      </c>
      <c r="Q48">
        <v>148088</v>
      </c>
      <c r="R48" s="7">
        <v>45955</v>
      </c>
      <c r="S48">
        <f t="shared" si="14"/>
        <v>2403467.1361689111</v>
      </c>
      <c r="T48">
        <f t="shared" si="14"/>
        <v>2794021.1728576827</v>
      </c>
    </row>
    <row r="49" spans="5:20" x14ac:dyDescent="0.2">
      <c r="E49" s="7">
        <v>45986</v>
      </c>
      <c r="F49">
        <f t="shared" si="10"/>
        <v>6237.1399176954737</v>
      </c>
      <c r="G49">
        <f t="shared" si="11"/>
        <v>2767.3611111111113</v>
      </c>
      <c r="H49">
        <f t="shared" si="13"/>
        <v>13698.428765432065</v>
      </c>
      <c r="I49">
        <v>0.05</v>
      </c>
      <c r="J49">
        <f t="shared" si="9"/>
        <v>17123.035956790081</v>
      </c>
      <c r="K49">
        <v>25</v>
      </c>
      <c r="N49">
        <v>333764.02249175153</v>
      </c>
      <c r="O49">
        <f t="shared" si="12"/>
        <v>165211.03595679012</v>
      </c>
      <c r="P49">
        <v>17123.035956790081</v>
      </c>
      <c r="Q49">
        <v>148088.00000000003</v>
      </c>
      <c r="R49" s="7">
        <v>45986</v>
      </c>
      <c r="S49">
        <f t="shared" si="14"/>
        <v>2737231.1586606628</v>
      </c>
      <c r="T49">
        <f t="shared" si="14"/>
        <v>2959232.2088144729</v>
      </c>
    </row>
    <row r="50" spans="5:20" x14ac:dyDescent="0.2">
      <c r="E50" s="7">
        <v>46016</v>
      </c>
      <c r="F50">
        <f t="shared" si="10"/>
        <v>7298.0967078189306</v>
      </c>
      <c r="G50">
        <f t="shared" si="11"/>
        <v>2767.3611111111113</v>
      </c>
      <c r="H50">
        <f t="shared" si="13"/>
        <v>9167.6931687242432</v>
      </c>
      <c r="I50">
        <v>0.05</v>
      </c>
      <c r="J50">
        <f t="shared" si="9"/>
        <v>11459.616460905305</v>
      </c>
      <c r="K50">
        <v>25</v>
      </c>
      <c r="N50">
        <v>471353.99516706169</v>
      </c>
      <c r="O50">
        <f t="shared" si="12"/>
        <v>159547.61646090532</v>
      </c>
      <c r="P50">
        <v>11459.616460905305</v>
      </c>
      <c r="Q50">
        <v>148088.00000000003</v>
      </c>
      <c r="R50" s="7">
        <v>46016</v>
      </c>
      <c r="S50">
        <f t="shared" si="14"/>
        <v>3208585.1538277245</v>
      </c>
      <c r="T50">
        <f t="shared" si="14"/>
        <v>3118779.8252753783</v>
      </c>
    </row>
    <row r="51" spans="5:20" x14ac:dyDescent="0.2">
      <c r="E51" s="7">
        <v>46047</v>
      </c>
      <c r="F51">
        <f t="shared" si="10"/>
        <v>3632.9732510288068</v>
      </c>
      <c r="G51">
        <f t="shared" si="11"/>
        <v>2767.3611111111113</v>
      </c>
      <c r="H51">
        <f t="shared" si="13"/>
        <v>8302.0810288065477</v>
      </c>
      <c r="I51">
        <v>0.05</v>
      </c>
      <c r="J51">
        <f t="shared" si="9"/>
        <v>10377.601286008185</v>
      </c>
      <c r="K51">
        <v>25</v>
      </c>
      <c r="N51">
        <v>155808.05255820439</v>
      </c>
      <c r="O51">
        <f t="shared" si="12"/>
        <v>158465.60128600823</v>
      </c>
      <c r="P51">
        <v>10377.601286008185</v>
      </c>
      <c r="Q51">
        <v>148088.00000000003</v>
      </c>
      <c r="R51" s="7">
        <v>46047</v>
      </c>
      <c r="S51">
        <f t="shared" si="14"/>
        <v>3364393.2063859291</v>
      </c>
      <c r="T51">
        <f t="shared" si="14"/>
        <v>3277245.4265613863</v>
      </c>
    </row>
    <row r="52" spans="5:20" x14ac:dyDescent="0.2">
      <c r="E52" s="7">
        <v>46078</v>
      </c>
      <c r="F52">
        <f t="shared" si="10"/>
        <v>5722.7366255144034</v>
      </c>
      <c r="G52">
        <f t="shared" si="11"/>
        <v>2767.3611111111113</v>
      </c>
      <c r="H52">
        <f t="shared" si="13"/>
        <v>5346.7055144032556</v>
      </c>
      <c r="I52">
        <v>0.05</v>
      </c>
      <c r="J52">
        <f t="shared" si="9"/>
        <v>6683.3818930040688</v>
      </c>
      <c r="K52">
        <v>25</v>
      </c>
      <c r="N52">
        <v>279878.19870811841</v>
      </c>
      <c r="O52">
        <f t="shared" si="12"/>
        <v>154771.38189300409</v>
      </c>
      <c r="P52">
        <v>6683.3818930040688</v>
      </c>
      <c r="Q52">
        <v>148088.00000000003</v>
      </c>
      <c r="R52" s="7">
        <v>46078</v>
      </c>
      <c r="S52">
        <f t="shared" si="14"/>
        <v>3644271.4050940475</v>
      </c>
      <c r="T52">
        <f t="shared" si="14"/>
        <v>3432016.8084543906</v>
      </c>
    </row>
    <row r="53" spans="5:20" x14ac:dyDescent="0.2">
      <c r="E53" s="7">
        <v>46106</v>
      </c>
      <c r="F53">
        <f t="shared" si="10"/>
        <v>5208.333333333333</v>
      </c>
      <c r="G53">
        <f t="shared" si="11"/>
        <v>2767.3611111111113</v>
      </c>
      <c r="H53">
        <f t="shared" si="13"/>
        <v>2905.7332921810339</v>
      </c>
      <c r="I53">
        <v>0.05</v>
      </c>
      <c r="J53">
        <f t="shared" si="9"/>
        <v>3632.1666152262928</v>
      </c>
      <c r="K53">
        <v>25</v>
      </c>
      <c r="N53">
        <v>235169.14805520704</v>
      </c>
      <c r="O53">
        <f t="shared" si="12"/>
        <v>151720.16661522634</v>
      </c>
      <c r="P53">
        <v>3632.1666152262928</v>
      </c>
      <c r="Q53">
        <v>148088.00000000003</v>
      </c>
      <c r="R53" s="7">
        <v>46106</v>
      </c>
      <c r="S53">
        <f t="shared" si="14"/>
        <v>3879440.5531492545</v>
      </c>
      <c r="T53">
        <f t="shared" si="14"/>
        <v>3583736.9750696169</v>
      </c>
    </row>
    <row r="54" spans="5:20" x14ac:dyDescent="0.2">
      <c r="I54" t="s">
        <v>42</v>
      </c>
      <c r="J54" s="9">
        <f>SUM(J42:J53)</f>
        <v>162857.65087448523</v>
      </c>
    </row>
    <row r="56" spans="5:20" x14ac:dyDescent="0.2">
      <c r="I56" t="s">
        <v>44</v>
      </c>
      <c r="J56">
        <f>SUM(J37+J54)</f>
        <v>3583736.9750696169</v>
      </c>
    </row>
    <row r="58" spans="5:20" x14ac:dyDescent="0.2">
      <c r="I58" t="s">
        <v>46</v>
      </c>
      <c r="J58">
        <f>(J21-J56)/J21</f>
        <v>7.622325281917032E-2</v>
      </c>
    </row>
    <row r="59" spans="5:20" x14ac:dyDescent="0.2">
      <c r="L59" s="8"/>
      <c r="M59" s="8" t="s">
        <v>33</v>
      </c>
      <c r="N59" s="8" t="s">
        <v>34</v>
      </c>
      <c r="O59" s="8" t="s">
        <v>46</v>
      </c>
    </row>
    <row r="60" spans="5:20" x14ac:dyDescent="0.2">
      <c r="L60" s="8" t="s">
        <v>55</v>
      </c>
      <c r="M60" s="8">
        <v>1531015.5531492501</v>
      </c>
      <c r="N60" s="8">
        <v>1072454.3241951317</v>
      </c>
      <c r="O60" s="8">
        <f>100*(M60-N60)/M60</f>
        <v>29.95144157816507</v>
      </c>
    </row>
    <row r="61" spans="5:20" x14ac:dyDescent="0.2">
      <c r="L61" s="8" t="s">
        <v>21</v>
      </c>
      <c r="M61" s="8">
        <v>2348425</v>
      </c>
      <c r="N61" s="8">
        <v>2348425</v>
      </c>
      <c r="O61" s="8">
        <f t="shared" ref="O61:O63" si="15">100*(M61-N61)/M61</f>
        <v>0</v>
      </c>
    </row>
    <row r="62" spans="5:20" x14ac:dyDescent="0.2">
      <c r="L62" s="8" t="s">
        <v>42</v>
      </c>
      <c r="M62" s="8">
        <v>0</v>
      </c>
      <c r="N62" s="11"/>
      <c r="O62" s="8"/>
    </row>
    <row r="63" spans="5:20" x14ac:dyDescent="0.2">
      <c r="G63" t="s">
        <v>47</v>
      </c>
      <c r="H63" t="s">
        <v>48</v>
      </c>
      <c r="J63" t="s">
        <v>56</v>
      </c>
      <c r="L63" s="8" t="s">
        <v>29</v>
      </c>
      <c r="M63" s="8">
        <f>SUM(M60:M62)</f>
        <v>3879440.5531492503</v>
      </c>
      <c r="N63" s="8">
        <f>SUM(N60:N62)</f>
        <v>3420879.3241951317</v>
      </c>
      <c r="O63" s="8">
        <f t="shared" si="15"/>
        <v>11.820292711583582</v>
      </c>
    </row>
    <row r="64" spans="5:20" x14ac:dyDescent="0.2">
      <c r="F64" s="7">
        <v>45833</v>
      </c>
      <c r="G64" s="10">
        <v>185342.5</v>
      </c>
      <c r="H64">
        <v>9902.2633744855975</v>
      </c>
      <c r="I64">
        <f t="shared" ref="I64:I73" si="16">H64/G64</f>
        <v>5.3426836124934096E-2</v>
      </c>
      <c r="J64">
        <v>1000</v>
      </c>
      <c r="K64">
        <f>I64*J64</f>
        <v>53.426836124934098</v>
      </c>
    </row>
    <row r="65" spans="6:11" x14ac:dyDescent="0.2">
      <c r="F65" s="7">
        <v>45863</v>
      </c>
      <c r="G65" s="10">
        <v>211816.5</v>
      </c>
      <c r="H65">
        <v>8326.9032921810704</v>
      </c>
      <c r="I65">
        <f t="shared" si="16"/>
        <v>3.9311872739758565E-2</v>
      </c>
      <c r="J65">
        <v>1000</v>
      </c>
      <c r="K65">
        <f t="shared" ref="K65:K73" si="17">I65*J65</f>
        <v>39.311872739758563</v>
      </c>
    </row>
    <row r="66" spans="6:11" x14ac:dyDescent="0.2">
      <c r="F66" s="7">
        <v>45894</v>
      </c>
      <c r="G66" s="10">
        <v>208414.5</v>
      </c>
      <c r="H66">
        <v>8326.9032921810704</v>
      </c>
      <c r="I66">
        <f t="shared" si="16"/>
        <v>3.9953569891639354E-2</v>
      </c>
      <c r="J66">
        <v>1000</v>
      </c>
      <c r="K66">
        <f t="shared" si="17"/>
        <v>39.953569891639354</v>
      </c>
    </row>
    <row r="67" spans="6:11" x14ac:dyDescent="0.2">
      <c r="F67" s="7">
        <v>45925</v>
      </c>
      <c r="G67" s="10">
        <v>204928.5</v>
      </c>
      <c r="H67">
        <v>6237.1399176954737</v>
      </c>
      <c r="I67">
        <f t="shared" si="16"/>
        <v>3.0435688143403548E-2</v>
      </c>
      <c r="J67">
        <v>1000</v>
      </c>
      <c r="K67">
        <f t="shared" si="17"/>
        <v>30.435688143403549</v>
      </c>
    </row>
    <row r="68" spans="6:11" x14ac:dyDescent="0.2">
      <c r="F68" s="7">
        <v>45955</v>
      </c>
      <c r="G68" s="10">
        <v>201565</v>
      </c>
      <c r="H68">
        <v>5208.333333333333</v>
      </c>
      <c r="I68">
        <f t="shared" si="16"/>
        <v>2.5839472792068729E-2</v>
      </c>
      <c r="J68">
        <v>1000</v>
      </c>
      <c r="K68">
        <f t="shared" si="17"/>
        <v>25.839472792068729</v>
      </c>
    </row>
    <row r="69" spans="6:11" x14ac:dyDescent="0.2">
      <c r="F69" s="7">
        <v>45986</v>
      </c>
      <c r="G69" s="10">
        <v>198121</v>
      </c>
      <c r="H69">
        <v>6237.1399176954737</v>
      </c>
      <c r="I69">
        <f t="shared" si="16"/>
        <v>3.1481467980150883E-2</v>
      </c>
      <c r="J69">
        <v>1000</v>
      </c>
      <c r="K69">
        <f t="shared" si="17"/>
        <v>31.481467980150882</v>
      </c>
    </row>
    <row r="70" spans="6:11" x14ac:dyDescent="0.2">
      <c r="F70" s="7">
        <v>46016</v>
      </c>
      <c r="G70" s="10">
        <v>155050</v>
      </c>
      <c r="H70">
        <v>7298.0967078189306</v>
      </c>
      <c r="I70">
        <f t="shared" si="16"/>
        <v>4.7069311240367173E-2</v>
      </c>
      <c r="J70">
        <v>1000</v>
      </c>
      <c r="K70">
        <f t="shared" si="17"/>
        <v>47.069311240367171</v>
      </c>
    </row>
    <row r="71" spans="6:11" x14ac:dyDescent="0.2">
      <c r="F71" s="7">
        <v>46047</v>
      </c>
      <c r="G71" s="10">
        <v>154700</v>
      </c>
      <c r="H71">
        <v>3632.9732510288068</v>
      </c>
      <c r="I71">
        <f t="shared" si="16"/>
        <v>2.3483989987257963E-2</v>
      </c>
      <c r="J71">
        <v>1000</v>
      </c>
      <c r="K71">
        <f t="shared" si="17"/>
        <v>23.483989987257964</v>
      </c>
    </row>
    <row r="72" spans="6:11" x14ac:dyDescent="0.2">
      <c r="F72" s="7">
        <v>46078</v>
      </c>
      <c r="G72" s="10">
        <v>133350</v>
      </c>
      <c r="H72">
        <v>5722.7366255144034</v>
      </c>
      <c r="I72">
        <f t="shared" si="16"/>
        <v>4.2915160296320982E-2</v>
      </c>
      <c r="J72">
        <v>1000</v>
      </c>
      <c r="K72">
        <f t="shared" si="17"/>
        <v>42.915160296320984</v>
      </c>
    </row>
    <row r="73" spans="6:11" x14ac:dyDescent="0.2">
      <c r="F73" s="7">
        <v>46106</v>
      </c>
      <c r="G73" s="10">
        <v>132650</v>
      </c>
      <c r="H73">
        <v>5208.333333333333</v>
      </c>
      <c r="I73">
        <f t="shared" si="16"/>
        <v>3.9263726598818945E-2</v>
      </c>
      <c r="J73">
        <v>1000</v>
      </c>
      <c r="K73">
        <f t="shared" si="17"/>
        <v>39.263726598818941</v>
      </c>
    </row>
    <row r="76" spans="6:11" x14ac:dyDescent="0.2">
      <c r="F76" s="7">
        <v>45833</v>
      </c>
      <c r="G76">
        <f>K64</f>
        <v>53.426836124934098</v>
      </c>
    </row>
    <row r="77" spans="6:11" x14ac:dyDescent="0.2">
      <c r="F77" s="7">
        <v>45863</v>
      </c>
      <c r="G77">
        <f t="shared" ref="G77:G85" si="18">K65</f>
        <v>39.311872739758563</v>
      </c>
    </row>
    <row r="78" spans="6:11" x14ac:dyDescent="0.2">
      <c r="F78" s="7">
        <v>45894</v>
      </c>
      <c r="G78">
        <f t="shared" si="18"/>
        <v>39.953569891639354</v>
      </c>
    </row>
    <row r="79" spans="6:11" x14ac:dyDescent="0.2">
      <c r="F79" s="7">
        <v>45925</v>
      </c>
      <c r="G79">
        <f t="shared" si="18"/>
        <v>30.435688143403549</v>
      </c>
    </row>
    <row r="80" spans="6:11" x14ac:dyDescent="0.2">
      <c r="F80" s="7">
        <v>45955</v>
      </c>
      <c r="G80">
        <f t="shared" si="18"/>
        <v>25.839472792068729</v>
      </c>
    </row>
    <row r="81" spans="6:7" x14ac:dyDescent="0.2">
      <c r="F81" s="7">
        <v>45986</v>
      </c>
      <c r="G81">
        <f t="shared" si="18"/>
        <v>31.481467980150882</v>
      </c>
    </row>
    <row r="82" spans="6:7" x14ac:dyDescent="0.2">
      <c r="F82" s="7">
        <v>46016</v>
      </c>
      <c r="G82">
        <f t="shared" si="18"/>
        <v>47.069311240367171</v>
      </c>
    </row>
    <row r="83" spans="6:7" x14ac:dyDescent="0.2">
      <c r="F83" s="7">
        <v>46047</v>
      </c>
      <c r="G83">
        <f t="shared" si="18"/>
        <v>23.483989987257964</v>
      </c>
    </row>
    <row r="84" spans="6:7" x14ac:dyDescent="0.2">
      <c r="F84" s="7">
        <v>46078</v>
      </c>
      <c r="G84">
        <f t="shared" si="18"/>
        <v>42.915160296320984</v>
      </c>
    </row>
    <row r="85" spans="6:7" x14ac:dyDescent="0.2">
      <c r="F85" s="7">
        <v>46106</v>
      </c>
      <c r="G85">
        <f t="shared" si="18"/>
        <v>39.263726598818941</v>
      </c>
    </row>
  </sheetData>
  <mergeCells count="1">
    <mergeCell ref="H2:H3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7F181-D253-994B-B671-19E2727FB41B}">
  <dimension ref="B1:T92"/>
  <sheetViews>
    <sheetView topLeftCell="A9" zoomScaleNormal="100" workbookViewId="0">
      <selection activeCell="L44" sqref="L44"/>
    </sheetView>
  </sheetViews>
  <sheetFormatPr baseColWidth="10" defaultColWidth="13.5" defaultRowHeight="15" x14ac:dyDescent="0.2"/>
  <cols>
    <col min="6" max="6" width="14.83203125" customWidth="1"/>
    <col min="7" max="7" width="16.5" customWidth="1"/>
  </cols>
  <sheetData>
    <row r="1" spans="2:13" x14ac:dyDescent="0.2">
      <c r="I1" t="s">
        <v>33</v>
      </c>
      <c r="J1" t="s">
        <v>34</v>
      </c>
      <c r="K1" t="s">
        <v>57</v>
      </c>
    </row>
    <row r="2" spans="2:13" x14ac:dyDescent="0.2">
      <c r="H2" s="24" t="s">
        <v>58</v>
      </c>
      <c r="I2">
        <v>1316511.5530000001</v>
      </c>
      <c r="J2">
        <v>765195</v>
      </c>
    </row>
    <row r="3" spans="2:13" x14ac:dyDescent="0.2">
      <c r="H3" s="24"/>
      <c r="I3">
        <v>2116045</v>
      </c>
      <c r="J3">
        <v>2116045</v>
      </c>
      <c r="K3">
        <v>160216</v>
      </c>
    </row>
    <row r="4" spans="2:13" x14ac:dyDescent="0.2">
      <c r="I4">
        <f>SUM(I2:I3)</f>
        <v>3432556.5530000003</v>
      </c>
      <c r="J4">
        <f>SUM(J2:J3)</f>
        <v>2881240</v>
      </c>
      <c r="K4">
        <f>SUM(K3,J4)</f>
        <v>3041456</v>
      </c>
    </row>
    <row r="5" spans="2:13" x14ac:dyDescent="0.2">
      <c r="I5">
        <v>3432556.5529999998</v>
      </c>
      <c r="J5">
        <v>2881240</v>
      </c>
      <c r="K5">
        <v>3041456</v>
      </c>
    </row>
    <row r="7" spans="2:13" x14ac:dyDescent="0.2">
      <c r="B7" t="s">
        <v>26</v>
      </c>
      <c r="F7" t="s">
        <v>35</v>
      </c>
      <c r="L7" s="8" t="s">
        <v>32</v>
      </c>
    </row>
    <row r="8" spans="2:13" x14ac:dyDescent="0.2">
      <c r="C8" s="8" t="s">
        <v>30</v>
      </c>
      <c r="D8" s="8" t="s">
        <v>31</v>
      </c>
      <c r="E8" s="8" t="s">
        <v>28</v>
      </c>
      <c r="F8" s="8" t="s">
        <v>23</v>
      </c>
      <c r="G8" s="8" t="s">
        <v>24</v>
      </c>
      <c r="H8" s="8" t="s">
        <v>21</v>
      </c>
      <c r="I8" s="8" t="s">
        <v>22</v>
      </c>
      <c r="J8" s="8" t="s">
        <v>29</v>
      </c>
      <c r="L8" s="8" t="s">
        <v>33</v>
      </c>
      <c r="M8" s="8" t="s">
        <v>34</v>
      </c>
    </row>
    <row r="9" spans="2:13" x14ac:dyDescent="0.2">
      <c r="B9" s="7">
        <v>45772</v>
      </c>
      <c r="C9">
        <v>1.5288157894736842</v>
      </c>
      <c r="D9">
        <v>1.4112105263157895</v>
      </c>
      <c r="E9">
        <v>31.103999999999999</v>
      </c>
      <c r="F9" s="8">
        <v>4886.8312757201647</v>
      </c>
      <c r="G9" s="8">
        <v>2483.1669423159556</v>
      </c>
      <c r="H9">
        <f>C9*E9*F9</f>
        <v>232380</v>
      </c>
      <c r="I9">
        <f>D9*E9*G9</f>
        <v>108996.8553735357</v>
      </c>
      <c r="J9">
        <f>H9+I9</f>
        <v>341376.85537353571</v>
      </c>
      <c r="K9" s="7">
        <v>45772</v>
      </c>
      <c r="L9">
        <f>I9</f>
        <v>108996.8553735357</v>
      </c>
      <c r="M9">
        <f>L25</f>
        <v>307260.04547368421</v>
      </c>
    </row>
    <row r="10" spans="2:13" x14ac:dyDescent="0.2">
      <c r="B10" s="7">
        <v>45802</v>
      </c>
      <c r="C10">
        <v>1.5806907894736841</v>
      </c>
      <c r="D10">
        <v>0</v>
      </c>
      <c r="E10">
        <v>31.103999999999999</v>
      </c>
      <c r="F10" s="8">
        <v>4886.8312757201647</v>
      </c>
      <c r="G10" s="8">
        <v>0</v>
      </c>
      <c r="H10">
        <f t="shared" ref="H10:H20" si="0">C10*E10*F10</f>
        <v>240264.99999999997</v>
      </c>
      <c r="I10">
        <f t="shared" ref="I10:I20" si="1">D10*E10*G10</f>
        <v>0</v>
      </c>
      <c r="J10">
        <f t="shared" ref="J10:J20" si="2">H10+I10</f>
        <v>240264.99999999997</v>
      </c>
      <c r="K10" s="7">
        <v>45802</v>
      </c>
      <c r="L10">
        <f>L9+I10</f>
        <v>108996.8553735357</v>
      </c>
      <c r="M10">
        <f t="shared" ref="M10:M20" si="3">L26</f>
        <v>307260.04547368421</v>
      </c>
    </row>
    <row r="11" spans="2:13" x14ac:dyDescent="0.2">
      <c r="B11" s="7">
        <v>45833</v>
      </c>
      <c r="C11">
        <v>1.6237697368421053</v>
      </c>
      <c r="D11">
        <v>1.4613947368421052</v>
      </c>
      <c r="E11">
        <v>31.103999999999999</v>
      </c>
      <c r="F11" s="8">
        <v>4886.8312757201647</v>
      </c>
      <c r="G11" s="8">
        <v>2545.222790928924</v>
      </c>
      <c r="H11">
        <f t="shared" si="0"/>
        <v>246813</v>
      </c>
      <c r="I11">
        <f t="shared" si="1"/>
        <v>115693.66673321562</v>
      </c>
      <c r="J11">
        <f t="shared" si="2"/>
        <v>362506.66673321562</v>
      </c>
      <c r="K11" s="7">
        <v>45833</v>
      </c>
      <c r="L11">
        <f t="shared" ref="L11:L20" si="4">L10+I11</f>
        <v>224690.52210675133</v>
      </c>
      <c r="M11">
        <f t="shared" si="3"/>
        <v>625446.59873684205</v>
      </c>
    </row>
    <row r="12" spans="2:13" x14ac:dyDescent="0.2">
      <c r="B12" s="7">
        <v>45863</v>
      </c>
      <c r="C12">
        <v>1.6237697368421053</v>
      </c>
      <c r="D12">
        <v>0.97426315789473683</v>
      </c>
      <c r="E12">
        <v>31.103999999999999</v>
      </c>
      <c r="F12" s="8">
        <v>4886.8312757201647</v>
      </c>
      <c r="G12" s="8">
        <v>1371.7405698790662</v>
      </c>
      <c r="H12">
        <f t="shared" si="0"/>
        <v>246813</v>
      </c>
      <c r="I12">
        <f t="shared" si="1"/>
        <v>41568.514657243817</v>
      </c>
      <c r="J12">
        <f t="shared" si="2"/>
        <v>288381.5146572438</v>
      </c>
      <c r="K12" s="7">
        <v>45863</v>
      </c>
      <c r="L12">
        <f t="shared" si="4"/>
        <v>266259.03676399513</v>
      </c>
      <c r="M12">
        <f t="shared" si="3"/>
        <v>837570.96757894731</v>
      </c>
    </row>
    <row r="13" spans="2:13" x14ac:dyDescent="0.2">
      <c r="B13" s="7">
        <v>45894</v>
      </c>
      <c r="C13">
        <v>1.6237697368421053</v>
      </c>
      <c r="D13">
        <v>0.97426315789473683</v>
      </c>
      <c r="E13">
        <v>31.103999999999999</v>
      </c>
      <c r="F13" s="8">
        <v>4886.8312757201647</v>
      </c>
      <c r="G13" s="8">
        <v>1371.7405698790662</v>
      </c>
      <c r="H13">
        <f t="shared" si="0"/>
        <v>246813</v>
      </c>
      <c r="I13">
        <f t="shared" si="1"/>
        <v>41568.514657243817</v>
      </c>
      <c r="J13">
        <f t="shared" si="2"/>
        <v>288381.5146572438</v>
      </c>
      <c r="K13" s="7">
        <v>45894</v>
      </c>
      <c r="L13">
        <f t="shared" si="4"/>
        <v>307827.55142123892</v>
      </c>
      <c r="M13">
        <f t="shared" si="3"/>
        <v>1039329.1764210517</v>
      </c>
    </row>
    <row r="14" spans="2:13" x14ac:dyDescent="0.2">
      <c r="B14" s="7">
        <v>45925</v>
      </c>
      <c r="C14">
        <v>1.6237697368421053</v>
      </c>
      <c r="D14">
        <v>0.32475657894736842</v>
      </c>
      <c r="E14">
        <v>31.103999999999999</v>
      </c>
      <c r="F14" s="8">
        <v>4886.8312757201647</v>
      </c>
      <c r="G14" s="8">
        <v>0</v>
      </c>
      <c r="H14">
        <f t="shared" si="0"/>
        <v>246813</v>
      </c>
      <c r="I14">
        <f t="shared" si="1"/>
        <v>0</v>
      </c>
      <c r="J14">
        <f t="shared" si="2"/>
        <v>246813</v>
      </c>
      <c r="K14" s="7">
        <v>45925</v>
      </c>
      <c r="L14">
        <f t="shared" si="4"/>
        <v>307827.55142123892</v>
      </c>
      <c r="M14">
        <f t="shared" si="3"/>
        <v>1072454.3241951317</v>
      </c>
    </row>
    <row r="15" spans="2:13" x14ac:dyDescent="0.2">
      <c r="B15" s="7">
        <v>45955</v>
      </c>
      <c r="C15">
        <v>1.7219534883720931</v>
      </c>
      <c r="D15">
        <v>1.7219534883720931</v>
      </c>
      <c r="E15">
        <v>31.103999999999999</v>
      </c>
      <c r="F15" s="8">
        <v>2764.9176954732511</v>
      </c>
      <c r="G15" s="8">
        <v>4045.6197993210399</v>
      </c>
      <c r="H15">
        <f t="shared" si="0"/>
        <v>148088</v>
      </c>
      <c r="I15">
        <f t="shared" si="1"/>
        <v>216681.9452972213</v>
      </c>
      <c r="J15">
        <f t="shared" si="2"/>
        <v>364769.9452972213</v>
      </c>
      <c r="K15" s="7">
        <v>45955</v>
      </c>
      <c r="L15">
        <f t="shared" si="4"/>
        <v>524509.49671846023</v>
      </c>
      <c r="M15">
        <f t="shared" si="3"/>
        <v>1072454.3241951317</v>
      </c>
    </row>
    <row r="16" spans="2:13" x14ac:dyDescent="0.2">
      <c r="B16" s="7">
        <v>45986</v>
      </c>
      <c r="C16">
        <v>1.720433105627585</v>
      </c>
      <c r="D16">
        <v>1.720433105627585</v>
      </c>
      <c r="E16">
        <v>31.103999999999999</v>
      </c>
      <c r="F16" s="8">
        <v>2767.3611111111113</v>
      </c>
      <c r="G16" s="8">
        <v>2402.5977708842929</v>
      </c>
      <c r="H16">
        <f t="shared" si="0"/>
        <v>148088.00000000003</v>
      </c>
      <c r="I16">
        <f t="shared" si="1"/>
        <v>128568.65599005947</v>
      </c>
      <c r="J16">
        <f t="shared" si="2"/>
        <v>276656.65599005949</v>
      </c>
      <c r="K16" s="7">
        <v>45986</v>
      </c>
      <c r="L16">
        <f t="shared" si="4"/>
        <v>653078.15270851972</v>
      </c>
      <c r="M16">
        <f t="shared" si="3"/>
        <v>1072454.3241951317</v>
      </c>
    </row>
    <row r="17" spans="2:13" x14ac:dyDescent="0.2">
      <c r="B17" s="7">
        <v>46016</v>
      </c>
      <c r="C17">
        <v>1.720433105627585</v>
      </c>
      <c r="D17">
        <v>2.2939030624099632</v>
      </c>
      <c r="E17">
        <v>31.103999999999999</v>
      </c>
      <c r="F17" s="8">
        <v>2767.3611111111113</v>
      </c>
      <c r="G17" s="8">
        <v>1957.8353942526392</v>
      </c>
      <c r="H17">
        <f t="shared" si="0"/>
        <v>148088.00000000003</v>
      </c>
      <c r="I17">
        <f t="shared" si="1"/>
        <v>139690.69560277648</v>
      </c>
      <c r="J17">
        <f t="shared" si="2"/>
        <v>287778.69560277648</v>
      </c>
      <c r="K17" s="7">
        <v>46016</v>
      </c>
      <c r="L17">
        <f t="shared" si="4"/>
        <v>792768.8483112962</v>
      </c>
      <c r="M17">
        <f t="shared" si="3"/>
        <v>1072454.3241951317</v>
      </c>
    </row>
    <row r="18" spans="2:13" x14ac:dyDescent="0.2">
      <c r="B18" s="7">
        <v>46047</v>
      </c>
      <c r="C18">
        <v>1.720433105627585</v>
      </c>
      <c r="D18">
        <v>0.28673497839118917</v>
      </c>
      <c r="E18">
        <v>31.103999999999999</v>
      </c>
      <c r="F18" s="8">
        <v>2767.3611111111113</v>
      </c>
      <c r="G18" s="8">
        <v>384.25882680588074</v>
      </c>
      <c r="H18">
        <f t="shared" si="0"/>
        <v>148088.00000000003</v>
      </c>
      <c r="I18">
        <f t="shared" si="1"/>
        <v>3427.052604850729</v>
      </c>
      <c r="J18">
        <f t="shared" si="2"/>
        <v>151515.05260485076</v>
      </c>
      <c r="K18" s="7">
        <v>46047</v>
      </c>
      <c r="L18">
        <f t="shared" si="4"/>
        <v>796195.90091614693</v>
      </c>
      <c r="M18">
        <f t="shared" si="3"/>
        <v>1072454.3241951317</v>
      </c>
    </row>
    <row r="19" spans="2:13" x14ac:dyDescent="0.2">
      <c r="B19" s="7">
        <v>46078</v>
      </c>
      <c r="C19">
        <v>1.720433105627585</v>
      </c>
      <c r="D19">
        <v>1.4336865095961708</v>
      </c>
      <c r="E19">
        <v>31.103999999999999</v>
      </c>
      <c r="F19" s="8">
        <v>2767.3611111111113</v>
      </c>
      <c r="G19" s="8">
        <v>1188.9143226231608</v>
      </c>
      <c r="H19">
        <f t="shared" si="0"/>
        <v>148088.00000000003</v>
      </c>
      <c r="I19">
        <f t="shared" si="1"/>
        <v>53017.714351968039</v>
      </c>
      <c r="J19">
        <f t="shared" si="2"/>
        <v>201105.71435196808</v>
      </c>
      <c r="K19" s="7">
        <v>46078</v>
      </c>
      <c r="L19">
        <f t="shared" si="4"/>
        <v>849213.61526811495</v>
      </c>
      <c r="M19">
        <f t="shared" si="3"/>
        <v>1072454.3241951317</v>
      </c>
    </row>
    <row r="20" spans="2:13" x14ac:dyDescent="0.2">
      <c r="B20" s="7">
        <v>46106</v>
      </c>
      <c r="C20">
        <v>1.720433105627585</v>
      </c>
      <c r="D20">
        <v>1.1469515312049816</v>
      </c>
      <c r="E20">
        <v>31.103999999999999</v>
      </c>
      <c r="F20" s="8">
        <v>2767.3611111111113</v>
      </c>
      <c r="G20" s="8">
        <v>1166.5803075057843</v>
      </c>
      <c r="H20">
        <f t="shared" si="0"/>
        <v>148088.00000000003</v>
      </c>
      <c r="I20">
        <f t="shared" si="1"/>
        <v>41617.496320264065</v>
      </c>
      <c r="J20">
        <f t="shared" si="2"/>
        <v>189705.49632026409</v>
      </c>
      <c r="K20" s="7">
        <v>46106</v>
      </c>
      <c r="L20">
        <f t="shared" si="4"/>
        <v>890831.11158837902</v>
      </c>
      <c r="M20">
        <f t="shared" si="3"/>
        <v>1072454.3241951317</v>
      </c>
    </row>
    <row r="21" spans="2:13" x14ac:dyDescent="0.2">
      <c r="F21">
        <f>SUM(F9:F20)</f>
        <v>45922.710905349784</v>
      </c>
      <c r="G21" s="8">
        <f>SUM(G9:G20)</f>
        <v>18917.677294395813</v>
      </c>
      <c r="H21" s="9">
        <f>SUM(H9:H20)</f>
        <v>2348425</v>
      </c>
      <c r="I21" s="9">
        <f>SUM(I9:I20)</f>
        <v>890831.11158837902</v>
      </c>
      <c r="J21" s="9">
        <f>SUM(J9:J20)</f>
        <v>3239256.1115883789</v>
      </c>
    </row>
    <row r="22" spans="2:13" x14ac:dyDescent="0.2">
      <c r="I22">
        <f>I21/G21</f>
        <v>47.08987777544337</v>
      </c>
    </row>
    <row r="23" spans="2:13" x14ac:dyDescent="0.2">
      <c r="B23" t="s">
        <v>26</v>
      </c>
      <c r="F23" t="s">
        <v>36</v>
      </c>
      <c r="L23" s="8" t="s">
        <v>32</v>
      </c>
    </row>
    <row r="24" spans="2:13" x14ac:dyDescent="0.2">
      <c r="C24" s="8" t="s">
        <v>30</v>
      </c>
      <c r="D24" s="8" t="s">
        <v>31</v>
      </c>
      <c r="E24" s="8" t="s">
        <v>28</v>
      </c>
      <c r="F24" s="8" t="s">
        <v>23</v>
      </c>
      <c r="G24" s="8" t="s">
        <v>24</v>
      </c>
      <c r="H24" s="8" t="s">
        <v>21</v>
      </c>
      <c r="I24" s="8" t="s">
        <v>22</v>
      </c>
      <c r="J24" s="8" t="s">
        <v>29</v>
      </c>
      <c r="L24" s="8" t="s">
        <v>34</v>
      </c>
    </row>
    <row r="25" spans="2:13" x14ac:dyDescent="0.2">
      <c r="B25" s="7">
        <v>45772</v>
      </c>
      <c r="C25">
        <v>1.5288157894736842</v>
      </c>
      <c r="D25">
        <v>1.4112105263157895</v>
      </c>
      <c r="E25">
        <v>31.103999999999999</v>
      </c>
      <c r="F25" s="8">
        <v>4886.8312757201647</v>
      </c>
      <c r="G25">
        <v>7000</v>
      </c>
      <c r="H25">
        <f>C25*E25*F25</f>
        <v>232380</v>
      </c>
      <c r="I25">
        <f>D25*E25*G25</f>
        <v>307260.04547368421</v>
      </c>
      <c r="J25">
        <f>H25+I25</f>
        <v>539640.04547368421</v>
      </c>
      <c r="L25">
        <f>I25</f>
        <v>307260.04547368421</v>
      </c>
    </row>
    <row r="26" spans="2:13" x14ac:dyDescent="0.2">
      <c r="B26" s="7">
        <v>45802</v>
      </c>
      <c r="C26">
        <v>1.5806907894736841</v>
      </c>
      <c r="D26">
        <v>0</v>
      </c>
      <c r="E26">
        <v>31.103999999999999</v>
      </c>
      <c r="F26" s="8">
        <v>4886.8312757201647</v>
      </c>
      <c r="G26">
        <v>7000</v>
      </c>
      <c r="H26">
        <f t="shared" ref="H26:H36" si="5">C26*E26*F26</f>
        <v>240264.99999999997</v>
      </c>
      <c r="I26">
        <f t="shared" ref="I26:I36" si="6">D26*E26*G26</f>
        <v>0</v>
      </c>
      <c r="J26">
        <f t="shared" ref="J26:J36" si="7">H26+I26</f>
        <v>240264.99999999997</v>
      </c>
      <c r="L26">
        <f>L25+I26</f>
        <v>307260.04547368421</v>
      </c>
    </row>
    <row r="27" spans="2:13" x14ac:dyDescent="0.2">
      <c r="B27" s="7">
        <v>45833</v>
      </c>
      <c r="C27">
        <v>1.6237697368421053</v>
      </c>
      <c r="D27">
        <v>1.4613947368421052</v>
      </c>
      <c r="E27">
        <v>31.103999999999999</v>
      </c>
      <c r="F27" s="8">
        <v>4886.8312757201647</v>
      </c>
      <c r="G27">
        <v>7000</v>
      </c>
      <c r="H27">
        <f t="shared" si="5"/>
        <v>246813</v>
      </c>
      <c r="I27">
        <f t="shared" si="6"/>
        <v>318186.55326315784</v>
      </c>
      <c r="J27">
        <f t="shared" si="7"/>
        <v>564999.55326315784</v>
      </c>
      <c r="L27">
        <f t="shared" ref="L27:L36" si="8">L26+I27</f>
        <v>625446.59873684205</v>
      </c>
    </row>
    <row r="28" spans="2:13" x14ac:dyDescent="0.2">
      <c r="B28" s="7">
        <v>45863</v>
      </c>
      <c r="C28">
        <v>1.6237697368421053</v>
      </c>
      <c r="D28">
        <v>0.97426315789473683</v>
      </c>
      <c r="E28">
        <v>31.103999999999999</v>
      </c>
      <c r="F28" s="8">
        <v>4886.8312757201647</v>
      </c>
      <c r="G28">
        <v>7000</v>
      </c>
      <c r="H28">
        <f t="shared" si="5"/>
        <v>246813</v>
      </c>
      <c r="I28">
        <f t="shared" si="6"/>
        <v>212124.36884210526</v>
      </c>
      <c r="J28">
        <f t="shared" si="7"/>
        <v>458937.36884210526</v>
      </c>
      <c r="L28">
        <f t="shared" si="8"/>
        <v>837570.96757894731</v>
      </c>
    </row>
    <row r="29" spans="2:13" x14ac:dyDescent="0.2">
      <c r="B29" s="7">
        <v>45894</v>
      </c>
      <c r="C29">
        <v>1.6237697368421053</v>
      </c>
      <c r="D29">
        <v>0.97426315789473683</v>
      </c>
      <c r="E29">
        <v>31.103999999999999</v>
      </c>
      <c r="F29" s="8">
        <v>4886.8312757201647</v>
      </c>
      <c r="G29">
        <v>6657.9218106995604</v>
      </c>
      <c r="H29">
        <f t="shared" si="5"/>
        <v>246813</v>
      </c>
      <c r="I29">
        <f t="shared" si="6"/>
        <v>201758.20884210442</v>
      </c>
      <c r="J29">
        <f t="shared" si="7"/>
        <v>448571.20884210442</v>
      </c>
      <c r="L29">
        <f t="shared" si="8"/>
        <v>1039329.1764210517</v>
      </c>
    </row>
    <row r="30" spans="2:13" x14ac:dyDescent="0.2">
      <c r="B30" s="7">
        <v>45925</v>
      </c>
      <c r="C30">
        <v>1.6237697368421053</v>
      </c>
      <c r="D30">
        <v>0.32475657894736842</v>
      </c>
      <c r="E30">
        <v>31.103999999999999</v>
      </c>
      <c r="F30" s="8">
        <v>4886.8312757201647</v>
      </c>
      <c r="G30">
        <v>3279.3186831275698</v>
      </c>
      <c r="H30">
        <f t="shared" si="5"/>
        <v>246813</v>
      </c>
      <c r="I30">
        <f t="shared" si="6"/>
        <v>33125.147774079975</v>
      </c>
      <c r="J30">
        <f t="shared" si="7"/>
        <v>279938.14777407999</v>
      </c>
      <c r="L30">
        <f t="shared" si="8"/>
        <v>1072454.3241951317</v>
      </c>
    </row>
    <row r="31" spans="2:13" x14ac:dyDescent="0.2">
      <c r="B31" s="7">
        <v>45955</v>
      </c>
      <c r="C31">
        <v>1.7219534883720931</v>
      </c>
      <c r="D31">
        <v>1.7219534883720931</v>
      </c>
      <c r="E31">
        <v>31.103999999999999</v>
      </c>
      <c r="F31" s="8">
        <v>2764.9176954732511</v>
      </c>
      <c r="G31">
        <v>0</v>
      </c>
      <c r="H31">
        <f t="shared" si="5"/>
        <v>148088</v>
      </c>
      <c r="I31">
        <f t="shared" si="6"/>
        <v>0</v>
      </c>
      <c r="J31">
        <f t="shared" si="7"/>
        <v>148088</v>
      </c>
      <c r="L31">
        <f t="shared" si="8"/>
        <v>1072454.3241951317</v>
      </c>
    </row>
    <row r="32" spans="2:13" x14ac:dyDescent="0.2">
      <c r="B32" s="7">
        <v>45986</v>
      </c>
      <c r="C32">
        <v>1.720433105627585</v>
      </c>
      <c r="D32">
        <v>1.720433105627585</v>
      </c>
      <c r="E32">
        <v>31.103999999999999</v>
      </c>
      <c r="F32" s="8">
        <v>2767.3611111111113</v>
      </c>
      <c r="G32">
        <v>0</v>
      </c>
      <c r="H32">
        <f t="shared" si="5"/>
        <v>148088.00000000003</v>
      </c>
      <c r="I32">
        <f t="shared" si="6"/>
        <v>0</v>
      </c>
      <c r="J32">
        <f t="shared" si="7"/>
        <v>148088.00000000003</v>
      </c>
      <c r="L32">
        <f t="shared" si="8"/>
        <v>1072454.3241951317</v>
      </c>
    </row>
    <row r="33" spans="2:20" x14ac:dyDescent="0.2">
      <c r="B33" s="7">
        <v>46016</v>
      </c>
      <c r="C33">
        <v>1.720433105627585</v>
      </c>
      <c r="D33">
        <v>2.2939030624099632</v>
      </c>
      <c r="E33">
        <v>31.103999999999999</v>
      </c>
      <c r="F33" s="8">
        <v>2767.3611111111113</v>
      </c>
      <c r="G33">
        <v>0</v>
      </c>
      <c r="H33">
        <f t="shared" si="5"/>
        <v>148088.00000000003</v>
      </c>
      <c r="I33">
        <f t="shared" si="6"/>
        <v>0</v>
      </c>
      <c r="J33">
        <f t="shared" si="7"/>
        <v>148088.00000000003</v>
      </c>
      <c r="L33">
        <f t="shared" si="8"/>
        <v>1072454.3241951317</v>
      </c>
    </row>
    <row r="34" spans="2:20" x14ac:dyDescent="0.2">
      <c r="B34" s="7">
        <v>46047</v>
      </c>
      <c r="C34">
        <v>1.720433105627585</v>
      </c>
      <c r="D34">
        <v>0.28673497839118917</v>
      </c>
      <c r="E34">
        <v>31.103999999999999</v>
      </c>
      <c r="F34" s="8">
        <v>2767.3611111111113</v>
      </c>
      <c r="G34">
        <v>0</v>
      </c>
      <c r="H34">
        <f t="shared" si="5"/>
        <v>148088.00000000003</v>
      </c>
      <c r="I34">
        <f t="shared" si="6"/>
        <v>0</v>
      </c>
      <c r="J34">
        <f t="shared" si="7"/>
        <v>148088.00000000003</v>
      </c>
      <c r="L34">
        <f t="shared" si="8"/>
        <v>1072454.3241951317</v>
      </c>
    </row>
    <row r="35" spans="2:20" x14ac:dyDescent="0.2">
      <c r="B35" s="7">
        <v>46078</v>
      </c>
      <c r="C35">
        <v>1.720433105627585</v>
      </c>
      <c r="D35">
        <v>1.4336865095961708</v>
      </c>
      <c r="E35">
        <v>31.103999999999999</v>
      </c>
      <c r="F35" s="8">
        <v>2767.3611111111113</v>
      </c>
      <c r="G35">
        <v>0</v>
      </c>
      <c r="H35">
        <f t="shared" si="5"/>
        <v>148088.00000000003</v>
      </c>
      <c r="I35">
        <f t="shared" si="6"/>
        <v>0</v>
      </c>
      <c r="J35">
        <f t="shared" si="7"/>
        <v>148088.00000000003</v>
      </c>
      <c r="L35">
        <f t="shared" si="8"/>
        <v>1072454.3241951317</v>
      </c>
    </row>
    <row r="36" spans="2:20" x14ac:dyDescent="0.2">
      <c r="B36" s="7">
        <v>46106</v>
      </c>
      <c r="C36">
        <v>1.720433105627585</v>
      </c>
      <c r="D36">
        <v>1.1469515312049816</v>
      </c>
      <c r="E36">
        <v>31.103999999999999</v>
      </c>
      <c r="F36" s="8">
        <v>2767.3611111111113</v>
      </c>
      <c r="G36">
        <v>0</v>
      </c>
      <c r="H36">
        <f t="shared" si="5"/>
        <v>148088.00000000003</v>
      </c>
      <c r="I36">
        <f t="shared" si="6"/>
        <v>0</v>
      </c>
      <c r="J36">
        <f t="shared" si="7"/>
        <v>148088.00000000003</v>
      </c>
      <c r="L36">
        <f t="shared" si="8"/>
        <v>1072454.3241951317</v>
      </c>
    </row>
    <row r="37" spans="2:20" x14ac:dyDescent="0.2">
      <c r="F37">
        <f>SUM(F25:F36)</f>
        <v>45922.710905349784</v>
      </c>
      <c r="G37">
        <f>SUM(G25:G36)</f>
        <v>37937.240493827128</v>
      </c>
      <c r="H37" s="9">
        <f>SUM(H25:H36)</f>
        <v>2348425</v>
      </c>
      <c r="I37" s="9">
        <f>SUM(I25:I36)</f>
        <v>1072454.3241951317</v>
      </c>
      <c r="J37" s="9">
        <f>SUM(J25:J36)</f>
        <v>3420879.3241951317</v>
      </c>
    </row>
    <row r="38" spans="2:20" x14ac:dyDescent="0.2">
      <c r="I38">
        <f>I37/G37</f>
        <v>28.269170615338606</v>
      </c>
    </row>
    <row r="40" spans="2:20" x14ac:dyDescent="0.2">
      <c r="F40" t="s">
        <v>59</v>
      </c>
    </row>
    <row r="41" spans="2:20" x14ac:dyDescent="0.2">
      <c r="D41" t="s">
        <v>61</v>
      </c>
      <c r="F41" t="s">
        <v>39</v>
      </c>
      <c r="G41" t="s">
        <v>40</v>
      </c>
      <c r="H41" t="s">
        <v>41</v>
      </c>
      <c r="I41" t="s">
        <v>43</v>
      </c>
      <c r="J41" t="s">
        <v>42</v>
      </c>
      <c r="K41" t="s">
        <v>45</v>
      </c>
      <c r="N41" t="s">
        <v>49</v>
      </c>
      <c r="O41" t="s">
        <v>51</v>
      </c>
      <c r="P41" t="s">
        <v>42</v>
      </c>
      <c r="Q41" t="s">
        <v>50</v>
      </c>
      <c r="R41" t="s">
        <v>54</v>
      </c>
      <c r="S41" t="s">
        <v>52</v>
      </c>
      <c r="T41" t="s">
        <v>53</v>
      </c>
    </row>
    <row r="42" spans="2:20" x14ac:dyDescent="0.2">
      <c r="D42">
        <v>1242</v>
      </c>
      <c r="E42" s="7">
        <v>45772</v>
      </c>
      <c r="F42">
        <v>5195.1035206425595</v>
      </c>
      <c r="G42">
        <v>7369.9982180361203</v>
      </c>
      <c r="H42">
        <f>G42-F42+D42</f>
        <v>3416.8946973935608</v>
      </c>
      <c r="I42">
        <v>0.05</v>
      </c>
      <c r="J42">
        <f t="shared" ref="J42:J53" si="9">H42*I42*K42</f>
        <v>4271.1183717419517</v>
      </c>
      <c r="K42">
        <v>25</v>
      </c>
      <c r="N42">
        <v>446884</v>
      </c>
      <c r="O42">
        <f>SUM(P42:Q42)</f>
        <v>542281.50637903402</v>
      </c>
      <c r="P42">
        <v>2641.4609053497929</v>
      </c>
      <c r="Q42">
        <v>539640.04547368421</v>
      </c>
      <c r="R42" s="7">
        <v>45772</v>
      </c>
      <c r="S42">
        <f>N42</f>
        <v>446884</v>
      </c>
      <c r="T42">
        <f>O42</f>
        <v>542281.50637903402</v>
      </c>
    </row>
    <row r="43" spans="2:20" x14ac:dyDescent="0.2">
      <c r="E43" s="7">
        <v>45802</v>
      </c>
      <c r="F43">
        <v>5907.1382972953343</v>
      </c>
      <c r="G43">
        <v>3813.8171728011271</v>
      </c>
      <c r="H43">
        <f>H42+G43-F43</f>
        <v>1323.5735728993532</v>
      </c>
      <c r="I43">
        <v>0.05</v>
      </c>
      <c r="J43">
        <f t="shared" si="9"/>
        <v>1654.4669661241915</v>
      </c>
      <c r="K43">
        <v>25</v>
      </c>
      <c r="N43">
        <v>240264.99999999997</v>
      </c>
      <c r="O43">
        <f t="shared" ref="O43:O53" si="10">SUM(P43:Q43)</f>
        <v>251415.3343621399</v>
      </c>
      <c r="P43">
        <v>11150.334362139914</v>
      </c>
      <c r="Q43">
        <v>240264.99999999997</v>
      </c>
      <c r="R43" s="7">
        <v>45802</v>
      </c>
      <c r="S43">
        <f>N43+S42</f>
        <v>687149</v>
      </c>
      <c r="T43">
        <f>O43+T42</f>
        <v>793696.84074117395</v>
      </c>
    </row>
    <row r="44" spans="2:20" x14ac:dyDescent="0.2">
      <c r="E44" s="7">
        <v>45833</v>
      </c>
      <c r="F44">
        <v>5625.7573205650187</v>
      </c>
      <c r="G44">
        <v>7432.0540666490888</v>
      </c>
      <c r="H44">
        <f t="shared" ref="H44:H53" si="11">H43+G44-F44</f>
        <v>3129.8703189834232</v>
      </c>
      <c r="I44">
        <v>0.05</v>
      </c>
      <c r="J44">
        <f t="shared" si="9"/>
        <v>3912.3378987292795</v>
      </c>
      <c r="K44">
        <v>25</v>
      </c>
      <c r="N44">
        <v>474790.57894736843</v>
      </c>
      <c r="O44">
        <f t="shared" si="10"/>
        <v>578630.59750184091</v>
      </c>
      <c r="P44">
        <v>13631.044238683122</v>
      </c>
      <c r="Q44">
        <v>564999.55326315784</v>
      </c>
      <c r="R44" s="7">
        <v>45833</v>
      </c>
      <c r="S44">
        <f t="shared" ref="S44:T53" si="12">N44+S43</f>
        <v>1161939.5789473685</v>
      </c>
      <c r="T44">
        <f t="shared" si="12"/>
        <v>1372327.4382430147</v>
      </c>
    </row>
    <row r="45" spans="2:20" x14ac:dyDescent="0.2">
      <c r="E45" s="7">
        <v>45863</v>
      </c>
      <c r="F45">
        <v>6433.9826158977739</v>
      </c>
      <c r="G45">
        <f t="shared" ref="G45:G53" si="13">SUM(F28:G28)</f>
        <v>11886.831275720164</v>
      </c>
      <c r="H45">
        <f t="shared" si="11"/>
        <v>8582.7189788058131</v>
      </c>
      <c r="I45">
        <v>0.05</v>
      </c>
      <c r="J45">
        <f t="shared" si="9"/>
        <v>10728.398723507267</v>
      </c>
      <c r="K45">
        <v>25</v>
      </c>
      <c r="N45">
        <v>351059.15789473685</v>
      </c>
      <c r="O45">
        <f t="shared" si="10"/>
        <v>477018.32306021225</v>
      </c>
      <c r="P45">
        <v>18080.954218106992</v>
      </c>
      <c r="Q45">
        <v>458937.36884210526</v>
      </c>
      <c r="R45" s="7">
        <v>45863</v>
      </c>
      <c r="S45">
        <f t="shared" si="12"/>
        <v>1512998.7368421054</v>
      </c>
      <c r="T45">
        <f t="shared" si="12"/>
        <v>1849345.7613032269</v>
      </c>
    </row>
    <row r="46" spans="2:20" x14ac:dyDescent="0.2">
      <c r="E46" s="7">
        <v>45894</v>
      </c>
      <c r="F46">
        <v>6493.9081133646077</v>
      </c>
      <c r="G46">
        <f t="shared" si="13"/>
        <v>11544.753086419725</v>
      </c>
      <c r="H46">
        <f t="shared" si="11"/>
        <v>13633.563951860931</v>
      </c>
      <c r="I46">
        <v>0.05</v>
      </c>
      <c r="J46">
        <f t="shared" si="9"/>
        <v>17041.954939826166</v>
      </c>
      <c r="K46">
        <v>25</v>
      </c>
      <c r="N46">
        <v>351059.15789473685</v>
      </c>
      <c r="O46">
        <f t="shared" si="10"/>
        <v>470674.47530300973</v>
      </c>
      <c r="P46">
        <v>22103.26646090531</v>
      </c>
      <c r="Q46">
        <v>448571.20884210442</v>
      </c>
      <c r="R46" s="7">
        <v>45894</v>
      </c>
      <c r="S46">
        <f t="shared" si="12"/>
        <v>1864057.8947368423</v>
      </c>
      <c r="T46">
        <f t="shared" si="12"/>
        <v>2320020.2366062365</v>
      </c>
    </row>
    <row r="47" spans="2:20" x14ac:dyDescent="0.2">
      <c r="E47" s="7">
        <v>45925</v>
      </c>
      <c r="F47">
        <v>6071.2326312903115</v>
      </c>
      <c r="G47">
        <f t="shared" si="13"/>
        <v>8166.1499588477345</v>
      </c>
      <c r="H47">
        <f t="shared" si="11"/>
        <v>15728.481279418354</v>
      </c>
      <c r="I47">
        <v>0.05</v>
      </c>
      <c r="J47">
        <f t="shared" si="9"/>
        <v>19660.601599272944</v>
      </c>
      <c r="K47">
        <v>25</v>
      </c>
      <c r="N47">
        <v>260452.77631578947</v>
      </c>
      <c r="O47">
        <f t="shared" si="10"/>
        <v>304452.67678642564</v>
      </c>
      <c r="P47">
        <v>24514.529012345633</v>
      </c>
      <c r="Q47">
        <v>279938.14777407999</v>
      </c>
      <c r="R47" s="7">
        <v>45925</v>
      </c>
      <c r="S47">
        <f t="shared" si="12"/>
        <v>2124510.6710526319</v>
      </c>
      <c r="T47">
        <f t="shared" si="12"/>
        <v>2624472.9133926621</v>
      </c>
    </row>
    <row r="48" spans="2:20" x14ac:dyDescent="0.2">
      <c r="E48" s="7">
        <v>45955</v>
      </c>
      <c r="F48">
        <v>6403.8158313631438</v>
      </c>
      <c r="G48">
        <f t="shared" si="13"/>
        <v>2764.9176954732511</v>
      </c>
      <c r="H48">
        <f t="shared" si="11"/>
        <v>12089.583143528464</v>
      </c>
      <c r="I48">
        <v>0.05</v>
      </c>
      <c r="J48">
        <f t="shared" si="9"/>
        <v>15111.978929410579</v>
      </c>
      <c r="K48">
        <v>25</v>
      </c>
      <c r="N48">
        <v>278956.46511627908</v>
      </c>
      <c r="O48">
        <f t="shared" si="10"/>
        <v>169548.25946502053</v>
      </c>
      <c r="P48">
        <v>21460.259465020532</v>
      </c>
      <c r="Q48">
        <v>148088</v>
      </c>
      <c r="R48" s="7">
        <v>45955</v>
      </c>
      <c r="S48">
        <f t="shared" si="12"/>
        <v>2403467.1361689111</v>
      </c>
      <c r="T48">
        <f t="shared" si="12"/>
        <v>2794021.1728576827</v>
      </c>
    </row>
    <row r="49" spans="4:20" x14ac:dyDescent="0.2">
      <c r="E49" s="7">
        <v>45986</v>
      </c>
      <c r="F49">
        <v>6026.4848889003415</v>
      </c>
      <c r="G49">
        <f t="shared" si="13"/>
        <v>2767.3611111111113</v>
      </c>
      <c r="H49">
        <f t="shared" si="11"/>
        <v>8830.4593657392325</v>
      </c>
      <c r="I49">
        <v>0.05</v>
      </c>
      <c r="J49">
        <f t="shared" si="9"/>
        <v>11038.074207174041</v>
      </c>
      <c r="K49">
        <v>25</v>
      </c>
      <c r="N49">
        <v>333764.02249175153</v>
      </c>
      <c r="O49">
        <f t="shared" si="10"/>
        <v>165211.03595679012</v>
      </c>
      <c r="P49">
        <v>17123.035956790081</v>
      </c>
      <c r="Q49">
        <v>148088.00000000003</v>
      </c>
      <c r="R49" s="7">
        <v>45986</v>
      </c>
      <c r="S49">
        <f t="shared" si="12"/>
        <v>2737231.1586606628</v>
      </c>
      <c r="T49">
        <f t="shared" si="12"/>
        <v>2959232.2088144729</v>
      </c>
    </row>
    <row r="50" spans="4:20" x14ac:dyDescent="0.2">
      <c r="E50" s="7">
        <v>46016</v>
      </c>
      <c r="F50">
        <v>4479.7985738060161</v>
      </c>
      <c r="G50">
        <f t="shared" si="13"/>
        <v>2767.3611111111113</v>
      </c>
      <c r="H50">
        <f t="shared" si="11"/>
        <v>7118.0219030443277</v>
      </c>
      <c r="I50">
        <v>0.05</v>
      </c>
      <c r="J50">
        <f t="shared" si="9"/>
        <v>8897.5273788054092</v>
      </c>
      <c r="K50">
        <v>25</v>
      </c>
      <c r="N50">
        <v>471353.99516706169</v>
      </c>
      <c r="O50">
        <f t="shared" si="10"/>
        <v>159547.61646090532</v>
      </c>
      <c r="P50">
        <v>11459.616460905305</v>
      </c>
      <c r="Q50">
        <v>148088.00000000003</v>
      </c>
      <c r="R50" s="7">
        <v>46016</v>
      </c>
      <c r="S50">
        <f t="shared" si="12"/>
        <v>3208585.1538277245</v>
      </c>
      <c r="T50">
        <f t="shared" si="12"/>
        <v>3118779.8252753783</v>
      </c>
    </row>
    <row r="51" spans="4:20" x14ac:dyDescent="0.2">
      <c r="E51" s="7">
        <v>46047</v>
      </c>
      <c r="F51">
        <v>4284.164832400751</v>
      </c>
      <c r="G51">
        <f t="shared" si="13"/>
        <v>2767.3611111111113</v>
      </c>
      <c r="H51">
        <f t="shared" si="11"/>
        <v>5601.218181754688</v>
      </c>
      <c r="I51">
        <v>0.05</v>
      </c>
      <c r="J51">
        <f t="shared" si="9"/>
        <v>7001.52272719336</v>
      </c>
      <c r="K51">
        <v>25</v>
      </c>
      <c r="N51">
        <v>155808.05255820439</v>
      </c>
      <c r="O51">
        <f t="shared" si="10"/>
        <v>158465.60128600823</v>
      </c>
      <c r="P51">
        <v>10377.601286008185</v>
      </c>
      <c r="Q51">
        <v>148088.00000000003</v>
      </c>
      <c r="R51" s="7">
        <v>46047</v>
      </c>
      <c r="S51">
        <f t="shared" si="12"/>
        <v>3364393.2063859291</v>
      </c>
      <c r="T51">
        <f t="shared" si="12"/>
        <v>3277245.4265613863</v>
      </c>
    </row>
    <row r="52" spans="4:20" x14ac:dyDescent="0.2">
      <c r="E52" s="7">
        <v>46078</v>
      </c>
      <c r="F52">
        <v>3874.8158713185621</v>
      </c>
      <c r="G52">
        <f t="shared" si="13"/>
        <v>2767.3611111111113</v>
      </c>
      <c r="H52">
        <f t="shared" si="11"/>
        <v>4493.7634215472372</v>
      </c>
      <c r="I52">
        <v>0.05</v>
      </c>
      <c r="J52">
        <f t="shared" si="9"/>
        <v>5617.204276934046</v>
      </c>
      <c r="K52">
        <v>25</v>
      </c>
      <c r="N52">
        <v>279878.19870811841</v>
      </c>
      <c r="O52">
        <f t="shared" si="10"/>
        <v>154771.38189300409</v>
      </c>
      <c r="P52">
        <v>6683.3818930040688</v>
      </c>
      <c r="Q52">
        <v>148088.00000000003</v>
      </c>
      <c r="R52" s="7">
        <v>46078</v>
      </c>
      <c r="S52">
        <f t="shared" si="12"/>
        <v>3644271.4050940475</v>
      </c>
      <c r="T52">
        <f t="shared" si="12"/>
        <v>3432016.8084543906</v>
      </c>
    </row>
    <row r="53" spans="4:20" x14ac:dyDescent="0.2">
      <c r="E53" s="7">
        <v>46106</v>
      </c>
      <c r="F53">
        <v>3826.840185484803</v>
      </c>
      <c r="G53">
        <f t="shared" si="13"/>
        <v>2767.3611111111113</v>
      </c>
      <c r="H53">
        <f t="shared" si="11"/>
        <v>3434.2843471735455</v>
      </c>
      <c r="I53">
        <v>0.05</v>
      </c>
      <c r="J53">
        <f t="shared" si="9"/>
        <v>4292.8554339669317</v>
      </c>
      <c r="K53">
        <v>25</v>
      </c>
      <c r="N53">
        <v>235169.14805520704</v>
      </c>
      <c r="O53">
        <f t="shared" si="10"/>
        <v>151720.16661522634</v>
      </c>
      <c r="P53">
        <v>3632.1666152262928</v>
      </c>
      <c r="Q53">
        <v>148088.00000000003</v>
      </c>
      <c r="R53" s="7">
        <v>46106</v>
      </c>
      <c r="S53">
        <f t="shared" si="12"/>
        <v>3879440.5531492545</v>
      </c>
      <c r="T53">
        <f t="shared" si="12"/>
        <v>3583736.9750696169</v>
      </c>
    </row>
    <row r="54" spans="4:20" x14ac:dyDescent="0.2">
      <c r="I54" t="s">
        <v>42</v>
      </c>
      <c r="J54" s="9">
        <f>SUM(J42:J53)</f>
        <v>109228.04145268616</v>
      </c>
    </row>
    <row r="56" spans="4:20" x14ac:dyDescent="0.2">
      <c r="I56" t="s">
        <v>44</v>
      </c>
      <c r="J56">
        <f>SUM(J37+J54)</f>
        <v>3530107.365647818</v>
      </c>
    </row>
    <row r="58" spans="4:20" x14ac:dyDescent="0.2">
      <c r="I58" t="s">
        <v>46</v>
      </c>
      <c r="J58">
        <f>(J21-J56)/J21</f>
        <v>-8.9789520815882415E-2</v>
      </c>
    </row>
    <row r="62" spans="4:20" x14ac:dyDescent="0.2">
      <c r="F62" t="s">
        <v>60</v>
      </c>
    </row>
    <row r="63" spans="4:20" x14ac:dyDescent="0.2">
      <c r="F63" t="s">
        <v>39</v>
      </c>
      <c r="G63" t="s">
        <v>40</v>
      </c>
      <c r="H63" t="s">
        <v>41</v>
      </c>
      <c r="I63" t="s">
        <v>43</v>
      </c>
      <c r="J63" t="s">
        <v>42</v>
      </c>
      <c r="K63" t="s">
        <v>45</v>
      </c>
    </row>
    <row r="64" spans="4:20" x14ac:dyDescent="0.2">
      <c r="D64">
        <v>1242</v>
      </c>
      <c r="E64" s="7">
        <v>45772</v>
      </c>
      <c r="F64">
        <v>5195.1035206425595</v>
      </c>
      <c r="G64">
        <v>7369.9982180361203</v>
      </c>
      <c r="H64">
        <f>G64-F64+D64</f>
        <v>3416.8946973935608</v>
      </c>
      <c r="I64">
        <v>0.05</v>
      </c>
      <c r="J64">
        <f>H64*I64*K64</f>
        <v>4271.1183717419517</v>
      </c>
      <c r="K64">
        <v>25</v>
      </c>
    </row>
    <row r="65" spans="5:15" x14ac:dyDescent="0.2">
      <c r="E65" s="7">
        <v>45802</v>
      </c>
      <c r="F65">
        <v>5907.1382972953343</v>
      </c>
      <c r="G65">
        <v>3813.8171728011271</v>
      </c>
      <c r="H65">
        <f>H64+G65-F65</f>
        <v>1323.5735728993532</v>
      </c>
      <c r="I65">
        <v>0.05</v>
      </c>
      <c r="J65">
        <f t="shared" ref="J65:J75" si="14">H65*I65*K65</f>
        <v>1654.4669661241915</v>
      </c>
      <c r="K65">
        <v>25</v>
      </c>
    </row>
    <row r="66" spans="5:15" x14ac:dyDescent="0.2">
      <c r="E66" s="7">
        <v>45833</v>
      </c>
      <c r="F66">
        <v>5625.7573205650187</v>
      </c>
      <c r="G66">
        <v>7432.0540666490888</v>
      </c>
      <c r="H66">
        <f t="shared" ref="H66:H75" si="15">H65+G66-F66</f>
        <v>3129.8703189834232</v>
      </c>
      <c r="I66">
        <v>0.05</v>
      </c>
      <c r="J66">
        <f t="shared" si="14"/>
        <v>3912.3378987292795</v>
      </c>
      <c r="K66">
        <v>25</v>
      </c>
    </row>
    <row r="67" spans="5:15" x14ac:dyDescent="0.2">
      <c r="E67" s="7">
        <v>45863</v>
      </c>
      <c r="F67">
        <v>6433.9826158977739</v>
      </c>
      <c r="G67">
        <v>6258.571845599231</v>
      </c>
      <c r="H67">
        <f t="shared" si="15"/>
        <v>2954.4595486848812</v>
      </c>
      <c r="I67">
        <v>0.05</v>
      </c>
      <c r="J67">
        <f t="shared" si="14"/>
        <v>3693.0744358561014</v>
      </c>
      <c r="K67">
        <v>25</v>
      </c>
    </row>
    <row r="68" spans="5:15" x14ac:dyDescent="0.2">
      <c r="E68" s="7">
        <v>45894</v>
      </c>
      <c r="F68">
        <v>6493.9081133646077</v>
      </c>
      <c r="G68">
        <v>6258.571845599231</v>
      </c>
      <c r="H68">
        <f t="shared" si="15"/>
        <v>2719.1232809195053</v>
      </c>
      <c r="I68">
        <v>0.05</v>
      </c>
      <c r="J68">
        <f t="shared" si="14"/>
        <v>3398.9041011493819</v>
      </c>
      <c r="K68">
        <v>25</v>
      </c>
    </row>
    <row r="69" spans="5:15" x14ac:dyDescent="0.2">
      <c r="E69" s="7">
        <v>45925</v>
      </c>
      <c r="F69">
        <v>6071.2326312903115</v>
      </c>
      <c r="G69">
        <v>4778.7981416454531</v>
      </c>
      <c r="H69">
        <f t="shared" si="15"/>
        <v>1426.688791274647</v>
      </c>
      <c r="I69">
        <v>0.05</v>
      </c>
      <c r="J69">
        <f t="shared" si="14"/>
        <v>1783.3609890933087</v>
      </c>
      <c r="K69">
        <v>25</v>
      </c>
    </row>
    <row r="70" spans="5:15" x14ac:dyDescent="0.2">
      <c r="E70" s="7">
        <v>45955</v>
      </c>
      <c r="F70">
        <v>6403.8158313631438</v>
      </c>
      <c r="G70">
        <v>6810.537494794291</v>
      </c>
      <c r="H70">
        <f t="shared" si="15"/>
        <v>1833.4104547057932</v>
      </c>
      <c r="I70">
        <v>0.05</v>
      </c>
      <c r="J70">
        <f t="shared" si="14"/>
        <v>2291.7630683822417</v>
      </c>
      <c r="K70">
        <v>25</v>
      </c>
    </row>
    <row r="71" spans="5:15" x14ac:dyDescent="0.2">
      <c r="E71" s="7">
        <v>45986</v>
      </c>
      <c r="F71">
        <v>6026.4848889003415</v>
      </c>
      <c r="G71">
        <v>5169.9588819954042</v>
      </c>
      <c r="H71">
        <f t="shared" si="15"/>
        <v>976.88444780085592</v>
      </c>
      <c r="I71">
        <v>0.05</v>
      </c>
      <c r="J71">
        <f t="shared" si="14"/>
        <v>1221.1055597510701</v>
      </c>
      <c r="K71">
        <v>25</v>
      </c>
    </row>
    <row r="72" spans="5:15" x14ac:dyDescent="0.2">
      <c r="E72" s="7">
        <v>46016</v>
      </c>
      <c r="F72">
        <v>4479.7985738060161</v>
      </c>
      <c r="G72">
        <v>4725.1965053637505</v>
      </c>
      <c r="H72">
        <f t="shared" si="15"/>
        <v>1222.2823793585903</v>
      </c>
      <c r="I72">
        <v>0.05</v>
      </c>
      <c r="J72">
        <f t="shared" si="14"/>
        <v>1527.8529741982379</v>
      </c>
      <c r="K72">
        <v>25</v>
      </c>
    </row>
    <row r="73" spans="5:15" x14ac:dyDescent="0.2">
      <c r="E73" s="7">
        <v>46047</v>
      </c>
      <c r="F73">
        <v>4284.164832400751</v>
      </c>
      <c r="G73">
        <v>3151.6199379169921</v>
      </c>
      <c r="H73">
        <f t="shared" si="15"/>
        <v>89.737484874831352</v>
      </c>
      <c r="I73">
        <v>0.05</v>
      </c>
      <c r="J73">
        <f t="shared" si="14"/>
        <v>112.17185609353919</v>
      </c>
      <c r="K73">
        <v>25</v>
      </c>
    </row>
    <row r="74" spans="5:15" x14ac:dyDescent="0.2">
      <c r="E74" s="7">
        <v>46078</v>
      </c>
      <c r="F74">
        <v>3874.8158713185621</v>
      </c>
      <c r="G74">
        <v>3956.2754337342722</v>
      </c>
      <c r="H74">
        <f t="shared" si="15"/>
        <v>171.19704729054138</v>
      </c>
      <c r="I74">
        <v>0.05</v>
      </c>
      <c r="J74">
        <f t="shared" si="14"/>
        <v>213.99630911317672</v>
      </c>
      <c r="K74">
        <v>25</v>
      </c>
      <c r="L74" s="8"/>
      <c r="M74" s="8" t="s">
        <v>33</v>
      </c>
      <c r="N74" s="8" t="s">
        <v>34</v>
      </c>
      <c r="O74" s="8" t="s">
        <v>46</v>
      </c>
    </row>
    <row r="75" spans="5:15" x14ac:dyDescent="0.2">
      <c r="E75" s="7">
        <v>46106</v>
      </c>
      <c r="F75">
        <v>3826.840185484803</v>
      </c>
      <c r="G75">
        <v>3933.9414186168956</v>
      </c>
      <c r="H75">
        <f t="shared" si="15"/>
        <v>278.29828042263443</v>
      </c>
      <c r="I75">
        <v>0.05</v>
      </c>
      <c r="J75">
        <f t="shared" si="14"/>
        <v>347.87285052829304</v>
      </c>
      <c r="K75">
        <v>25</v>
      </c>
      <c r="L75" s="8" t="s">
        <v>55</v>
      </c>
      <c r="M75" s="8">
        <v>890831.11158837902</v>
      </c>
      <c r="N75" s="8">
        <v>659262.465350062</v>
      </c>
      <c r="O75" s="8">
        <f>100*(M75-N75)/M75</f>
        <v>25.994674324454504</v>
      </c>
    </row>
    <row r="76" spans="5:15" x14ac:dyDescent="0.2">
      <c r="I76" t="s">
        <v>42</v>
      </c>
      <c r="J76" s="9">
        <f>SUM(J64:J75)</f>
        <v>24428.025380760777</v>
      </c>
      <c r="L76" s="8" t="s">
        <v>21</v>
      </c>
      <c r="M76" s="8">
        <v>2348425</v>
      </c>
      <c r="N76" s="8">
        <v>2348425</v>
      </c>
      <c r="O76" s="8">
        <f t="shared" ref="O76:O77" si="16">100*(M76-N76)/M76</f>
        <v>0</v>
      </c>
    </row>
    <row r="77" spans="5:15" x14ac:dyDescent="0.2">
      <c r="L77" s="8" t="s">
        <v>42</v>
      </c>
      <c r="M77" s="8">
        <v>24428.025380760777</v>
      </c>
      <c r="N77" s="11">
        <f>J54</f>
        <v>109228.04145268616</v>
      </c>
      <c r="O77" s="8">
        <f t="shared" si="16"/>
        <v>-347.14232833044645</v>
      </c>
    </row>
    <row r="78" spans="5:15" x14ac:dyDescent="0.2">
      <c r="I78" t="s">
        <v>62</v>
      </c>
      <c r="J78">
        <f>J76+J21</f>
        <v>3263684.1369691398</v>
      </c>
      <c r="L78" s="8" t="s">
        <v>29</v>
      </c>
      <c r="M78" s="8">
        <f>SUM(M75:M77)</f>
        <v>3263684.1369691398</v>
      </c>
      <c r="N78" s="8">
        <f>SUM(N75:N77)</f>
        <v>3116915.5068027484</v>
      </c>
      <c r="O78" s="8">
        <f t="shared" ref="O78" si="17">100*(M78-N78)/M78</f>
        <v>4.4970231188698877</v>
      </c>
    </row>
    <row r="80" spans="5:15" x14ac:dyDescent="0.2">
      <c r="M80" t="s">
        <v>33</v>
      </c>
      <c r="N80" t="s">
        <v>34</v>
      </c>
    </row>
    <row r="81" spans="12:16" x14ac:dyDescent="0.2">
      <c r="L81" s="8" t="s">
        <v>74</v>
      </c>
      <c r="M81">
        <f>SUM(M75:M76)</f>
        <v>3239256.1115883789</v>
      </c>
      <c r="N81">
        <f>SUM(N75:N76)</f>
        <v>3007687.4653500621</v>
      </c>
      <c r="O81">
        <f>100*(M81-N81)/M81</f>
        <v>7.1488217745390443</v>
      </c>
      <c r="P81">
        <f>M81-N81</f>
        <v>231568.64623831678</v>
      </c>
    </row>
    <row r="82" spans="12:16" x14ac:dyDescent="0.2">
      <c r="L82" s="8" t="s">
        <v>42</v>
      </c>
      <c r="M82">
        <f>100*M77/M81</f>
        <v>0.75412454400780371</v>
      </c>
      <c r="N82">
        <f>ABS(O77)*M82</f>
        <v>261.78855005800523</v>
      </c>
    </row>
    <row r="86" spans="12:16" x14ac:dyDescent="0.2">
      <c r="M86" t="s">
        <v>33</v>
      </c>
      <c r="N86" t="s">
        <v>34</v>
      </c>
    </row>
    <row r="87" spans="12:16" x14ac:dyDescent="0.2">
      <c r="L87" t="s">
        <v>50</v>
      </c>
      <c r="M87">
        <v>3276</v>
      </c>
      <c r="N87">
        <f>M87*(100-O81)/100</f>
        <v>3041.8045986661004</v>
      </c>
      <c r="O87">
        <f>M87-N87</f>
        <v>234.19540133389955</v>
      </c>
    </row>
    <row r="88" spans="12:16" x14ac:dyDescent="0.2">
      <c r="L88" t="s">
        <v>57</v>
      </c>
      <c r="M88">
        <f>M87*M82/100</f>
        <v>24.705120061695649</v>
      </c>
      <c r="N88">
        <f>M88*(100+ABS(O77))/100</f>
        <v>110.46704906069816</v>
      </c>
      <c r="O88">
        <f>M88-N88</f>
        <v>-85.761928999002507</v>
      </c>
    </row>
    <row r="89" spans="12:16" x14ac:dyDescent="0.2">
      <c r="L89" t="s">
        <v>75</v>
      </c>
      <c r="M89">
        <v>0</v>
      </c>
      <c r="N89">
        <v>0</v>
      </c>
    </row>
    <row r="90" spans="12:16" x14ac:dyDescent="0.2">
      <c r="M90">
        <f>SUM(M87:M88)</f>
        <v>3300.7051200616957</v>
      </c>
      <c r="N90">
        <f>SUM(N87:N88)</f>
        <v>3152.2716477267986</v>
      </c>
      <c r="O90">
        <f>SUM(O87:O89)</f>
        <v>148.43347233489703</v>
      </c>
    </row>
    <row r="92" spans="12:16" x14ac:dyDescent="0.2">
      <c r="M92">
        <f>M90-N90</f>
        <v>148.43347233489703</v>
      </c>
    </row>
  </sheetData>
  <mergeCells count="1">
    <mergeCell ref="H2:H3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29EF5-E5D7-1E46-A94E-F3C5D2281BB2}">
  <dimension ref="B2:U220"/>
  <sheetViews>
    <sheetView zoomScaleNormal="100" workbookViewId="0">
      <selection activeCell="I64" sqref="I64"/>
    </sheetView>
  </sheetViews>
  <sheetFormatPr baseColWidth="10" defaultColWidth="13.5" defaultRowHeight="15" x14ac:dyDescent="0.2"/>
  <cols>
    <col min="3" max="3" width="10.6640625" customWidth="1"/>
    <col min="4" max="4" width="9" customWidth="1"/>
    <col min="7" max="7" width="14.83203125" customWidth="1"/>
    <col min="8" max="8" width="16.5" customWidth="1"/>
  </cols>
  <sheetData>
    <row r="2" spans="2:18" x14ac:dyDescent="0.2">
      <c r="B2" s="9" t="s">
        <v>33</v>
      </c>
    </row>
    <row r="3" spans="2:18" s="15" customFormat="1" ht="32" x14ac:dyDescent="0.2">
      <c r="B3" s="15" t="s">
        <v>54</v>
      </c>
      <c r="C3" s="15" t="s">
        <v>88</v>
      </c>
      <c r="D3" s="15" t="s">
        <v>81</v>
      </c>
      <c r="E3" s="15" t="s">
        <v>89</v>
      </c>
      <c r="F3" s="15" t="s">
        <v>30</v>
      </c>
      <c r="G3" s="15" t="s">
        <v>31</v>
      </c>
      <c r="H3" s="15" t="s">
        <v>80</v>
      </c>
      <c r="I3" s="15" t="s">
        <v>24</v>
      </c>
      <c r="J3" s="15" t="s">
        <v>21</v>
      </c>
      <c r="K3" s="15" t="s">
        <v>22</v>
      </c>
      <c r="L3" s="15" t="s">
        <v>29</v>
      </c>
    </row>
    <row r="4" spans="2:18" x14ac:dyDescent="0.2">
      <c r="B4" s="14">
        <v>45748</v>
      </c>
      <c r="C4">
        <v>504</v>
      </c>
      <c r="D4" s="8">
        <v>35</v>
      </c>
      <c r="E4">
        <f>C4*1000/D4</f>
        <v>14400</v>
      </c>
      <c r="F4">
        <v>1.5288157894736842</v>
      </c>
      <c r="G4">
        <v>1.4112105263157895</v>
      </c>
      <c r="H4" s="16">
        <v>4886.8312757201647</v>
      </c>
      <c r="I4">
        <f>E4-H4</f>
        <v>9513.1687242798362</v>
      </c>
      <c r="J4">
        <f>F4*H4</f>
        <v>7471.0648148148148</v>
      </c>
      <c r="K4">
        <f>G4*I4</f>
        <v>13425.083842321856</v>
      </c>
      <c r="L4">
        <f>SUM(J4:K4)</f>
        <v>20896.148657136669</v>
      </c>
    </row>
    <row r="5" spans="2:18" x14ac:dyDescent="0.2">
      <c r="B5" s="14">
        <v>45778</v>
      </c>
      <c r="C5">
        <v>261</v>
      </c>
      <c r="D5" s="8">
        <v>35</v>
      </c>
      <c r="E5">
        <f t="shared" ref="E5:E15" si="0">C5*1000/D5</f>
        <v>7457.1428571428569</v>
      </c>
      <c r="F5">
        <v>1.5806907894736841</v>
      </c>
      <c r="G5">
        <v>0</v>
      </c>
      <c r="H5" s="16">
        <v>4886.8312757201647</v>
      </c>
      <c r="I5">
        <f t="shared" ref="I5:I15" si="1">E5-H5</f>
        <v>2570.3115814226921</v>
      </c>
      <c r="J5">
        <f t="shared" ref="J5:J15" si="2">F5*H5</f>
        <v>7724.5691872427979</v>
      </c>
      <c r="K5">
        <f t="shared" ref="K5:K15" si="3">G5*I5</f>
        <v>0</v>
      </c>
      <c r="L5">
        <f t="shared" ref="L5:L16" si="4">SUM(J5:K5)</f>
        <v>7724.5691872427979</v>
      </c>
    </row>
    <row r="6" spans="2:18" x14ac:dyDescent="0.2">
      <c r="B6" s="14">
        <v>45809</v>
      </c>
      <c r="C6">
        <v>508</v>
      </c>
      <c r="D6" s="8">
        <v>35</v>
      </c>
      <c r="E6">
        <f t="shared" si="0"/>
        <v>14514.285714285714</v>
      </c>
      <c r="F6">
        <v>1.6237697368421053</v>
      </c>
      <c r="G6">
        <v>1.4613947368421052</v>
      </c>
      <c r="H6" s="16">
        <v>4886.8312757201647</v>
      </c>
      <c r="I6">
        <f t="shared" si="1"/>
        <v>9627.4544385655499</v>
      </c>
      <c r="J6">
        <f t="shared" si="2"/>
        <v>7935.0887345679021</v>
      </c>
      <c r="K6">
        <f t="shared" si="3"/>
        <v>14069.511245706859</v>
      </c>
      <c r="L6">
        <f t="shared" si="4"/>
        <v>22004.599980274761</v>
      </c>
    </row>
    <row r="7" spans="2:18" x14ac:dyDescent="0.2">
      <c r="B7" s="14">
        <v>45839</v>
      </c>
      <c r="C7">
        <v>428</v>
      </c>
      <c r="D7" s="8">
        <v>35</v>
      </c>
      <c r="E7">
        <f t="shared" si="0"/>
        <v>12228.571428571429</v>
      </c>
      <c r="F7">
        <v>1.6237697368421053</v>
      </c>
      <c r="G7">
        <v>0.97426315789473683</v>
      </c>
      <c r="H7" s="16">
        <v>4886.8312757201647</v>
      </c>
      <c r="I7">
        <f t="shared" si="1"/>
        <v>7341.7401528512646</v>
      </c>
      <c r="J7">
        <f t="shared" si="2"/>
        <v>7935.0887345679021</v>
      </c>
      <c r="K7">
        <f t="shared" si="3"/>
        <v>7152.7869457594607</v>
      </c>
      <c r="L7">
        <f t="shared" si="4"/>
        <v>15087.875680327363</v>
      </c>
    </row>
    <row r="8" spans="2:18" x14ac:dyDescent="0.2">
      <c r="B8" s="14">
        <v>45870</v>
      </c>
      <c r="C8">
        <v>428</v>
      </c>
      <c r="D8" s="8">
        <v>35</v>
      </c>
      <c r="E8">
        <f t="shared" si="0"/>
        <v>12228.571428571429</v>
      </c>
      <c r="F8">
        <v>1.6237697368421053</v>
      </c>
      <c r="G8">
        <v>0.97426315789473683</v>
      </c>
      <c r="H8" s="16">
        <v>4886.8312757201647</v>
      </c>
      <c r="I8">
        <f t="shared" si="1"/>
        <v>7341.7401528512646</v>
      </c>
      <c r="J8">
        <f t="shared" si="2"/>
        <v>7935.0887345679021</v>
      </c>
      <c r="K8">
        <f t="shared" si="3"/>
        <v>7152.7869457594607</v>
      </c>
      <c r="L8">
        <f t="shared" si="4"/>
        <v>15087.875680327363</v>
      </c>
    </row>
    <row r="9" spans="2:18" x14ac:dyDescent="0.2">
      <c r="B9" s="14">
        <v>45901</v>
      </c>
      <c r="C9">
        <v>327</v>
      </c>
      <c r="D9" s="8">
        <v>35</v>
      </c>
      <c r="E9">
        <f t="shared" si="0"/>
        <v>9342.8571428571431</v>
      </c>
      <c r="F9">
        <v>1.6237697368421053</v>
      </c>
      <c r="G9">
        <v>0.32475657894736842</v>
      </c>
      <c r="H9" s="16">
        <v>4886.8312757201647</v>
      </c>
      <c r="I9">
        <f t="shared" si="1"/>
        <v>4456.0258671369784</v>
      </c>
      <c r="J9">
        <f t="shared" si="2"/>
        <v>7935.0887345679021</v>
      </c>
      <c r="K9">
        <f t="shared" si="3"/>
        <v>1447.123716312386</v>
      </c>
      <c r="L9">
        <f t="shared" si="4"/>
        <v>9382.2124508802881</v>
      </c>
    </row>
    <row r="10" spans="2:18" x14ac:dyDescent="0.2">
      <c r="B10" s="14">
        <v>45931</v>
      </c>
      <c r="C10">
        <v>466</v>
      </c>
      <c r="D10" s="8">
        <v>35</v>
      </c>
      <c r="E10">
        <f t="shared" si="0"/>
        <v>13314.285714285714</v>
      </c>
      <c r="F10">
        <v>1.7219534883720931</v>
      </c>
      <c r="G10">
        <v>1.7219534883720931</v>
      </c>
      <c r="H10" s="16">
        <v>2767.3611111111113</v>
      </c>
      <c r="I10">
        <f t="shared" si="1"/>
        <v>10546.924603174602</v>
      </c>
      <c r="J10">
        <f t="shared" si="2"/>
        <v>4765.2671188630493</v>
      </c>
      <c r="K10">
        <f t="shared" si="3"/>
        <v>18161.313612033959</v>
      </c>
      <c r="L10">
        <f t="shared" si="4"/>
        <v>22926.580730897007</v>
      </c>
    </row>
    <row r="11" spans="2:18" x14ac:dyDescent="0.2">
      <c r="B11" s="14">
        <v>45962</v>
      </c>
      <c r="C11">
        <v>354</v>
      </c>
      <c r="D11" s="8">
        <v>35</v>
      </c>
      <c r="E11">
        <f t="shared" si="0"/>
        <v>10114.285714285714</v>
      </c>
      <c r="F11">
        <v>1.720433105627585</v>
      </c>
      <c r="G11">
        <v>1.720433105627585</v>
      </c>
      <c r="H11" s="16">
        <v>2767.3611111111113</v>
      </c>
      <c r="I11">
        <f t="shared" si="1"/>
        <v>7346.9246031746025</v>
      </c>
      <c r="J11">
        <f t="shared" si="2"/>
        <v>4761.0596707818931</v>
      </c>
      <c r="K11">
        <f t="shared" si="3"/>
        <v>12639.892311851394</v>
      </c>
      <c r="L11">
        <f t="shared" si="4"/>
        <v>17400.951982633287</v>
      </c>
      <c r="P11" t="s">
        <v>33</v>
      </c>
      <c r="Q11" t="s">
        <v>82</v>
      </c>
      <c r="R11" t="s">
        <v>46</v>
      </c>
    </row>
    <row r="12" spans="2:18" x14ac:dyDescent="0.2">
      <c r="B12" s="14">
        <v>45992</v>
      </c>
      <c r="C12">
        <v>323</v>
      </c>
      <c r="D12" s="8">
        <v>35</v>
      </c>
      <c r="E12">
        <f t="shared" si="0"/>
        <v>9228.5714285714294</v>
      </c>
      <c r="F12">
        <v>1.720433105627585</v>
      </c>
      <c r="G12">
        <v>2.2939030624099632</v>
      </c>
      <c r="H12" s="16">
        <v>2767.3611111111113</v>
      </c>
      <c r="I12">
        <f t="shared" si="1"/>
        <v>6461.210317460318</v>
      </c>
      <c r="J12">
        <f t="shared" si="2"/>
        <v>4761.0596707818931</v>
      </c>
      <c r="K12">
        <f t="shared" si="3"/>
        <v>14821.390134097073</v>
      </c>
      <c r="L12">
        <f t="shared" si="4"/>
        <v>19582.449804878968</v>
      </c>
      <c r="O12" t="s">
        <v>21</v>
      </c>
      <c r="P12">
        <f>J16</f>
        <v>75506.554413101723</v>
      </c>
      <c r="Q12">
        <f>J34</f>
        <v>75506.554413101723</v>
      </c>
      <c r="R12">
        <f>100*(P12- Q12)/P12</f>
        <v>0</v>
      </c>
    </row>
    <row r="13" spans="2:18" x14ac:dyDescent="0.2">
      <c r="B13" s="14">
        <v>46023</v>
      </c>
      <c r="C13">
        <v>216</v>
      </c>
      <c r="D13" s="8">
        <v>35</v>
      </c>
      <c r="E13">
        <f t="shared" si="0"/>
        <v>6171.4285714285716</v>
      </c>
      <c r="F13">
        <v>1.720433105627585</v>
      </c>
      <c r="G13">
        <v>0.28673497839118917</v>
      </c>
      <c r="H13" s="16">
        <v>2767.3611111111113</v>
      </c>
      <c r="I13">
        <f t="shared" si="1"/>
        <v>3404.0674603174602</v>
      </c>
      <c r="J13">
        <f t="shared" si="2"/>
        <v>4761.0596707818931</v>
      </c>
      <c r="K13">
        <f t="shared" si="3"/>
        <v>976.06520967627716</v>
      </c>
      <c r="L13">
        <f t="shared" si="4"/>
        <v>5737.1248804581701</v>
      </c>
      <c r="O13" t="s">
        <v>22</v>
      </c>
      <c r="P13">
        <f>K16</f>
        <v>102620.3682074003</v>
      </c>
      <c r="Q13">
        <f>K34</f>
        <v>85276.177865653677</v>
      </c>
      <c r="R13">
        <f t="shared" ref="R13:R16" si="5">100*(P13- Q13)/P13</f>
        <v>16.901313691150715</v>
      </c>
    </row>
    <row r="14" spans="2:18" x14ac:dyDescent="0.2">
      <c r="B14" s="14">
        <v>46054</v>
      </c>
      <c r="C14">
        <v>271</v>
      </c>
      <c r="D14" s="8">
        <v>35</v>
      </c>
      <c r="E14">
        <f t="shared" si="0"/>
        <v>7742.8571428571431</v>
      </c>
      <c r="F14">
        <v>1.720433105627585</v>
      </c>
      <c r="G14">
        <v>1.4336865095961708</v>
      </c>
      <c r="H14" s="16">
        <v>2767.3611111111113</v>
      </c>
      <c r="I14">
        <f t="shared" si="1"/>
        <v>4975.4960317460318</v>
      </c>
      <c r="J14">
        <f t="shared" si="2"/>
        <v>4761.0596707818931</v>
      </c>
      <c r="K14">
        <f t="shared" si="3"/>
        <v>7133.3015392635671</v>
      </c>
      <c r="L14">
        <f t="shared" si="4"/>
        <v>11894.361210045459</v>
      </c>
      <c r="O14" t="s">
        <v>42</v>
      </c>
      <c r="P14">
        <f>L51</f>
        <v>1975.7142857142853</v>
      </c>
      <c r="Q14">
        <f>M51</f>
        <v>6454.4991666666583</v>
      </c>
      <c r="R14">
        <f t="shared" si="5"/>
        <v>-226.69193179079261</v>
      </c>
    </row>
    <row r="15" spans="2:18" x14ac:dyDescent="0.2">
      <c r="B15" s="14">
        <v>46082</v>
      </c>
      <c r="C15">
        <v>269</v>
      </c>
      <c r="D15" s="8">
        <v>35</v>
      </c>
      <c r="E15">
        <f t="shared" si="0"/>
        <v>7685.7142857142853</v>
      </c>
      <c r="F15">
        <v>1.720433105627585</v>
      </c>
      <c r="G15">
        <v>1.1469515312049816</v>
      </c>
      <c r="H15" s="16">
        <v>2767.3611111111113</v>
      </c>
      <c r="I15">
        <f t="shared" si="1"/>
        <v>4918.353174603174</v>
      </c>
      <c r="J15">
        <f t="shared" si="2"/>
        <v>4761.0596707818931</v>
      </c>
      <c r="K15">
        <f t="shared" si="3"/>
        <v>5641.1127046179927</v>
      </c>
      <c r="L15">
        <f t="shared" si="4"/>
        <v>10402.172375399885</v>
      </c>
      <c r="O15" t="s">
        <v>83</v>
      </c>
      <c r="P15">
        <v>0</v>
      </c>
      <c r="Q15">
        <v>0</v>
      </c>
      <c r="R15">
        <v>0</v>
      </c>
    </row>
    <row r="16" spans="2:18" x14ac:dyDescent="0.2">
      <c r="I16" t="s">
        <v>16</v>
      </c>
      <c r="J16">
        <f>SUM(J4:J15)</f>
        <v>75506.554413101723</v>
      </c>
      <c r="K16">
        <f>SUM(K4:K15)</f>
        <v>102620.3682074003</v>
      </c>
      <c r="L16">
        <f t="shared" si="4"/>
        <v>178126.92262050201</v>
      </c>
      <c r="O16" s="9" t="s">
        <v>29</v>
      </c>
      <c r="P16">
        <f>SUM(P12:P15)</f>
        <v>180102.6369062163</v>
      </c>
      <c r="Q16">
        <f>SUM(Q12:Q15)</f>
        <v>167237.23144542205</v>
      </c>
      <c r="R16">
        <f t="shared" si="5"/>
        <v>7.1433742902351689</v>
      </c>
    </row>
    <row r="20" spans="2:17" x14ac:dyDescent="0.2">
      <c r="B20" s="9" t="s">
        <v>82</v>
      </c>
      <c r="P20">
        <f>SUM(P12:P13)</f>
        <v>178126.92262050201</v>
      </c>
      <c r="Q20">
        <f>SUM(Q12:Q13)</f>
        <v>160782.7322787554</v>
      </c>
    </row>
    <row r="21" spans="2:17" ht="32" x14ac:dyDescent="0.2">
      <c r="B21" s="15" t="s">
        <v>54</v>
      </c>
      <c r="C21" s="15" t="s">
        <v>88</v>
      </c>
      <c r="D21" s="15" t="s">
        <v>81</v>
      </c>
      <c r="E21" s="15" t="s">
        <v>89</v>
      </c>
      <c r="F21" s="15" t="s">
        <v>30</v>
      </c>
      <c r="G21" s="15" t="s">
        <v>31</v>
      </c>
      <c r="H21" s="15" t="s">
        <v>80</v>
      </c>
      <c r="I21" s="15" t="s">
        <v>24</v>
      </c>
      <c r="J21" s="15" t="s">
        <v>21</v>
      </c>
      <c r="K21" s="15" t="s">
        <v>22</v>
      </c>
      <c r="L21" s="15" t="s">
        <v>29</v>
      </c>
      <c r="M21" s="15" t="s">
        <v>90</v>
      </c>
    </row>
    <row r="22" spans="2:17" x14ac:dyDescent="0.2">
      <c r="B22" s="14">
        <v>45748</v>
      </c>
      <c r="C22">
        <v>504</v>
      </c>
      <c r="D22" s="8">
        <v>35</v>
      </c>
      <c r="E22">
        <f>C22*1000/D22</f>
        <v>14400</v>
      </c>
      <c r="F22">
        <v>1.5288157894736842</v>
      </c>
      <c r="G22">
        <v>1.4112105263157895</v>
      </c>
      <c r="H22" s="16">
        <v>4886.8312757201647</v>
      </c>
      <c r="I22" s="18">
        <f>E22-H22</f>
        <v>9513.1687242798362</v>
      </c>
      <c r="J22">
        <f>F22*H22</f>
        <v>7471.0648148148148</v>
      </c>
      <c r="K22">
        <f>G22*I22</f>
        <v>13425.083842321856</v>
      </c>
      <c r="L22">
        <f>SUM(J22:K22)</f>
        <v>20896.148657136669</v>
      </c>
      <c r="M22" s="16">
        <f>SUM(H22:I22)</f>
        <v>14400</v>
      </c>
    </row>
    <row r="23" spans="2:17" x14ac:dyDescent="0.2">
      <c r="B23" s="14">
        <v>45778</v>
      </c>
      <c r="C23">
        <v>261</v>
      </c>
      <c r="D23" s="8">
        <v>35</v>
      </c>
      <c r="E23">
        <f t="shared" ref="E23:E33" si="6">C23*1000/D23</f>
        <v>7457.1428571428569</v>
      </c>
      <c r="F23">
        <v>1.5806907894736841</v>
      </c>
      <c r="G23">
        <v>0</v>
      </c>
      <c r="H23" s="16">
        <v>4886.8312757201647</v>
      </c>
      <c r="I23" s="18">
        <f t="shared" ref="I23:I25" si="7">E23-H23</f>
        <v>2570.3115814226921</v>
      </c>
      <c r="J23">
        <f t="shared" ref="J23:J33" si="8">F23*H23</f>
        <v>7724.5691872427979</v>
      </c>
      <c r="K23">
        <f t="shared" ref="K23:K33" si="9">G23*I23</f>
        <v>0</v>
      </c>
      <c r="L23">
        <f t="shared" ref="L23:L34" si="10">SUM(J23:K23)</f>
        <v>7724.5691872427979</v>
      </c>
      <c r="M23" s="16">
        <f t="shared" ref="M23:M33" si="11">SUM(H23:I23)</f>
        <v>7457.1428571428569</v>
      </c>
    </row>
    <row r="24" spans="2:17" x14ac:dyDescent="0.2">
      <c r="B24" s="14">
        <v>45809</v>
      </c>
      <c r="C24">
        <v>508</v>
      </c>
      <c r="D24" s="8">
        <v>35</v>
      </c>
      <c r="E24">
        <f t="shared" si="6"/>
        <v>14514.285714285714</v>
      </c>
      <c r="F24">
        <v>1.6237697368421053</v>
      </c>
      <c r="G24">
        <v>1.4613947368421052</v>
      </c>
      <c r="H24" s="16">
        <v>4886.8312757201647</v>
      </c>
      <c r="I24" s="18">
        <f t="shared" si="7"/>
        <v>9627.4544385655499</v>
      </c>
      <c r="J24">
        <f t="shared" si="8"/>
        <v>7935.0887345679021</v>
      </c>
      <c r="K24">
        <f t="shared" si="9"/>
        <v>14069.511245706859</v>
      </c>
      <c r="L24">
        <f t="shared" si="10"/>
        <v>22004.599980274761</v>
      </c>
      <c r="M24" s="16">
        <f t="shared" si="11"/>
        <v>14514.285714285714</v>
      </c>
    </row>
    <row r="25" spans="2:17" x14ac:dyDescent="0.2">
      <c r="B25" s="14">
        <v>45839</v>
      </c>
      <c r="C25">
        <v>428</v>
      </c>
      <c r="D25" s="8">
        <v>35</v>
      </c>
      <c r="E25">
        <f t="shared" si="6"/>
        <v>12228.571428571429</v>
      </c>
      <c r="F25">
        <v>1.6237697368421053</v>
      </c>
      <c r="G25">
        <v>0.97426315789473683</v>
      </c>
      <c r="H25" s="16">
        <v>4886.8312757201647</v>
      </c>
      <c r="I25" s="18">
        <f t="shared" si="7"/>
        <v>7341.7401528512646</v>
      </c>
      <c r="J25">
        <f t="shared" si="8"/>
        <v>7935.0887345679021</v>
      </c>
      <c r="K25">
        <f t="shared" si="9"/>
        <v>7152.7869457594607</v>
      </c>
      <c r="L25">
        <f t="shared" si="10"/>
        <v>15087.875680327363</v>
      </c>
      <c r="M25" s="16">
        <f t="shared" si="11"/>
        <v>12228.571428571429</v>
      </c>
    </row>
    <row r="26" spans="2:17" x14ac:dyDescent="0.2">
      <c r="B26" s="14">
        <v>45870</v>
      </c>
      <c r="C26">
        <v>428</v>
      </c>
      <c r="D26" s="8">
        <v>35</v>
      </c>
      <c r="E26">
        <f t="shared" si="6"/>
        <v>12228.571428571429</v>
      </c>
      <c r="F26">
        <v>1.6237697368421053</v>
      </c>
      <c r="G26">
        <v>0.97426315789473683</v>
      </c>
      <c r="H26" s="16">
        <v>4886.8312757201647</v>
      </c>
      <c r="I26" s="18">
        <v>15000</v>
      </c>
      <c r="J26">
        <f t="shared" si="8"/>
        <v>7935.0887345679021</v>
      </c>
      <c r="K26">
        <f t="shared" si="9"/>
        <v>14613.947368421052</v>
      </c>
      <c r="L26">
        <f t="shared" si="10"/>
        <v>22549.036102988954</v>
      </c>
      <c r="M26" s="16">
        <f t="shared" si="11"/>
        <v>19886.831275720164</v>
      </c>
    </row>
    <row r="27" spans="2:17" x14ac:dyDescent="0.2">
      <c r="B27" s="14">
        <v>45901</v>
      </c>
      <c r="C27">
        <v>327</v>
      </c>
      <c r="D27" s="8">
        <v>35</v>
      </c>
      <c r="E27">
        <f t="shared" si="6"/>
        <v>9342.8571428571431</v>
      </c>
      <c r="F27">
        <v>1.6237697368421053</v>
      </c>
      <c r="G27">
        <v>0.32475657894736842</v>
      </c>
      <c r="H27" s="16">
        <v>4886.8312757201647</v>
      </c>
      <c r="I27" s="18">
        <v>15000</v>
      </c>
      <c r="J27">
        <f t="shared" si="8"/>
        <v>7935.0887345679021</v>
      </c>
      <c r="K27">
        <f t="shared" si="9"/>
        <v>4871.3486842105267</v>
      </c>
      <c r="L27">
        <f t="shared" si="10"/>
        <v>12806.437418778429</v>
      </c>
      <c r="M27" s="16">
        <f t="shared" si="11"/>
        <v>19886.831275720164</v>
      </c>
    </row>
    <row r="28" spans="2:17" x14ac:dyDescent="0.2">
      <c r="B28" s="14">
        <v>45931</v>
      </c>
      <c r="C28">
        <v>466</v>
      </c>
      <c r="D28" s="8">
        <v>35</v>
      </c>
      <c r="E28">
        <f t="shared" si="6"/>
        <v>13314.285714285714</v>
      </c>
      <c r="F28">
        <v>1.7219534883720931</v>
      </c>
      <c r="G28">
        <v>1.7219534883720931</v>
      </c>
      <c r="H28" s="16">
        <v>2767.3611111111113</v>
      </c>
      <c r="I28" s="18">
        <v>15000</v>
      </c>
      <c r="J28">
        <f t="shared" si="8"/>
        <v>4765.2671188630493</v>
      </c>
      <c r="K28">
        <f t="shared" si="9"/>
        <v>25829.302325581397</v>
      </c>
      <c r="L28">
        <f t="shared" si="10"/>
        <v>30594.569444444445</v>
      </c>
      <c r="M28" s="16">
        <f t="shared" si="11"/>
        <v>17767.361111111109</v>
      </c>
    </row>
    <row r="29" spans="2:17" x14ac:dyDescent="0.2">
      <c r="B29" s="14">
        <v>45962</v>
      </c>
      <c r="C29">
        <v>354</v>
      </c>
      <c r="D29" s="8">
        <v>35</v>
      </c>
      <c r="E29">
        <f t="shared" si="6"/>
        <v>10114.285714285714</v>
      </c>
      <c r="F29">
        <v>1.720433105627585</v>
      </c>
      <c r="G29">
        <v>1.720433105627585</v>
      </c>
      <c r="H29" s="16">
        <v>2767.3611111111113</v>
      </c>
      <c r="I29" s="18">
        <v>3088.8718871251899</v>
      </c>
      <c r="J29">
        <f>F29*H29</f>
        <v>4761.0596707818931</v>
      </c>
      <c r="K29">
        <f t="shared" si="9"/>
        <v>5314.1974536525295</v>
      </c>
      <c r="L29">
        <f t="shared" si="10"/>
        <v>10075.257124434422</v>
      </c>
      <c r="M29" s="16">
        <f t="shared" si="11"/>
        <v>5856.2329982363008</v>
      </c>
    </row>
    <row r="30" spans="2:17" x14ac:dyDescent="0.2">
      <c r="B30" s="14">
        <v>45992</v>
      </c>
      <c r="C30">
        <v>323</v>
      </c>
      <c r="D30" s="8">
        <v>35</v>
      </c>
      <c r="E30">
        <f t="shared" si="6"/>
        <v>9228.5714285714294</v>
      </c>
      <c r="F30">
        <v>1.720433105627585</v>
      </c>
      <c r="G30">
        <v>2.2939030624099632</v>
      </c>
      <c r="H30" s="16">
        <v>2767.3611111111113</v>
      </c>
      <c r="I30" s="18">
        <v>0</v>
      </c>
      <c r="J30">
        <f t="shared" si="8"/>
        <v>4761.0596707818931</v>
      </c>
      <c r="K30">
        <f t="shared" si="9"/>
        <v>0</v>
      </c>
      <c r="L30">
        <f t="shared" si="10"/>
        <v>4761.0596707818931</v>
      </c>
      <c r="M30" s="16">
        <f t="shared" si="11"/>
        <v>2767.3611111111113</v>
      </c>
    </row>
    <row r="31" spans="2:17" x14ac:dyDescent="0.2">
      <c r="B31" s="14">
        <v>46023</v>
      </c>
      <c r="C31">
        <v>216</v>
      </c>
      <c r="D31" s="8">
        <v>35</v>
      </c>
      <c r="E31">
        <f t="shared" si="6"/>
        <v>6171.4285714285716</v>
      </c>
      <c r="F31">
        <v>1.720433105627585</v>
      </c>
      <c r="G31">
        <v>0.28673497839118917</v>
      </c>
      <c r="H31" s="16">
        <v>2767.3611111111113</v>
      </c>
      <c r="I31" s="18">
        <v>0</v>
      </c>
      <c r="J31">
        <f t="shared" si="8"/>
        <v>4761.0596707818931</v>
      </c>
      <c r="K31">
        <f t="shared" si="9"/>
        <v>0</v>
      </c>
      <c r="L31">
        <f t="shared" si="10"/>
        <v>4761.0596707818931</v>
      </c>
      <c r="M31" s="16">
        <f t="shared" si="11"/>
        <v>2767.3611111111113</v>
      </c>
    </row>
    <row r="32" spans="2:17" x14ac:dyDescent="0.2">
      <c r="B32" s="14">
        <v>46054</v>
      </c>
      <c r="C32">
        <v>271</v>
      </c>
      <c r="D32" s="8">
        <v>35</v>
      </c>
      <c r="E32">
        <f t="shared" si="6"/>
        <v>7742.8571428571431</v>
      </c>
      <c r="F32">
        <v>1.720433105627585</v>
      </c>
      <c r="G32">
        <v>1.4336865095961708</v>
      </c>
      <c r="H32" s="16">
        <v>2767.3611111111113</v>
      </c>
      <c r="I32" s="18">
        <v>0</v>
      </c>
      <c r="J32">
        <f t="shared" si="8"/>
        <v>4761.0596707818931</v>
      </c>
      <c r="K32">
        <f t="shared" si="9"/>
        <v>0</v>
      </c>
      <c r="L32">
        <f t="shared" si="10"/>
        <v>4761.0596707818931</v>
      </c>
      <c r="M32" s="16">
        <f t="shared" si="11"/>
        <v>2767.3611111111113</v>
      </c>
    </row>
    <row r="33" spans="2:18" x14ac:dyDescent="0.2">
      <c r="B33" s="14">
        <v>46082</v>
      </c>
      <c r="C33">
        <v>269</v>
      </c>
      <c r="D33" s="8">
        <v>35</v>
      </c>
      <c r="E33">
        <f t="shared" si="6"/>
        <v>7685.7142857142853</v>
      </c>
      <c r="F33">
        <v>1.720433105627585</v>
      </c>
      <c r="G33">
        <v>1.1469515312049816</v>
      </c>
      <c r="H33" s="16">
        <v>2767.3611111111113</v>
      </c>
      <c r="I33" s="18">
        <v>0</v>
      </c>
      <c r="J33">
        <f t="shared" si="8"/>
        <v>4761.0596707818931</v>
      </c>
      <c r="K33">
        <f t="shared" si="9"/>
        <v>0</v>
      </c>
      <c r="L33">
        <f t="shared" si="10"/>
        <v>4761.0596707818931</v>
      </c>
      <c r="M33" s="16">
        <f t="shared" si="11"/>
        <v>2767.3611111111113</v>
      </c>
    </row>
    <row r="34" spans="2:18" x14ac:dyDescent="0.2">
      <c r="I34" t="s">
        <v>16</v>
      </c>
      <c r="J34">
        <f>SUM(J22:J33)</f>
        <v>75506.554413101723</v>
      </c>
      <c r="K34">
        <f>SUM(K22:K33)</f>
        <v>85276.177865653677</v>
      </c>
      <c r="L34">
        <f t="shared" si="10"/>
        <v>160782.7322787554</v>
      </c>
    </row>
    <row r="37" spans="2:18" x14ac:dyDescent="0.2">
      <c r="E37" s="9" t="s">
        <v>33</v>
      </c>
    </row>
    <row r="38" spans="2:18" ht="32" x14ac:dyDescent="0.2">
      <c r="B38" s="15" t="s">
        <v>79</v>
      </c>
      <c r="C38" s="15" t="s">
        <v>81</v>
      </c>
      <c r="D38" s="15"/>
      <c r="E38" s="15" t="s">
        <v>41</v>
      </c>
      <c r="F38" s="15" t="s">
        <v>54</v>
      </c>
      <c r="G38" s="15" t="s">
        <v>39</v>
      </c>
      <c r="H38" s="15" t="s">
        <v>84</v>
      </c>
      <c r="I38" s="15" t="s">
        <v>85</v>
      </c>
      <c r="J38" s="15" t="s">
        <v>86</v>
      </c>
      <c r="K38" s="15" t="s">
        <v>87</v>
      </c>
      <c r="L38" s="15" t="s">
        <v>91</v>
      </c>
      <c r="M38" s="15" t="s">
        <v>92</v>
      </c>
      <c r="O38" s="18" t="s">
        <v>97</v>
      </c>
      <c r="P38" t="s">
        <v>33</v>
      </c>
      <c r="Q38" t="s">
        <v>82</v>
      </c>
      <c r="R38" t="s">
        <v>46</v>
      </c>
    </row>
    <row r="39" spans="2:18" ht="16" x14ac:dyDescent="0.2">
      <c r="B39" s="17">
        <v>361</v>
      </c>
      <c r="C39" s="8">
        <v>35</v>
      </c>
      <c r="E39">
        <v>1000</v>
      </c>
      <c r="F39" s="14">
        <v>45748</v>
      </c>
      <c r="G39">
        <f>B39*1000/C39</f>
        <v>10314.285714285714</v>
      </c>
      <c r="H39" s="16">
        <f>SUM(H4:I4)</f>
        <v>14400</v>
      </c>
      <c r="I39" s="16">
        <f>H39-G39+E39</f>
        <v>5085.7142857142862</v>
      </c>
      <c r="J39" s="18">
        <v>14400</v>
      </c>
      <c r="K39">
        <f>E39+J39-G39</f>
        <v>5085.7142857142862</v>
      </c>
      <c r="L39">
        <f>I39*0.05</f>
        <v>254.28571428571433</v>
      </c>
      <c r="M39">
        <f>K39*0.05</f>
        <v>254.28571428571433</v>
      </c>
      <c r="O39" t="s">
        <v>21</v>
      </c>
      <c r="P39">
        <v>75506.554413101723</v>
      </c>
      <c r="Q39">
        <f>J70</f>
        <v>75506.554413101723</v>
      </c>
    </row>
    <row r="40" spans="2:18" ht="16" x14ac:dyDescent="0.2">
      <c r="B40" s="17">
        <v>420</v>
      </c>
      <c r="C40" s="8">
        <v>35</v>
      </c>
      <c r="F40" s="14">
        <v>45778</v>
      </c>
      <c r="G40">
        <f t="shared" ref="G40:G49" si="12">B40*1000/C40</f>
        <v>12000</v>
      </c>
      <c r="H40" s="16">
        <f t="shared" ref="H40:H50" si="13">SUM(H5:I5)</f>
        <v>7457.1428571428569</v>
      </c>
      <c r="I40" s="16">
        <f>I39+H40-G40</f>
        <v>542.85714285714312</v>
      </c>
      <c r="J40" s="18">
        <v>7457.1428571428569</v>
      </c>
      <c r="K40">
        <f>K39+J40-G40</f>
        <v>542.85714285714312</v>
      </c>
      <c r="L40">
        <f t="shared" ref="L40:L50" si="14">I40*0.05</f>
        <v>27.142857142857157</v>
      </c>
      <c r="M40">
        <f t="shared" ref="M40:M50" si="15">K40*0.05</f>
        <v>27.142857142857157</v>
      </c>
      <c r="O40" t="s">
        <v>22</v>
      </c>
      <c r="P40">
        <v>102620.3682074003</v>
      </c>
      <c r="Q40">
        <f>K70</f>
        <v>91022.239842391078</v>
      </c>
    </row>
    <row r="41" spans="2:18" ht="16" x14ac:dyDescent="0.2">
      <c r="B41" s="17">
        <v>344</v>
      </c>
      <c r="C41" s="8">
        <v>35</v>
      </c>
      <c r="F41" s="14">
        <v>45809</v>
      </c>
      <c r="G41">
        <f t="shared" si="12"/>
        <v>9828.5714285714294</v>
      </c>
      <c r="H41" s="16">
        <f t="shared" si="13"/>
        <v>14514.285714285714</v>
      </c>
      <c r="I41" s="16">
        <f t="shared" ref="I41:I50" si="16">I40+H41-G41</f>
        <v>5228.5714285714275</v>
      </c>
      <c r="J41" s="18">
        <v>14514.285714285714</v>
      </c>
      <c r="K41">
        <f>K40+J41-G41</f>
        <v>5228.5714285714275</v>
      </c>
      <c r="L41">
        <f t="shared" si="14"/>
        <v>261.42857142857139</v>
      </c>
      <c r="M41">
        <f t="shared" si="15"/>
        <v>261.42857142857139</v>
      </c>
      <c r="O41" t="s">
        <v>42</v>
      </c>
      <c r="P41">
        <v>1975.7142857142853</v>
      </c>
      <c r="Q41">
        <f>P70</f>
        <v>5582.7642808240898</v>
      </c>
    </row>
    <row r="42" spans="2:18" ht="16" x14ac:dyDescent="0.2">
      <c r="B42" s="17">
        <v>436</v>
      </c>
      <c r="C42" s="8">
        <v>35</v>
      </c>
      <c r="F42" s="14">
        <v>45839</v>
      </c>
      <c r="G42">
        <f t="shared" si="12"/>
        <v>12457.142857142857</v>
      </c>
      <c r="H42" s="16">
        <f t="shared" si="13"/>
        <v>12228.571428571429</v>
      </c>
      <c r="I42" s="16">
        <f t="shared" si="16"/>
        <v>4999.9999999999982</v>
      </c>
      <c r="J42" s="18">
        <v>12228.571428571429</v>
      </c>
      <c r="K42">
        <f t="shared" ref="K42:K50" si="17">K41+J42-G42</f>
        <v>4999.9999999999982</v>
      </c>
      <c r="L42">
        <f t="shared" si="14"/>
        <v>249.99999999999991</v>
      </c>
      <c r="M42">
        <f t="shared" si="15"/>
        <v>249.99999999999991</v>
      </c>
      <c r="O42" t="s">
        <v>83</v>
      </c>
      <c r="P42">
        <v>0</v>
      </c>
      <c r="Q42">
        <v>0</v>
      </c>
    </row>
    <row r="43" spans="2:18" ht="16" x14ac:dyDescent="0.2">
      <c r="B43" s="17">
        <v>443</v>
      </c>
      <c r="C43" s="8">
        <v>35</v>
      </c>
      <c r="F43" s="14">
        <v>45870</v>
      </c>
      <c r="G43">
        <f t="shared" si="12"/>
        <v>12657.142857142857</v>
      </c>
      <c r="H43" s="16">
        <f t="shared" si="13"/>
        <v>12228.571428571429</v>
      </c>
      <c r="I43" s="16">
        <f t="shared" si="16"/>
        <v>4571.4285714285706</v>
      </c>
      <c r="J43" s="18">
        <v>19886.831275720164</v>
      </c>
      <c r="K43">
        <f t="shared" si="17"/>
        <v>12229.688418577307</v>
      </c>
      <c r="L43">
        <f t="shared" si="14"/>
        <v>228.57142857142856</v>
      </c>
      <c r="M43">
        <f t="shared" si="15"/>
        <v>611.48442092886535</v>
      </c>
      <c r="O43" t="s">
        <v>29</v>
      </c>
      <c r="P43">
        <v>180102.6369062163</v>
      </c>
      <c r="Q43">
        <f>SUM(Q39:Q42)</f>
        <v>172111.55853631688</v>
      </c>
    </row>
    <row r="44" spans="2:18" ht="16" x14ac:dyDescent="0.2">
      <c r="B44" s="17">
        <v>420</v>
      </c>
      <c r="C44" s="8">
        <v>35</v>
      </c>
      <c r="F44" s="14">
        <v>45901</v>
      </c>
      <c r="G44">
        <f t="shared" si="12"/>
        <v>12000</v>
      </c>
      <c r="H44" s="16">
        <f t="shared" si="13"/>
        <v>9342.8571428571431</v>
      </c>
      <c r="I44" s="16">
        <f t="shared" si="16"/>
        <v>1914.2857142857138</v>
      </c>
      <c r="J44" s="18">
        <v>19886.831275720164</v>
      </c>
      <c r="K44">
        <f t="shared" si="17"/>
        <v>20116.519694297473</v>
      </c>
      <c r="L44">
        <f t="shared" si="14"/>
        <v>95.714285714285694</v>
      </c>
      <c r="M44">
        <f t="shared" si="15"/>
        <v>1005.8259847148737</v>
      </c>
    </row>
    <row r="45" spans="2:18" ht="16" x14ac:dyDescent="0.2">
      <c r="B45" s="17">
        <v>410</v>
      </c>
      <c r="C45" s="8">
        <v>35</v>
      </c>
      <c r="F45" s="14">
        <v>45931</v>
      </c>
      <c r="G45">
        <f t="shared" si="12"/>
        <v>11714.285714285714</v>
      </c>
      <c r="H45" s="16">
        <f t="shared" si="13"/>
        <v>13314.285714285714</v>
      </c>
      <c r="I45" s="16">
        <f t="shared" si="16"/>
        <v>3514.2857142857138</v>
      </c>
      <c r="J45" s="18">
        <v>17767.361111111109</v>
      </c>
      <c r="K45">
        <f t="shared" si="17"/>
        <v>26169.595091122868</v>
      </c>
      <c r="L45">
        <f t="shared" si="14"/>
        <v>175.71428571428569</v>
      </c>
      <c r="M45">
        <f t="shared" si="15"/>
        <v>1308.4797545561435</v>
      </c>
    </row>
    <row r="46" spans="2:18" ht="16" x14ac:dyDescent="0.2">
      <c r="B46" s="17">
        <v>327</v>
      </c>
      <c r="C46" s="8">
        <v>35</v>
      </c>
      <c r="F46" s="14">
        <v>45962</v>
      </c>
      <c r="G46">
        <f t="shared" si="12"/>
        <v>9342.8571428571431</v>
      </c>
      <c r="H46" s="16">
        <f t="shared" si="13"/>
        <v>10114.285714285714</v>
      </c>
      <c r="I46" s="16">
        <f t="shared" si="16"/>
        <v>4285.7142857142844</v>
      </c>
      <c r="J46" s="18">
        <v>5856.2329982363008</v>
      </c>
      <c r="K46">
        <f t="shared" si="17"/>
        <v>22682.970946502028</v>
      </c>
      <c r="L46">
        <f t="shared" si="14"/>
        <v>214.28571428571422</v>
      </c>
      <c r="M46">
        <f t="shared" si="15"/>
        <v>1134.1485473251014</v>
      </c>
    </row>
    <row r="47" spans="2:18" ht="16" x14ac:dyDescent="0.2">
      <c r="B47" s="17">
        <v>318</v>
      </c>
      <c r="C47" s="8">
        <v>35</v>
      </c>
      <c r="F47" s="14">
        <v>45992</v>
      </c>
      <c r="G47">
        <f t="shared" si="12"/>
        <v>9085.7142857142862</v>
      </c>
      <c r="H47" s="16">
        <f t="shared" si="13"/>
        <v>9228.5714285714294</v>
      </c>
      <c r="I47" s="16">
        <f t="shared" si="16"/>
        <v>4428.5714285714275</v>
      </c>
      <c r="J47" s="18">
        <v>2767.3611111111113</v>
      </c>
      <c r="K47">
        <f t="shared" si="17"/>
        <v>16364.617771898851</v>
      </c>
      <c r="L47">
        <f t="shared" si="14"/>
        <v>221.42857142857139</v>
      </c>
      <c r="M47">
        <f t="shared" si="15"/>
        <v>818.2308885949426</v>
      </c>
    </row>
    <row r="48" spans="2:18" ht="16" x14ac:dyDescent="0.2">
      <c r="B48" s="17">
        <v>316</v>
      </c>
      <c r="C48" s="8">
        <v>35</v>
      </c>
      <c r="F48" s="14">
        <v>46023</v>
      </c>
      <c r="G48">
        <f t="shared" si="12"/>
        <v>9028.5714285714294</v>
      </c>
      <c r="H48" s="16">
        <f t="shared" si="13"/>
        <v>6171.4285714285716</v>
      </c>
      <c r="I48" s="16">
        <f t="shared" si="16"/>
        <v>1571.4285714285706</v>
      </c>
      <c r="J48" s="18">
        <v>2767.3611111111113</v>
      </c>
      <c r="K48">
        <f t="shared" si="17"/>
        <v>10103.407454438535</v>
      </c>
      <c r="L48">
        <f t="shared" si="14"/>
        <v>78.571428571428541</v>
      </c>
      <c r="M48">
        <f t="shared" si="15"/>
        <v>505.17037272192675</v>
      </c>
    </row>
    <row r="49" spans="2:16" ht="16" x14ac:dyDescent="0.2">
      <c r="B49" s="17">
        <v>269</v>
      </c>
      <c r="C49" s="8">
        <v>35</v>
      </c>
      <c r="F49" s="14">
        <v>46054</v>
      </c>
      <c r="G49">
        <f t="shared" si="12"/>
        <v>7685.7142857142853</v>
      </c>
      <c r="H49" s="16">
        <f t="shared" si="13"/>
        <v>7742.8571428571431</v>
      </c>
      <c r="I49" s="16">
        <f t="shared" si="16"/>
        <v>1628.5714285714284</v>
      </c>
      <c r="J49" s="18">
        <v>2767.3611111111113</v>
      </c>
      <c r="K49">
        <f t="shared" si="17"/>
        <v>5185.0542798353608</v>
      </c>
      <c r="L49">
        <f t="shared" si="14"/>
        <v>81.428571428571431</v>
      </c>
      <c r="M49">
        <f t="shared" si="15"/>
        <v>259.25271399176808</v>
      </c>
    </row>
    <row r="50" spans="2:16" ht="16" x14ac:dyDescent="0.2">
      <c r="B50" s="17">
        <v>265</v>
      </c>
      <c r="C50" s="8">
        <v>35</v>
      </c>
      <c r="F50" s="14">
        <v>46082</v>
      </c>
      <c r="G50">
        <f>B50*1000/C50</f>
        <v>7571.4285714285716</v>
      </c>
      <c r="H50" s="16">
        <f t="shared" si="13"/>
        <v>7685.7142857142853</v>
      </c>
      <c r="I50" s="16">
        <f t="shared" si="16"/>
        <v>1742.8571428571422</v>
      </c>
      <c r="J50" s="18">
        <v>2767.3611111111113</v>
      </c>
      <c r="K50">
        <f t="shared" si="17"/>
        <v>380.98681951790059</v>
      </c>
      <c r="L50">
        <f t="shared" si="14"/>
        <v>87.14285714285711</v>
      </c>
      <c r="M50">
        <f t="shared" si="15"/>
        <v>19.049340975895031</v>
      </c>
    </row>
    <row r="51" spans="2:16" x14ac:dyDescent="0.2">
      <c r="K51" t="s">
        <v>16</v>
      </c>
      <c r="L51">
        <f>SUM(L39:L50)</f>
        <v>1975.7142857142853</v>
      </c>
      <c r="M51">
        <f>SUM(M39:M50)</f>
        <v>6454.4991666666583</v>
      </c>
    </row>
    <row r="56" spans="2:16" x14ac:dyDescent="0.2">
      <c r="B56" s="9" t="s">
        <v>95</v>
      </c>
    </row>
    <row r="57" spans="2:16" ht="32" x14ac:dyDescent="0.2">
      <c r="B57" s="15" t="s">
        <v>54</v>
      </c>
      <c r="C57" s="15" t="s">
        <v>88</v>
      </c>
      <c r="D57" s="15" t="s">
        <v>81</v>
      </c>
      <c r="E57" s="15" t="s">
        <v>89</v>
      </c>
      <c r="F57" s="15" t="s">
        <v>30</v>
      </c>
      <c r="G57" s="15" t="s">
        <v>31</v>
      </c>
      <c r="H57" s="15" t="s">
        <v>80</v>
      </c>
      <c r="I57" s="15" t="s">
        <v>24</v>
      </c>
      <c r="J57" s="15" t="s">
        <v>21</v>
      </c>
      <c r="K57" s="15" t="s">
        <v>22</v>
      </c>
      <c r="L57" s="15" t="s">
        <v>29</v>
      </c>
      <c r="M57" s="15" t="s">
        <v>90</v>
      </c>
      <c r="N57" s="15" t="s">
        <v>60</v>
      </c>
      <c r="O57" s="15" t="s">
        <v>96</v>
      </c>
      <c r="P57" s="15" t="s">
        <v>98</v>
      </c>
    </row>
    <row r="58" spans="2:16" x14ac:dyDescent="0.2">
      <c r="B58" s="14">
        <v>45748</v>
      </c>
      <c r="C58">
        <v>504</v>
      </c>
      <c r="D58" s="8">
        <v>35</v>
      </c>
      <c r="E58">
        <f>C58*1000/D58</f>
        <v>14400</v>
      </c>
      <c r="F58">
        <v>1.5288157894736842</v>
      </c>
      <c r="G58">
        <v>1.4112105263157895</v>
      </c>
      <c r="H58" s="16">
        <v>4886.8312757201647</v>
      </c>
      <c r="I58" s="18">
        <f>E58-H58</f>
        <v>9513.1687242798362</v>
      </c>
      <c r="J58">
        <f>F58*H58</f>
        <v>7471.0648148148148</v>
      </c>
      <c r="K58">
        <f>G58*I58</f>
        <v>13425.083842321856</v>
      </c>
      <c r="L58">
        <f>SUM(J58:K58)</f>
        <v>20896.148657136669</v>
      </c>
      <c r="M58" s="16">
        <f>SUM(H58:I58)</f>
        <v>14400</v>
      </c>
      <c r="O58">
        <v>5085.7142857142862</v>
      </c>
      <c r="P58">
        <f>O58*0.05</f>
        <v>254.28571428571433</v>
      </c>
    </row>
    <row r="59" spans="2:16" x14ac:dyDescent="0.2">
      <c r="B59" s="14">
        <v>45778</v>
      </c>
      <c r="C59">
        <v>261</v>
      </c>
      <c r="D59" s="8">
        <v>35</v>
      </c>
      <c r="E59">
        <f t="shared" ref="E59:E69" si="18">C59*1000/D59</f>
        <v>7457.1428571428569</v>
      </c>
      <c r="F59">
        <v>1.5806907894736841</v>
      </c>
      <c r="G59">
        <v>0</v>
      </c>
      <c r="H59" s="16">
        <v>4886.8312757201647</v>
      </c>
      <c r="I59" s="18">
        <f t="shared" ref="I59:I61" si="19">E59-H59</f>
        <v>2570.3115814226921</v>
      </c>
      <c r="J59">
        <f t="shared" ref="J59:J64" si="20">F59*H59</f>
        <v>7724.5691872427979</v>
      </c>
      <c r="K59">
        <f t="shared" ref="K59:K61" si="21">G59*I59</f>
        <v>0</v>
      </c>
      <c r="L59">
        <f t="shared" ref="L59:L70" si="22">SUM(J59:K59)</f>
        <v>7724.5691872427979</v>
      </c>
      <c r="M59" s="16">
        <f t="shared" ref="M59:M61" si="23">SUM(H59:I59)</f>
        <v>7457.1428571428569</v>
      </c>
      <c r="O59" s="16">
        <f>O58+M59-G40</f>
        <v>542.85714285714312</v>
      </c>
      <c r="P59">
        <f t="shared" ref="P59:P69" si="24">O59*0.05</f>
        <v>27.142857142857157</v>
      </c>
    </row>
    <row r="60" spans="2:16" x14ac:dyDescent="0.2">
      <c r="B60" s="14">
        <v>45809</v>
      </c>
      <c r="C60">
        <v>508</v>
      </c>
      <c r="D60" s="8">
        <v>35</v>
      </c>
      <c r="E60">
        <f t="shared" si="18"/>
        <v>14514.285714285714</v>
      </c>
      <c r="F60">
        <v>1.6237697368421053</v>
      </c>
      <c r="G60">
        <v>1.4613947368421052</v>
      </c>
      <c r="H60" s="16">
        <v>4886.8312757201647</v>
      </c>
      <c r="I60" s="18">
        <f t="shared" si="19"/>
        <v>9627.4544385655499</v>
      </c>
      <c r="J60">
        <f t="shared" si="20"/>
        <v>7935.0887345679021</v>
      </c>
      <c r="K60">
        <f t="shared" si="21"/>
        <v>14069.511245706859</v>
      </c>
      <c r="L60">
        <f t="shared" si="22"/>
        <v>22004.599980274761</v>
      </c>
      <c r="M60" s="16">
        <f t="shared" si="23"/>
        <v>14514.285714285714</v>
      </c>
      <c r="O60" s="16">
        <f t="shared" ref="O60:O69" si="25">O59+M60-G41</f>
        <v>5228.5714285714275</v>
      </c>
      <c r="P60">
        <f t="shared" si="24"/>
        <v>261.42857142857139</v>
      </c>
    </row>
    <row r="61" spans="2:16" x14ac:dyDescent="0.2">
      <c r="B61" s="14">
        <v>45839</v>
      </c>
      <c r="C61">
        <v>428</v>
      </c>
      <c r="D61" s="8">
        <v>35</v>
      </c>
      <c r="E61">
        <f t="shared" si="18"/>
        <v>12228.571428571429</v>
      </c>
      <c r="F61">
        <v>1.6237697368421053</v>
      </c>
      <c r="G61">
        <v>0.97426315789473683</v>
      </c>
      <c r="H61" s="16">
        <v>4886.8312757201647</v>
      </c>
      <c r="I61" s="18">
        <f t="shared" si="19"/>
        <v>7341.7401528512646</v>
      </c>
      <c r="J61">
        <f t="shared" si="20"/>
        <v>7935.0887345679021</v>
      </c>
      <c r="K61">
        <f t="shared" si="21"/>
        <v>7152.7869457594607</v>
      </c>
      <c r="L61">
        <f t="shared" si="22"/>
        <v>15087.875680327363</v>
      </c>
      <c r="M61" s="16">
        <f t="shared" si="23"/>
        <v>12228.571428571429</v>
      </c>
      <c r="O61" s="16">
        <f t="shared" si="25"/>
        <v>4999.9999999999982</v>
      </c>
      <c r="P61">
        <f t="shared" si="24"/>
        <v>249.99999999999991</v>
      </c>
    </row>
    <row r="62" spans="2:16" x14ac:dyDescent="0.2">
      <c r="B62" s="14">
        <v>45870</v>
      </c>
      <c r="C62">
        <v>428</v>
      </c>
      <c r="D62" s="8">
        <v>35</v>
      </c>
      <c r="E62">
        <f t="shared" si="18"/>
        <v>12228.571428571429</v>
      </c>
      <c r="F62">
        <v>1.6237697368421053</v>
      </c>
      <c r="G62">
        <v>0.97426315789473683</v>
      </c>
      <c r="H62" s="16">
        <v>4886.8312757201647</v>
      </c>
      <c r="I62" s="18">
        <v>15000</v>
      </c>
      <c r="J62">
        <f t="shared" si="20"/>
        <v>7935.0887345679021</v>
      </c>
      <c r="K62">
        <f t="shared" ref="K62:K69" si="26">G62*I62</f>
        <v>14613.947368421052</v>
      </c>
      <c r="L62">
        <f t="shared" si="22"/>
        <v>22549.036102988954</v>
      </c>
      <c r="M62" s="16">
        <f t="shared" ref="M62:M69" si="27">SUM(H62:I62)</f>
        <v>19886.831275720164</v>
      </c>
      <c r="O62" s="16">
        <f t="shared" si="25"/>
        <v>12229.688418577307</v>
      </c>
      <c r="P62">
        <f t="shared" si="24"/>
        <v>611.48442092886535</v>
      </c>
    </row>
    <row r="63" spans="2:16" x14ac:dyDescent="0.2">
      <c r="B63" s="14">
        <v>45901</v>
      </c>
      <c r="C63">
        <v>327</v>
      </c>
      <c r="D63" s="8">
        <v>35</v>
      </c>
      <c r="E63">
        <f t="shared" si="18"/>
        <v>9342.8571428571431</v>
      </c>
      <c r="F63">
        <v>1.6237697368421053</v>
      </c>
      <c r="G63">
        <v>0.32475657894736842</v>
      </c>
      <c r="H63" s="16">
        <v>4886.8312757201647</v>
      </c>
      <c r="I63" s="18">
        <v>12085.714287908901</v>
      </c>
      <c r="J63">
        <f t="shared" si="20"/>
        <v>7935.0887345679021</v>
      </c>
      <c r="K63">
        <f t="shared" si="26"/>
        <v>3924.9152262766256</v>
      </c>
      <c r="L63">
        <f t="shared" si="22"/>
        <v>11860.003960844528</v>
      </c>
      <c r="M63" s="16">
        <f t="shared" si="27"/>
        <v>16972.545563629064</v>
      </c>
      <c r="O63" s="16">
        <f t="shared" si="25"/>
        <v>17202.233982206373</v>
      </c>
      <c r="P63">
        <f t="shared" si="24"/>
        <v>860.11169911031868</v>
      </c>
    </row>
    <row r="64" spans="2:16" x14ac:dyDescent="0.2">
      <c r="B64" s="14">
        <v>45931</v>
      </c>
      <c r="C64">
        <v>466</v>
      </c>
      <c r="D64" s="8">
        <v>35</v>
      </c>
      <c r="E64">
        <f t="shared" si="18"/>
        <v>13314.285714285714</v>
      </c>
      <c r="F64">
        <v>1.7219534883720931</v>
      </c>
      <c r="G64">
        <v>1.7219534883720931</v>
      </c>
      <c r="H64" s="16">
        <v>2767.3611111111113</v>
      </c>
      <c r="I64" s="18">
        <v>9028.5714272812929</v>
      </c>
      <c r="J64">
        <f t="shared" si="20"/>
        <v>4765.2671188630493</v>
      </c>
      <c r="K64">
        <f t="shared" si="26"/>
        <v>15546.780064223629</v>
      </c>
      <c r="L64">
        <f t="shared" si="22"/>
        <v>20312.047183086677</v>
      </c>
      <c r="M64" s="16">
        <f t="shared" si="27"/>
        <v>11795.932538392404</v>
      </c>
      <c r="O64" s="16">
        <f t="shared" si="25"/>
        <v>17283.880806313064</v>
      </c>
      <c r="P64">
        <f t="shared" si="24"/>
        <v>864.19404031565318</v>
      </c>
    </row>
    <row r="65" spans="2:16" x14ac:dyDescent="0.2">
      <c r="B65" s="14">
        <v>45962</v>
      </c>
      <c r="C65">
        <v>354</v>
      </c>
      <c r="D65" s="8">
        <v>35</v>
      </c>
      <c r="E65">
        <f t="shared" si="18"/>
        <v>10114.285714285714</v>
      </c>
      <c r="F65">
        <v>1.720433105627585</v>
      </c>
      <c r="G65">
        <v>1.720433105627585</v>
      </c>
      <c r="H65" s="16">
        <v>2767.3611111111113</v>
      </c>
      <c r="I65" s="18">
        <v>7685.7142870883363</v>
      </c>
      <c r="J65">
        <f>F65*H65</f>
        <v>4761.0596707818931</v>
      </c>
      <c r="K65">
        <f t="shared" si="26"/>
        <v>13222.757299901687</v>
      </c>
      <c r="L65">
        <f t="shared" si="22"/>
        <v>17983.81697068358</v>
      </c>
      <c r="M65" s="16">
        <f t="shared" si="27"/>
        <v>10453.075398199448</v>
      </c>
      <c r="O65" s="16">
        <f t="shared" si="25"/>
        <v>18394.099061655368</v>
      </c>
      <c r="P65">
        <f t="shared" si="24"/>
        <v>919.7049530827685</v>
      </c>
    </row>
    <row r="66" spans="2:16" x14ac:dyDescent="0.2">
      <c r="B66" s="14">
        <v>45992</v>
      </c>
      <c r="C66">
        <v>323</v>
      </c>
      <c r="D66" s="8">
        <v>35</v>
      </c>
      <c r="E66">
        <f t="shared" si="18"/>
        <v>9228.5714285714294</v>
      </c>
      <c r="F66">
        <v>1.720433105627585</v>
      </c>
      <c r="G66">
        <v>2.2939030624099632</v>
      </c>
      <c r="H66" s="16">
        <v>2767.3611111111113</v>
      </c>
      <c r="I66" s="18">
        <v>3952.41542607051</v>
      </c>
      <c r="J66">
        <f t="shared" ref="J66:J69" si="28">F66*H66</f>
        <v>4761.0596707818931</v>
      </c>
      <c r="K66">
        <f t="shared" si="26"/>
        <v>9066.4578497795228</v>
      </c>
      <c r="L66">
        <f t="shared" si="22"/>
        <v>13827.517520561416</v>
      </c>
      <c r="M66" s="16">
        <f t="shared" si="27"/>
        <v>6719.7765371816213</v>
      </c>
      <c r="O66" s="16">
        <f t="shared" si="25"/>
        <v>16028.161313122702</v>
      </c>
      <c r="P66">
        <f t="shared" si="24"/>
        <v>801.40806565613514</v>
      </c>
    </row>
    <row r="67" spans="2:16" x14ac:dyDescent="0.2">
      <c r="B67" s="14">
        <v>46023</v>
      </c>
      <c r="C67">
        <v>216</v>
      </c>
      <c r="D67" s="8">
        <v>35</v>
      </c>
      <c r="E67">
        <f t="shared" si="18"/>
        <v>6171.4285714285716</v>
      </c>
      <c r="F67">
        <v>1.720433105627585</v>
      </c>
      <c r="G67">
        <v>0.28673497839118917</v>
      </c>
      <c r="H67" s="16">
        <v>2767.3611111111113</v>
      </c>
      <c r="I67" s="18">
        <v>1.3155370726505289E-10</v>
      </c>
      <c r="J67">
        <f t="shared" si="28"/>
        <v>4761.0596707818931</v>
      </c>
      <c r="K67">
        <f t="shared" si="26"/>
        <v>3.7721049409925765E-11</v>
      </c>
      <c r="L67">
        <f t="shared" si="22"/>
        <v>4761.0596707819304</v>
      </c>
      <c r="M67" s="16">
        <f t="shared" si="27"/>
        <v>2767.3611111112427</v>
      </c>
      <c r="O67" s="16">
        <f t="shared" si="25"/>
        <v>9766.950995662517</v>
      </c>
      <c r="P67">
        <f t="shared" si="24"/>
        <v>488.34754978312588</v>
      </c>
    </row>
    <row r="68" spans="2:16" x14ac:dyDescent="0.2">
      <c r="B68" s="14">
        <v>46054</v>
      </c>
      <c r="C68">
        <v>271</v>
      </c>
      <c r="D68" s="8">
        <v>35</v>
      </c>
      <c r="E68">
        <f t="shared" si="18"/>
        <v>7742.8571428571431</v>
      </c>
      <c r="F68">
        <v>1.720433105627585</v>
      </c>
      <c r="G68">
        <v>1.4336865095961708</v>
      </c>
      <c r="H68" s="16">
        <v>2767.3611111111113</v>
      </c>
      <c r="I68" s="18">
        <v>1.317006470571584E-10</v>
      </c>
      <c r="J68">
        <f t="shared" si="28"/>
        <v>4761.0596707818931</v>
      </c>
      <c r="K68">
        <f t="shared" si="26"/>
        <v>1.8881744099093463E-10</v>
      </c>
      <c r="L68">
        <f t="shared" si="22"/>
        <v>4761.0596707820823</v>
      </c>
      <c r="M68" s="16">
        <f t="shared" si="27"/>
        <v>2767.3611111112432</v>
      </c>
      <c r="O68" s="16">
        <f t="shared" si="25"/>
        <v>4848.597821059474</v>
      </c>
      <c r="P68">
        <f t="shared" si="24"/>
        <v>242.42989105297372</v>
      </c>
    </row>
    <row r="69" spans="2:16" x14ac:dyDescent="0.2">
      <c r="B69" s="14">
        <v>46082</v>
      </c>
      <c r="C69">
        <v>269</v>
      </c>
      <c r="D69" s="8">
        <v>35</v>
      </c>
      <c r="E69">
        <f t="shared" si="18"/>
        <v>7685.7142857142853</v>
      </c>
      <c r="F69">
        <v>1.720433105627585</v>
      </c>
      <c r="G69">
        <v>1.1469515312049816</v>
      </c>
      <c r="H69" s="16">
        <v>2767.3611111111113</v>
      </c>
      <c r="I69" s="18">
        <v>1.316639124810246E-10</v>
      </c>
      <c r="J69">
        <f t="shared" si="28"/>
        <v>4761.0596707818931</v>
      </c>
      <c r="K69">
        <f t="shared" si="26"/>
        <v>1.5101212602454984E-10</v>
      </c>
      <c r="L69">
        <f t="shared" si="22"/>
        <v>4761.0596707820441</v>
      </c>
      <c r="M69" s="16">
        <f t="shared" si="27"/>
        <v>2767.3611111112432</v>
      </c>
      <c r="O69" s="16">
        <f t="shared" si="25"/>
        <v>44.530360742145604</v>
      </c>
      <c r="P69">
        <f t="shared" si="24"/>
        <v>2.2265180371072804</v>
      </c>
    </row>
    <row r="70" spans="2:16" x14ac:dyDescent="0.2">
      <c r="I70" t="s">
        <v>16</v>
      </c>
      <c r="J70">
        <f>SUM(J58:J69)</f>
        <v>75506.554413101723</v>
      </c>
      <c r="K70">
        <f>SUM(K58:K69)</f>
        <v>91022.239842391078</v>
      </c>
      <c r="L70">
        <f t="shared" si="22"/>
        <v>166528.7942554928</v>
      </c>
      <c r="P70" s="18">
        <f>SUM(P58:P69)</f>
        <v>5582.7642808240898</v>
      </c>
    </row>
    <row r="129" spans="2:14" x14ac:dyDescent="0.2">
      <c r="J129" t="s">
        <v>33</v>
      </c>
      <c r="K129" t="s">
        <v>34</v>
      </c>
      <c r="L129" t="s">
        <v>57</v>
      </c>
    </row>
    <row r="130" spans="2:14" x14ac:dyDescent="0.2">
      <c r="I130" s="24" t="s">
        <v>58</v>
      </c>
      <c r="J130">
        <v>1316511.5530000001</v>
      </c>
      <c r="K130">
        <v>765195</v>
      </c>
    </row>
    <row r="131" spans="2:14" x14ac:dyDescent="0.2">
      <c r="I131" s="24"/>
      <c r="J131">
        <v>2116045</v>
      </c>
      <c r="K131">
        <v>2116045</v>
      </c>
      <c r="L131">
        <v>160216</v>
      </c>
    </row>
    <row r="132" spans="2:14" x14ac:dyDescent="0.2">
      <c r="J132">
        <f>SUM(J130:J131)</f>
        <v>3432556.5530000003</v>
      </c>
      <c r="K132">
        <f>SUM(K130:K131)</f>
        <v>2881240</v>
      </c>
      <c r="L132">
        <f>SUM(L131,K132)</f>
        <v>3041456</v>
      </c>
    </row>
    <row r="133" spans="2:14" x14ac:dyDescent="0.2">
      <c r="J133">
        <v>3432556.5529999998</v>
      </c>
      <c r="K133">
        <v>2881240</v>
      </c>
      <c r="L133">
        <v>3041456</v>
      </c>
    </row>
    <row r="135" spans="2:14" x14ac:dyDescent="0.2">
      <c r="B135" t="s">
        <v>26</v>
      </c>
      <c r="G135" t="s">
        <v>35</v>
      </c>
      <c r="M135" s="8" t="s">
        <v>32</v>
      </c>
    </row>
    <row r="136" spans="2:14" x14ac:dyDescent="0.2">
      <c r="C136" s="8" t="s">
        <v>30</v>
      </c>
      <c r="D136" s="8"/>
      <c r="E136" s="8" t="s">
        <v>31</v>
      </c>
      <c r="F136" s="8" t="s">
        <v>28</v>
      </c>
      <c r="G136" s="8" t="s">
        <v>23</v>
      </c>
      <c r="H136" s="8" t="s">
        <v>24</v>
      </c>
      <c r="I136" s="8" t="s">
        <v>21</v>
      </c>
      <c r="J136" s="8" t="s">
        <v>22</v>
      </c>
      <c r="K136" s="8" t="s">
        <v>29</v>
      </c>
      <c r="M136" s="8" t="s">
        <v>33</v>
      </c>
      <c r="N136" s="8" t="s">
        <v>34</v>
      </c>
    </row>
    <row r="137" spans="2:14" x14ac:dyDescent="0.2">
      <c r="B137" s="7">
        <v>45772</v>
      </c>
      <c r="C137">
        <v>1.5288157894736842</v>
      </c>
      <c r="E137">
        <v>1.4112105263157895</v>
      </c>
      <c r="F137">
        <v>31.103999999999999</v>
      </c>
      <c r="G137" s="8">
        <v>4886.8312757201602</v>
      </c>
      <c r="H137" s="8">
        <v>2483.1669423159556</v>
      </c>
      <c r="I137">
        <f t="shared" ref="I137:I148" si="29">C137*F137*G137</f>
        <v>232379.9999999998</v>
      </c>
      <c r="J137">
        <f>E137*F137*H137</f>
        <v>108996.8553735357</v>
      </c>
      <c r="K137">
        <f>I137+J137</f>
        <v>341376.85537353548</v>
      </c>
      <c r="L137" s="7">
        <v>45772</v>
      </c>
      <c r="M137">
        <f>J137</f>
        <v>108996.8553735357</v>
      </c>
      <c r="N137">
        <f>M153</f>
        <v>108996.8553735357</v>
      </c>
    </row>
    <row r="138" spans="2:14" x14ac:dyDescent="0.2">
      <c r="B138" s="7">
        <v>45802</v>
      </c>
      <c r="C138">
        <v>1.5806907894736841</v>
      </c>
      <c r="E138">
        <v>0</v>
      </c>
      <c r="F138">
        <v>31.103999999999999</v>
      </c>
      <c r="G138" s="8">
        <v>4886.8312757201647</v>
      </c>
      <c r="H138" s="8">
        <v>0</v>
      </c>
      <c r="I138">
        <f t="shared" si="29"/>
        <v>240264.99999999997</v>
      </c>
      <c r="J138">
        <f t="shared" ref="J138:J148" si="30">E138*F138*H138</f>
        <v>0</v>
      </c>
      <c r="K138">
        <f t="shared" ref="K138:K148" si="31">I138+J138</f>
        <v>240264.99999999997</v>
      </c>
      <c r="L138" s="7">
        <v>45802</v>
      </c>
      <c r="M138">
        <f>M137+J138</f>
        <v>108996.8553735357</v>
      </c>
      <c r="N138">
        <f t="shared" ref="N138:N148" si="32">M154</f>
        <v>108996.8553735357</v>
      </c>
    </row>
    <row r="139" spans="2:14" x14ac:dyDescent="0.2">
      <c r="B139" s="7">
        <v>45833</v>
      </c>
      <c r="C139">
        <v>1.6237697368421053</v>
      </c>
      <c r="E139">
        <v>1.4613947368421052</v>
      </c>
      <c r="F139">
        <v>31.103999999999999</v>
      </c>
      <c r="G139" s="8">
        <v>4886.8312757201647</v>
      </c>
      <c r="H139" s="8">
        <v>2545.222790928924</v>
      </c>
      <c r="I139">
        <f t="shared" si="29"/>
        <v>246813</v>
      </c>
      <c r="J139">
        <f t="shared" si="30"/>
        <v>115693.66673321562</v>
      </c>
      <c r="K139">
        <f t="shared" si="31"/>
        <v>362506.66673321562</v>
      </c>
      <c r="L139" s="7">
        <v>45833</v>
      </c>
      <c r="M139">
        <f t="shared" ref="M139:M148" si="33">M138+J139</f>
        <v>224690.52210675133</v>
      </c>
      <c r="N139">
        <f t="shared" si="32"/>
        <v>224690.52210675133</v>
      </c>
    </row>
    <row r="140" spans="2:14" x14ac:dyDescent="0.2">
      <c r="B140" s="7">
        <v>45863</v>
      </c>
      <c r="C140">
        <v>1.6237697368421053</v>
      </c>
      <c r="E140">
        <v>0.97426315789473683</v>
      </c>
      <c r="F140">
        <v>31.103999999999999</v>
      </c>
      <c r="G140" s="8">
        <v>4886.8312757201647</v>
      </c>
      <c r="H140" s="8">
        <v>1371.7405698790662</v>
      </c>
      <c r="I140">
        <f t="shared" si="29"/>
        <v>246813</v>
      </c>
      <c r="J140">
        <f t="shared" si="30"/>
        <v>41568.514657243817</v>
      </c>
      <c r="K140">
        <f t="shared" si="31"/>
        <v>288381.5146572438</v>
      </c>
      <c r="L140" s="7">
        <v>45863</v>
      </c>
      <c r="M140">
        <f t="shared" si="33"/>
        <v>266259.03676399513</v>
      </c>
      <c r="N140">
        <f t="shared" si="32"/>
        <v>415833.15958043491</v>
      </c>
    </row>
    <row r="141" spans="2:14" x14ac:dyDescent="0.2">
      <c r="B141" s="7">
        <v>45894</v>
      </c>
      <c r="C141">
        <v>1.6237697368421053</v>
      </c>
      <c r="E141">
        <v>0.97426315789473683</v>
      </c>
      <c r="F141">
        <v>31.103999999999999</v>
      </c>
      <c r="G141" s="8">
        <v>4886.8312757201647</v>
      </c>
      <c r="H141" s="8">
        <v>1371.7405698790662</v>
      </c>
      <c r="I141">
        <f t="shared" si="29"/>
        <v>246813</v>
      </c>
      <c r="J141">
        <f t="shared" si="30"/>
        <v>41568.514657243817</v>
      </c>
      <c r="K141">
        <f t="shared" si="31"/>
        <v>288381.5146572438</v>
      </c>
      <c r="L141" s="7">
        <v>45894</v>
      </c>
      <c r="M141">
        <f t="shared" si="33"/>
        <v>307827.55142123892</v>
      </c>
      <c r="N141">
        <f t="shared" si="32"/>
        <v>627957.52842254017</v>
      </c>
    </row>
    <row r="142" spans="2:14" x14ac:dyDescent="0.2">
      <c r="B142" s="7">
        <v>45925</v>
      </c>
      <c r="C142">
        <v>1.6237697368421053</v>
      </c>
      <c r="E142">
        <v>0.32475657894736842</v>
      </c>
      <c r="F142">
        <v>31.103999999999999</v>
      </c>
      <c r="G142" s="8">
        <v>4886.8312757201647</v>
      </c>
      <c r="H142" s="8">
        <v>0</v>
      </c>
      <c r="I142">
        <f t="shared" si="29"/>
        <v>246813</v>
      </c>
      <c r="J142">
        <f t="shared" si="30"/>
        <v>0</v>
      </c>
      <c r="K142">
        <f t="shared" si="31"/>
        <v>246813</v>
      </c>
      <c r="L142" s="7">
        <v>45925</v>
      </c>
      <c r="M142">
        <f t="shared" si="33"/>
        <v>307827.55142123892</v>
      </c>
      <c r="N142">
        <f t="shared" si="32"/>
        <v>627957.52842254017</v>
      </c>
    </row>
    <row r="143" spans="2:14" x14ac:dyDescent="0.2">
      <c r="B143" s="7">
        <v>45955</v>
      </c>
      <c r="C143">
        <v>1.7219534883720931</v>
      </c>
      <c r="E143">
        <v>1.7219534883720931</v>
      </c>
      <c r="F143">
        <v>31.103999999999999</v>
      </c>
      <c r="G143" s="8">
        <v>2764.9176954732511</v>
      </c>
      <c r="H143" s="8">
        <v>4045.6197993210399</v>
      </c>
      <c r="I143">
        <f t="shared" si="29"/>
        <v>148088</v>
      </c>
      <c r="J143">
        <f t="shared" si="30"/>
        <v>216681.9452972213</v>
      </c>
      <c r="K143">
        <f t="shared" si="31"/>
        <v>364769.9452972213</v>
      </c>
      <c r="L143" s="7">
        <v>45955</v>
      </c>
      <c r="M143">
        <f t="shared" si="33"/>
        <v>524509.49671846023</v>
      </c>
      <c r="N143">
        <f t="shared" si="32"/>
        <v>627957.52842254017</v>
      </c>
    </row>
    <row r="144" spans="2:14" x14ac:dyDescent="0.2">
      <c r="B144" s="7">
        <v>45986</v>
      </c>
      <c r="C144">
        <v>1.720433105627585</v>
      </c>
      <c r="E144">
        <v>1.720433105627585</v>
      </c>
      <c r="F144">
        <v>31.103999999999999</v>
      </c>
      <c r="G144" s="8">
        <v>2767.3611111111113</v>
      </c>
      <c r="H144" s="8">
        <v>2402.5977708842929</v>
      </c>
      <c r="I144">
        <f t="shared" si="29"/>
        <v>148088.00000000003</v>
      </c>
      <c r="J144">
        <f t="shared" si="30"/>
        <v>128568.65599005947</v>
      </c>
      <c r="K144">
        <f t="shared" si="31"/>
        <v>276656.65599005949</v>
      </c>
      <c r="L144" s="7">
        <v>45986</v>
      </c>
      <c r="M144">
        <f t="shared" si="33"/>
        <v>653078.15270851972</v>
      </c>
      <c r="N144">
        <f t="shared" si="32"/>
        <v>659262.465350062</v>
      </c>
    </row>
    <row r="145" spans="2:18" x14ac:dyDescent="0.2">
      <c r="B145" s="7">
        <v>46016</v>
      </c>
      <c r="C145">
        <v>1.720433105627585</v>
      </c>
      <c r="E145">
        <v>2.2939030624099632</v>
      </c>
      <c r="F145">
        <v>31.103999999999999</v>
      </c>
      <c r="G145" s="8">
        <v>2767.3611111111113</v>
      </c>
      <c r="H145" s="8">
        <v>1957.8353942526392</v>
      </c>
      <c r="I145">
        <f t="shared" si="29"/>
        <v>148088.00000000003</v>
      </c>
      <c r="J145">
        <f t="shared" si="30"/>
        <v>139690.69560277648</v>
      </c>
      <c r="K145">
        <f t="shared" si="31"/>
        <v>287778.69560277648</v>
      </c>
      <c r="L145" s="7">
        <v>46016</v>
      </c>
      <c r="M145">
        <f t="shared" si="33"/>
        <v>792768.8483112962</v>
      </c>
      <c r="N145">
        <f t="shared" si="32"/>
        <v>659262.465350062</v>
      </c>
    </row>
    <row r="146" spans="2:18" x14ac:dyDescent="0.2">
      <c r="B146" s="7">
        <v>46047</v>
      </c>
      <c r="C146">
        <v>1.720433105627585</v>
      </c>
      <c r="E146">
        <v>0.28673497839118917</v>
      </c>
      <c r="F146">
        <v>31.103999999999999</v>
      </c>
      <c r="G146" s="8">
        <v>2767.3611111111113</v>
      </c>
      <c r="H146" s="8">
        <v>384.25882680588074</v>
      </c>
      <c r="I146">
        <f t="shared" si="29"/>
        <v>148088.00000000003</v>
      </c>
      <c r="J146">
        <f t="shared" si="30"/>
        <v>3427.052604850729</v>
      </c>
      <c r="K146">
        <f t="shared" si="31"/>
        <v>151515.05260485076</v>
      </c>
      <c r="L146" s="7">
        <v>46047</v>
      </c>
      <c r="M146">
        <f t="shared" si="33"/>
        <v>796195.90091614693</v>
      </c>
      <c r="N146">
        <f t="shared" si="32"/>
        <v>659262.465350062</v>
      </c>
    </row>
    <row r="147" spans="2:18" x14ac:dyDescent="0.2">
      <c r="B147" s="7">
        <v>46078</v>
      </c>
      <c r="C147">
        <v>1.720433105627585</v>
      </c>
      <c r="E147">
        <v>1.4336865095961708</v>
      </c>
      <c r="F147">
        <v>31.103999999999999</v>
      </c>
      <c r="G147" s="8">
        <v>2767.3611111111113</v>
      </c>
      <c r="H147" s="8">
        <v>1188.9143226231608</v>
      </c>
      <c r="I147">
        <f t="shared" si="29"/>
        <v>148088.00000000003</v>
      </c>
      <c r="J147">
        <f t="shared" si="30"/>
        <v>53017.714351968039</v>
      </c>
      <c r="K147">
        <f t="shared" si="31"/>
        <v>201105.71435196808</v>
      </c>
      <c r="L147" s="7">
        <v>46078</v>
      </c>
      <c r="M147">
        <f t="shared" si="33"/>
        <v>849213.61526811495</v>
      </c>
      <c r="N147">
        <f t="shared" si="32"/>
        <v>659262.465350062</v>
      </c>
    </row>
    <row r="148" spans="2:18" x14ac:dyDescent="0.2">
      <c r="B148" s="7">
        <v>46106</v>
      </c>
      <c r="C148">
        <v>1.720433105627585</v>
      </c>
      <c r="E148">
        <v>1.1469515312049816</v>
      </c>
      <c r="F148">
        <v>31.103999999999999</v>
      </c>
      <c r="G148" s="8">
        <v>2767.3611111111113</v>
      </c>
      <c r="H148" s="8">
        <v>1166.5803075057843</v>
      </c>
      <c r="I148">
        <f t="shared" si="29"/>
        <v>148088.00000000003</v>
      </c>
      <c r="J148">
        <f t="shared" si="30"/>
        <v>41617.496320264065</v>
      </c>
      <c r="K148">
        <f t="shared" si="31"/>
        <v>189705.49632026409</v>
      </c>
      <c r="L148" s="7">
        <v>46106</v>
      </c>
      <c r="M148">
        <f t="shared" si="33"/>
        <v>890831.11158837902</v>
      </c>
      <c r="N148">
        <f t="shared" si="32"/>
        <v>659262.465350062</v>
      </c>
    </row>
    <row r="149" spans="2:18" x14ac:dyDescent="0.2">
      <c r="G149">
        <f>SUM(G137:G148)</f>
        <v>45922.710905349777</v>
      </c>
      <c r="H149" s="8">
        <f>SUM(H137:H148)</f>
        <v>18917.677294395813</v>
      </c>
      <c r="I149" s="9">
        <f>SUM(I137:I148)</f>
        <v>2348425</v>
      </c>
      <c r="J149" s="9">
        <f>SUM(J137:J148)</f>
        <v>890831.11158837902</v>
      </c>
      <c r="K149" s="9">
        <f>SUM(K137:K148)</f>
        <v>3239256.1115883789</v>
      </c>
    </row>
    <row r="150" spans="2:18" x14ac:dyDescent="0.2">
      <c r="J150">
        <f>J149/H149</f>
        <v>47.08987777544337</v>
      </c>
    </row>
    <row r="151" spans="2:18" x14ac:dyDescent="0.2">
      <c r="B151" t="s">
        <v>26</v>
      </c>
      <c r="G151" t="s">
        <v>36</v>
      </c>
      <c r="M151" s="8" t="s">
        <v>32</v>
      </c>
    </row>
    <row r="152" spans="2:18" x14ac:dyDescent="0.2">
      <c r="C152" s="8" t="s">
        <v>30</v>
      </c>
      <c r="D152" s="8"/>
      <c r="E152" s="8" t="s">
        <v>31</v>
      </c>
      <c r="F152" s="8" t="s">
        <v>28</v>
      </c>
      <c r="G152" s="8" t="s">
        <v>23</v>
      </c>
      <c r="H152" s="8" t="s">
        <v>24</v>
      </c>
      <c r="I152" s="8" t="s">
        <v>21</v>
      </c>
      <c r="J152" s="8" t="s">
        <v>22</v>
      </c>
      <c r="K152" s="8" t="s">
        <v>29</v>
      </c>
      <c r="M152" s="8" t="s">
        <v>34</v>
      </c>
    </row>
    <row r="153" spans="2:18" x14ac:dyDescent="0.2">
      <c r="B153" s="7">
        <v>45772</v>
      </c>
      <c r="C153">
        <v>1.5288157894736842</v>
      </c>
      <c r="E153">
        <v>1.4112105263157895</v>
      </c>
      <c r="F153">
        <v>31.103999999999999</v>
      </c>
      <c r="G153" s="8">
        <v>4886.8312757201647</v>
      </c>
      <c r="H153" s="8">
        <v>2483.1669423159556</v>
      </c>
      <c r="I153">
        <f t="shared" ref="I153:I164" si="34">C153*F153*G153</f>
        <v>232380</v>
      </c>
      <c r="J153">
        <f>E153*F153*H153</f>
        <v>108996.8553735357</v>
      </c>
      <c r="K153">
        <f>I153+J153</f>
        <v>341376.85537353571</v>
      </c>
      <c r="M153">
        <f>J153</f>
        <v>108996.8553735357</v>
      </c>
    </row>
    <row r="154" spans="2:18" x14ac:dyDescent="0.2">
      <c r="B154" s="7">
        <v>45802</v>
      </c>
      <c r="C154">
        <v>1.5806907894736841</v>
      </c>
      <c r="E154">
        <v>0</v>
      </c>
      <c r="F154">
        <v>31.103999999999999</v>
      </c>
      <c r="G154" s="8">
        <v>4886.8312757201647</v>
      </c>
      <c r="H154" s="8">
        <v>0</v>
      </c>
      <c r="I154">
        <f t="shared" si="34"/>
        <v>240264.99999999997</v>
      </c>
      <c r="J154">
        <f t="shared" ref="J154:J164" si="35">E154*F154*H154</f>
        <v>0</v>
      </c>
      <c r="K154">
        <f t="shared" ref="K154:K164" si="36">I154+J154</f>
        <v>240264.99999999997</v>
      </c>
      <c r="M154">
        <f>M153+J154</f>
        <v>108996.8553735357</v>
      </c>
      <c r="P154" t="s">
        <v>76</v>
      </c>
      <c r="Q154" t="s">
        <v>78</v>
      </c>
      <c r="R154" t="s">
        <v>77</v>
      </c>
    </row>
    <row r="155" spans="2:18" x14ac:dyDescent="0.2">
      <c r="B155" s="7">
        <v>45833</v>
      </c>
      <c r="C155">
        <v>1.6237697368421053</v>
      </c>
      <c r="E155">
        <v>1.4613947368421052</v>
      </c>
      <c r="F155">
        <v>31.103999999999999</v>
      </c>
      <c r="G155" s="8">
        <v>4886.8312757201647</v>
      </c>
      <c r="H155" s="8">
        <v>2545.222790928924</v>
      </c>
      <c r="I155">
        <f t="shared" si="34"/>
        <v>246813</v>
      </c>
      <c r="J155">
        <f t="shared" si="35"/>
        <v>115693.66673321562</v>
      </c>
      <c r="K155">
        <f t="shared" si="36"/>
        <v>362506.66673321562</v>
      </c>
      <c r="M155">
        <f t="shared" ref="M155:M164" si="37">M154+J155</f>
        <v>224690.52210675133</v>
      </c>
      <c r="P155">
        <v>500</v>
      </c>
      <c r="Q155">
        <f>35*31.104</f>
        <v>1088.6399999999999</v>
      </c>
      <c r="R155">
        <f>500000*31.104/Q155</f>
        <v>14285.714285714288</v>
      </c>
    </row>
    <row r="156" spans="2:18" x14ac:dyDescent="0.2">
      <c r="B156" s="7">
        <v>45863</v>
      </c>
      <c r="C156">
        <v>1.6237697368421053</v>
      </c>
      <c r="E156">
        <v>0.97426315789473683</v>
      </c>
      <c r="F156">
        <v>31.103999999999999</v>
      </c>
      <c r="G156" s="8">
        <v>4886.8312757201647</v>
      </c>
      <c r="H156">
        <v>6307.6131687242596</v>
      </c>
      <c r="I156">
        <f t="shared" si="34"/>
        <v>246813</v>
      </c>
      <c r="J156">
        <f t="shared" si="35"/>
        <v>191142.6374736836</v>
      </c>
      <c r="K156">
        <f t="shared" si="36"/>
        <v>437955.63747368357</v>
      </c>
      <c r="M156">
        <f t="shared" si="37"/>
        <v>415833.15958043491</v>
      </c>
    </row>
    <row r="157" spans="2:18" x14ac:dyDescent="0.2">
      <c r="B157" s="7">
        <v>45894</v>
      </c>
      <c r="C157">
        <v>1.6237697368421053</v>
      </c>
      <c r="E157">
        <v>0.97426315789473683</v>
      </c>
      <c r="F157">
        <v>31.103999999999999</v>
      </c>
      <c r="G157" s="8">
        <v>4886.8312757201647</v>
      </c>
      <c r="H157">
        <v>7000</v>
      </c>
      <c r="I157">
        <f t="shared" si="34"/>
        <v>246813</v>
      </c>
      <c r="J157">
        <f t="shared" si="35"/>
        <v>212124.36884210526</v>
      </c>
      <c r="K157">
        <f t="shared" si="36"/>
        <v>458937.36884210526</v>
      </c>
      <c r="M157">
        <f t="shared" si="37"/>
        <v>627957.52842254017</v>
      </c>
    </row>
    <row r="158" spans="2:18" x14ac:dyDescent="0.2">
      <c r="B158" s="7">
        <v>45925</v>
      </c>
      <c r="C158">
        <v>1.6237697368421053</v>
      </c>
      <c r="E158">
        <v>0.32475657894736842</v>
      </c>
      <c r="F158">
        <v>31.103999999999999</v>
      </c>
      <c r="G158" s="8">
        <v>4886.8312757201647</v>
      </c>
      <c r="H158">
        <v>0</v>
      </c>
      <c r="I158">
        <f t="shared" si="34"/>
        <v>246813</v>
      </c>
      <c r="J158">
        <f t="shared" si="35"/>
        <v>0</v>
      </c>
      <c r="K158">
        <f t="shared" si="36"/>
        <v>246813</v>
      </c>
      <c r="M158">
        <f t="shared" si="37"/>
        <v>627957.52842254017</v>
      </c>
    </row>
    <row r="159" spans="2:18" x14ac:dyDescent="0.2">
      <c r="B159" s="7">
        <v>45955</v>
      </c>
      <c r="C159">
        <v>1.7219534883720931</v>
      </c>
      <c r="E159">
        <v>1.7219534883720931</v>
      </c>
      <c r="F159">
        <v>31.103999999999999</v>
      </c>
      <c r="G159" s="8">
        <v>2764.9176954732511</v>
      </c>
      <c r="H159">
        <v>0</v>
      </c>
      <c r="I159">
        <f t="shared" si="34"/>
        <v>148088</v>
      </c>
      <c r="J159">
        <f t="shared" si="35"/>
        <v>0</v>
      </c>
      <c r="K159">
        <f t="shared" si="36"/>
        <v>148088</v>
      </c>
      <c r="M159">
        <f t="shared" si="37"/>
        <v>627957.52842254017</v>
      </c>
    </row>
    <row r="160" spans="2:18" x14ac:dyDescent="0.2">
      <c r="B160" s="7">
        <v>45986</v>
      </c>
      <c r="C160">
        <v>1.720433105627585</v>
      </c>
      <c r="E160">
        <v>1.720433105627585</v>
      </c>
      <c r="F160">
        <v>31.103999999999999</v>
      </c>
      <c r="G160" s="8">
        <v>2767.3611111111113</v>
      </c>
      <c r="H160">
        <v>585.00395061726795</v>
      </c>
      <c r="I160">
        <f t="shared" si="34"/>
        <v>148088.00000000003</v>
      </c>
      <c r="J160">
        <f t="shared" si="35"/>
        <v>31304.936927521801</v>
      </c>
      <c r="K160">
        <f t="shared" si="36"/>
        <v>179392.93692752183</v>
      </c>
      <c r="M160">
        <f t="shared" si="37"/>
        <v>659262.465350062</v>
      </c>
    </row>
    <row r="161" spans="2:21" x14ac:dyDescent="0.2">
      <c r="B161" s="7">
        <v>46016</v>
      </c>
      <c r="C161">
        <v>1.720433105627585</v>
      </c>
      <c r="E161">
        <v>2.2939030624099632</v>
      </c>
      <c r="F161">
        <v>31.103999999999999</v>
      </c>
      <c r="G161" s="8">
        <v>2767.3611111111113</v>
      </c>
      <c r="H161">
        <v>0</v>
      </c>
      <c r="I161">
        <f t="shared" si="34"/>
        <v>148088.00000000003</v>
      </c>
      <c r="J161">
        <f t="shared" si="35"/>
        <v>0</v>
      </c>
      <c r="K161">
        <f t="shared" si="36"/>
        <v>148088.00000000003</v>
      </c>
      <c r="M161">
        <f t="shared" si="37"/>
        <v>659262.465350062</v>
      </c>
    </row>
    <row r="162" spans="2:21" x14ac:dyDescent="0.2">
      <c r="B162" s="7">
        <v>46047</v>
      </c>
      <c r="C162">
        <v>1.720433105627585</v>
      </c>
      <c r="E162">
        <v>0.28673497839118917</v>
      </c>
      <c r="F162">
        <v>31.103999999999999</v>
      </c>
      <c r="G162" s="8">
        <v>2767.3611111111113</v>
      </c>
      <c r="H162">
        <v>0</v>
      </c>
      <c r="I162">
        <f t="shared" si="34"/>
        <v>148088.00000000003</v>
      </c>
      <c r="J162">
        <f t="shared" si="35"/>
        <v>0</v>
      </c>
      <c r="K162">
        <f t="shared" si="36"/>
        <v>148088.00000000003</v>
      </c>
      <c r="M162">
        <f t="shared" si="37"/>
        <v>659262.465350062</v>
      </c>
    </row>
    <row r="163" spans="2:21" x14ac:dyDescent="0.2">
      <c r="B163" s="7">
        <v>46078</v>
      </c>
      <c r="C163">
        <v>1.720433105627585</v>
      </c>
      <c r="E163">
        <v>1.4336865095961708</v>
      </c>
      <c r="F163">
        <v>31.103999999999999</v>
      </c>
      <c r="G163" s="8">
        <v>2767.3611111111113</v>
      </c>
      <c r="H163">
        <v>0</v>
      </c>
      <c r="I163">
        <f t="shared" si="34"/>
        <v>148088.00000000003</v>
      </c>
      <c r="J163">
        <f t="shared" si="35"/>
        <v>0</v>
      </c>
      <c r="K163">
        <f t="shared" si="36"/>
        <v>148088.00000000003</v>
      </c>
      <c r="M163">
        <f t="shared" si="37"/>
        <v>659262.465350062</v>
      </c>
    </row>
    <row r="164" spans="2:21" x14ac:dyDescent="0.2">
      <c r="B164" s="7">
        <v>46106</v>
      </c>
      <c r="C164">
        <v>1.720433105627585</v>
      </c>
      <c r="E164">
        <v>1.1469515312049816</v>
      </c>
      <c r="F164">
        <v>31.103999999999999</v>
      </c>
      <c r="G164" s="8">
        <v>2767.3611111111113</v>
      </c>
      <c r="H164">
        <v>0</v>
      </c>
      <c r="I164">
        <f t="shared" si="34"/>
        <v>148088.00000000003</v>
      </c>
      <c r="J164">
        <f t="shared" si="35"/>
        <v>0</v>
      </c>
      <c r="K164">
        <f t="shared" si="36"/>
        <v>148088.00000000003</v>
      </c>
      <c r="M164">
        <f t="shared" si="37"/>
        <v>659262.465350062</v>
      </c>
    </row>
    <row r="165" spans="2:21" x14ac:dyDescent="0.2">
      <c r="G165">
        <f>SUM(G153:G164)</f>
        <v>45922.710905349784</v>
      </c>
      <c r="H165">
        <f>SUM(H153:H164)</f>
        <v>18921.006852586408</v>
      </c>
      <c r="I165" s="9">
        <f>SUM(I153:I164)</f>
        <v>2348425</v>
      </c>
      <c r="J165" s="9">
        <f>SUM(J153:J164)</f>
        <v>659262.465350062</v>
      </c>
      <c r="K165" s="9">
        <f>SUM(K153:K164)</f>
        <v>3007687.4653500617</v>
      </c>
    </row>
    <row r="166" spans="2:21" x14ac:dyDescent="0.2">
      <c r="J166">
        <f>J165/H165</f>
        <v>34.842884973636806</v>
      </c>
    </row>
    <row r="168" spans="2:21" x14ac:dyDescent="0.2">
      <c r="G168" t="s">
        <v>59</v>
      </c>
    </row>
    <row r="169" spans="2:21" x14ac:dyDescent="0.2">
      <c r="E169" t="s">
        <v>61</v>
      </c>
      <c r="G169" t="s">
        <v>39</v>
      </c>
      <c r="H169" t="s">
        <v>40</v>
      </c>
      <c r="I169" t="s">
        <v>41</v>
      </c>
      <c r="J169" t="s">
        <v>43</v>
      </c>
      <c r="K169" t="s">
        <v>42</v>
      </c>
      <c r="L169" t="s">
        <v>45</v>
      </c>
      <c r="O169" t="s">
        <v>49</v>
      </c>
      <c r="P169" t="s">
        <v>51</v>
      </c>
      <c r="Q169" t="s">
        <v>42</v>
      </c>
      <c r="R169" t="s">
        <v>50</v>
      </c>
      <c r="S169" t="s">
        <v>54</v>
      </c>
      <c r="T169" t="s">
        <v>52</v>
      </c>
      <c r="U169" t="s">
        <v>53</v>
      </c>
    </row>
    <row r="170" spans="2:21" x14ac:dyDescent="0.2">
      <c r="E170">
        <v>1242</v>
      </c>
      <c r="F170" s="7">
        <v>45772</v>
      </c>
      <c r="G170">
        <v>5195.1035206425595</v>
      </c>
      <c r="H170">
        <v>7369.9982180361203</v>
      </c>
      <c r="I170">
        <f>H170-G170+E170</f>
        <v>3416.8946973935608</v>
      </c>
      <c r="J170">
        <v>0.05</v>
      </c>
      <c r="K170">
        <f t="shared" ref="K170:K181" si="38">I170*J170*L170</f>
        <v>4271.1183717419517</v>
      </c>
      <c r="L170">
        <v>25</v>
      </c>
      <c r="O170">
        <v>446884</v>
      </c>
      <c r="P170">
        <f>SUM(Q170:R170)</f>
        <v>542281.50637903402</v>
      </c>
      <c r="Q170">
        <v>2641.4609053497929</v>
      </c>
      <c r="R170">
        <v>539640.04547368421</v>
      </c>
      <c r="S170" s="7">
        <v>45772</v>
      </c>
      <c r="T170">
        <f>O170</f>
        <v>446884</v>
      </c>
      <c r="U170">
        <f>P170</f>
        <v>542281.50637903402</v>
      </c>
    </row>
    <row r="171" spans="2:21" x14ac:dyDescent="0.2">
      <c r="F171" s="7">
        <v>45802</v>
      </c>
      <c r="G171">
        <v>5907.1382972953343</v>
      </c>
      <c r="H171">
        <v>3813.8171728011271</v>
      </c>
      <c r="I171">
        <f>I170+H171-G171</f>
        <v>1323.5735728993532</v>
      </c>
      <c r="J171">
        <v>0.05</v>
      </c>
      <c r="K171">
        <f t="shared" si="38"/>
        <v>1654.4669661241915</v>
      </c>
      <c r="L171">
        <v>25</v>
      </c>
      <c r="O171">
        <v>240264.99999999997</v>
      </c>
      <c r="P171">
        <f t="shared" ref="P171:P181" si="39">SUM(Q171:R171)</f>
        <v>251415.3343621399</v>
      </c>
      <c r="Q171">
        <v>11150.334362139914</v>
      </c>
      <c r="R171">
        <v>240264.99999999997</v>
      </c>
      <c r="S171" s="7">
        <v>45802</v>
      </c>
      <c r="T171">
        <f>O171+T170</f>
        <v>687149</v>
      </c>
      <c r="U171">
        <f>P171+U170</f>
        <v>793696.84074117395</v>
      </c>
    </row>
    <row r="172" spans="2:21" x14ac:dyDescent="0.2">
      <c r="F172" s="7">
        <v>45833</v>
      </c>
      <c r="G172">
        <v>5625.7573205650187</v>
      </c>
      <c r="H172">
        <v>7432.0540666490888</v>
      </c>
      <c r="I172">
        <f t="shared" ref="I172:I181" si="40">I171+H172-G172</f>
        <v>3129.8703189834232</v>
      </c>
      <c r="J172">
        <v>0.05</v>
      </c>
      <c r="K172">
        <f t="shared" si="38"/>
        <v>3912.3378987292795</v>
      </c>
      <c r="L172">
        <v>25</v>
      </c>
      <c r="O172">
        <v>474790.57894736843</v>
      </c>
      <c r="P172">
        <f t="shared" si="39"/>
        <v>578630.59750184091</v>
      </c>
      <c r="Q172">
        <v>13631.044238683122</v>
      </c>
      <c r="R172">
        <v>564999.55326315784</v>
      </c>
      <c r="S172" s="7">
        <v>45833</v>
      </c>
      <c r="T172">
        <f t="shared" ref="T172:U181" si="41">O172+T171</f>
        <v>1161939.5789473685</v>
      </c>
      <c r="U172">
        <f t="shared" si="41"/>
        <v>1372327.4382430147</v>
      </c>
    </row>
    <row r="173" spans="2:21" x14ac:dyDescent="0.2">
      <c r="F173" s="7">
        <v>45863</v>
      </c>
      <c r="G173">
        <v>6433.9826158977739</v>
      </c>
      <c r="H173">
        <f t="shared" ref="H173:H181" si="42">SUM(G156:H156)</f>
        <v>11194.444444444423</v>
      </c>
      <c r="I173">
        <f t="shared" si="40"/>
        <v>7890.3321475300727</v>
      </c>
      <c r="J173">
        <v>0.05</v>
      </c>
      <c r="K173">
        <f t="shared" si="38"/>
        <v>9862.9151844125918</v>
      </c>
      <c r="L173">
        <v>25</v>
      </c>
      <c r="O173">
        <v>351059.15789473685</v>
      </c>
      <c r="P173">
        <f t="shared" si="39"/>
        <v>477018.32306021225</v>
      </c>
      <c r="Q173">
        <v>18080.954218106992</v>
      </c>
      <c r="R173">
        <v>458937.36884210526</v>
      </c>
      <c r="S173" s="7">
        <v>45863</v>
      </c>
      <c r="T173">
        <f t="shared" si="41"/>
        <v>1512998.7368421054</v>
      </c>
      <c r="U173">
        <f t="shared" si="41"/>
        <v>1849345.7613032269</v>
      </c>
    </row>
    <row r="174" spans="2:21" x14ac:dyDescent="0.2">
      <c r="F174" s="7">
        <v>45894</v>
      </c>
      <c r="G174">
        <v>6493.9081133646077</v>
      </c>
      <c r="H174">
        <f t="shared" si="42"/>
        <v>11886.831275720164</v>
      </c>
      <c r="I174">
        <f t="shared" si="40"/>
        <v>13283.25530988563</v>
      </c>
      <c r="J174">
        <v>0.05</v>
      </c>
      <c r="K174">
        <f t="shared" si="38"/>
        <v>16604.069137357037</v>
      </c>
      <c r="L174">
        <v>25</v>
      </c>
      <c r="O174">
        <v>351059.15789473685</v>
      </c>
      <c r="P174">
        <f t="shared" si="39"/>
        <v>470674.47530300973</v>
      </c>
      <c r="Q174">
        <v>22103.26646090531</v>
      </c>
      <c r="R174">
        <v>448571.20884210442</v>
      </c>
      <c r="S174" s="7">
        <v>45894</v>
      </c>
      <c r="T174">
        <f t="shared" si="41"/>
        <v>1864057.8947368423</v>
      </c>
      <c r="U174">
        <f t="shared" si="41"/>
        <v>2320020.2366062365</v>
      </c>
    </row>
    <row r="175" spans="2:21" x14ac:dyDescent="0.2">
      <c r="F175" s="7">
        <v>45925</v>
      </c>
      <c r="G175">
        <v>6071.2326312903115</v>
      </c>
      <c r="H175">
        <f t="shared" si="42"/>
        <v>4886.8312757201647</v>
      </c>
      <c r="I175">
        <f t="shared" si="40"/>
        <v>12098.853954315482</v>
      </c>
      <c r="J175">
        <v>0.05</v>
      </c>
      <c r="K175">
        <f t="shared" si="38"/>
        <v>15123.567442894353</v>
      </c>
      <c r="L175">
        <v>25</v>
      </c>
      <c r="O175">
        <v>260452.77631578947</v>
      </c>
      <c r="P175">
        <f t="shared" si="39"/>
        <v>304452.67678642564</v>
      </c>
      <c r="Q175">
        <v>24514.529012345633</v>
      </c>
      <c r="R175">
        <v>279938.14777407999</v>
      </c>
      <c r="S175" s="7">
        <v>45925</v>
      </c>
      <c r="T175">
        <f t="shared" si="41"/>
        <v>2124510.6710526319</v>
      </c>
      <c r="U175">
        <f t="shared" si="41"/>
        <v>2624472.9133926621</v>
      </c>
    </row>
    <row r="176" spans="2:21" x14ac:dyDescent="0.2">
      <c r="F176" s="7">
        <v>45955</v>
      </c>
      <c r="G176">
        <v>6403.8158313631438</v>
      </c>
      <c r="H176">
        <f t="shared" si="42"/>
        <v>2764.9176954732511</v>
      </c>
      <c r="I176">
        <f t="shared" si="40"/>
        <v>8459.9558184255911</v>
      </c>
      <c r="J176">
        <v>0.05</v>
      </c>
      <c r="K176">
        <f t="shared" si="38"/>
        <v>10574.94477303199</v>
      </c>
      <c r="L176">
        <v>25</v>
      </c>
      <c r="O176">
        <v>278956.46511627908</v>
      </c>
      <c r="P176">
        <f t="shared" si="39"/>
        <v>169548.25946502053</v>
      </c>
      <c r="Q176">
        <v>21460.259465020532</v>
      </c>
      <c r="R176">
        <v>148088</v>
      </c>
      <c r="S176" s="7">
        <v>45955</v>
      </c>
      <c r="T176">
        <f t="shared" si="41"/>
        <v>2403467.1361689111</v>
      </c>
      <c r="U176">
        <f t="shared" si="41"/>
        <v>2794021.1728576827</v>
      </c>
    </row>
    <row r="177" spans="5:21" x14ac:dyDescent="0.2">
      <c r="F177" s="7">
        <v>45986</v>
      </c>
      <c r="G177">
        <v>6026.4848889003415</v>
      </c>
      <c r="H177">
        <f t="shared" si="42"/>
        <v>3352.3650617283793</v>
      </c>
      <c r="I177">
        <f t="shared" si="40"/>
        <v>5785.835991253628</v>
      </c>
      <c r="J177">
        <v>0.05</v>
      </c>
      <c r="K177">
        <f t="shared" si="38"/>
        <v>7232.2949890670361</v>
      </c>
      <c r="L177">
        <v>25</v>
      </c>
      <c r="O177">
        <v>333764.02249175153</v>
      </c>
      <c r="P177">
        <f t="shared" si="39"/>
        <v>165211.03595679012</v>
      </c>
      <c r="Q177">
        <v>17123.035956790081</v>
      </c>
      <c r="R177">
        <v>148088.00000000003</v>
      </c>
      <c r="S177" s="7">
        <v>45986</v>
      </c>
      <c r="T177">
        <f t="shared" si="41"/>
        <v>2737231.1586606628</v>
      </c>
      <c r="U177">
        <f t="shared" si="41"/>
        <v>2959232.2088144729</v>
      </c>
    </row>
    <row r="178" spans="5:21" x14ac:dyDescent="0.2">
      <c r="F178" s="7">
        <v>46016</v>
      </c>
      <c r="G178">
        <v>4479.7985738060161</v>
      </c>
      <c r="H178">
        <f t="shared" si="42"/>
        <v>2767.3611111111113</v>
      </c>
      <c r="I178">
        <f t="shared" si="40"/>
        <v>4073.3985285587223</v>
      </c>
      <c r="J178">
        <v>0.05</v>
      </c>
      <c r="K178">
        <f t="shared" si="38"/>
        <v>5091.7481606984029</v>
      </c>
      <c r="L178">
        <v>25</v>
      </c>
      <c r="O178">
        <v>471353.99516706169</v>
      </c>
      <c r="P178">
        <f t="shared" si="39"/>
        <v>159547.61646090532</v>
      </c>
      <c r="Q178">
        <v>11459.616460905305</v>
      </c>
      <c r="R178">
        <v>148088.00000000003</v>
      </c>
      <c r="S178" s="7">
        <v>46016</v>
      </c>
      <c r="T178">
        <f t="shared" si="41"/>
        <v>3208585.1538277245</v>
      </c>
      <c r="U178">
        <f t="shared" si="41"/>
        <v>3118779.8252753783</v>
      </c>
    </row>
    <row r="179" spans="5:21" x14ac:dyDescent="0.2">
      <c r="F179" s="7">
        <v>46047</v>
      </c>
      <c r="G179">
        <v>4284.164832400751</v>
      </c>
      <c r="H179">
        <f t="shared" si="42"/>
        <v>2767.3611111111113</v>
      </c>
      <c r="I179">
        <f t="shared" si="40"/>
        <v>2556.5948072690826</v>
      </c>
      <c r="J179">
        <v>0.05</v>
      </c>
      <c r="K179">
        <f t="shared" si="38"/>
        <v>3195.7435090863532</v>
      </c>
      <c r="L179">
        <v>25</v>
      </c>
      <c r="O179">
        <v>155808.05255820439</v>
      </c>
      <c r="P179">
        <f t="shared" si="39"/>
        <v>158465.60128600823</v>
      </c>
      <c r="Q179">
        <v>10377.601286008185</v>
      </c>
      <c r="R179">
        <v>148088.00000000003</v>
      </c>
      <c r="S179" s="7">
        <v>46047</v>
      </c>
      <c r="T179">
        <f t="shared" si="41"/>
        <v>3364393.2063859291</v>
      </c>
      <c r="U179">
        <f t="shared" si="41"/>
        <v>3277245.4265613863</v>
      </c>
    </row>
    <row r="180" spans="5:21" x14ac:dyDescent="0.2">
      <c r="F180" s="7">
        <v>46078</v>
      </c>
      <c r="G180">
        <v>3874.8158713185621</v>
      </c>
      <c r="H180">
        <f t="shared" si="42"/>
        <v>2767.3611111111113</v>
      </c>
      <c r="I180">
        <f t="shared" si="40"/>
        <v>1449.1400470616318</v>
      </c>
      <c r="J180">
        <v>0.05</v>
      </c>
      <c r="K180">
        <f t="shared" si="38"/>
        <v>1811.4250588270397</v>
      </c>
      <c r="L180">
        <v>25</v>
      </c>
      <c r="O180">
        <v>279878.19870811841</v>
      </c>
      <c r="P180">
        <f t="shared" si="39"/>
        <v>154771.38189300409</v>
      </c>
      <c r="Q180">
        <v>6683.3818930040688</v>
      </c>
      <c r="R180">
        <v>148088.00000000003</v>
      </c>
      <c r="S180" s="7">
        <v>46078</v>
      </c>
      <c r="T180">
        <f t="shared" si="41"/>
        <v>3644271.4050940475</v>
      </c>
      <c r="U180">
        <f t="shared" si="41"/>
        <v>3432016.8084543906</v>
      </c>
    </row>
    <row r="181" spans="5:21" x14ac:dyDescent="0.2">
      <c r="F181" s="7">
        <v>46106</v>
      </c>
      <c r="G181">
        <v>3826.840185484803</v>
      </c>
      <c r="H181">
        <f t="shared" si="42"/>
        <v>2767.3611111111113</v>
      </c>
      <c r="I181">
        <f t="shared" si="40"/>
        <v>389.6609726879401</v>
      </c>
      <c r="J181">
        <v>0.05</v>
      </c>
      <c r="K181">
        <f t="shared" si="38"/>
        <v>487.07621585992518</v>
      </c>
      <c r="L181">
        <v>25</v>
      </c>
      <c r="O181">
        <v>235169.14805520704</v>
      </c>
      <c r="P181">
        <f t="shared" si="39"/>
        <v>151720.16661522634</v>
      </c>
      <c r="Q181">
        <v>3632.1666152262928</v>
      </c>
      <c r="R181">
        <v>148088.00000000003</v>
      </c>
      <c r="S181" s="7">
        <v>46106</v>
      </c>
      <c r="T181">
        <f t="shared" si="41"/>
        <v>3879440.5531492545</v>
      </c>
      <c r="U181">
        <f t="shared" si="41"/>
        <v>3583736.9750696169</v>
      </c>
    </row>
    <row r="182" spans="5:21" x14ac:dyDescent="0.2">
      <c r="J182" t="s">
        <v>42</v>
      </c>
      <c r="K182" s="9">
        <f>SUM(K170:K181)</f>
        <v>79821.707707830166</v>
      </c>
    </row>
    <row r="184" spans="5:21" x14ac:dyDescent="0.2">
      <c r="J184" t="s">
        <v>44</v>
      </c>
      <c r="K184">
        <f>SUM(K165+K182)</f>
        <v>3087509.1730578919</v>
      </c>
    </row>
    <row r="186" spans="5:21" x14ac:dyDescent="0.2">
      <c r="J186" t="s">
        <v>46</v>
      </c>
      <c r="K186">
        <f>(K149-K184)/K149</f>
        <v>4.6846230524229045E-2</v>
      </c>
    </row>
    <row r="190" spans="5:21" x14ac:dyDescent="0.2">
      <c r="G190" t="s">
        <v>60</v>
      </c>
    </row>
    <row r="191" spans="5:21" x14ac:dyDescent="0.2">
      <c r="G191" t="s">
        <v>39</v>
      </c>
      <c r="H191" t="s">
        <v>40</v>
      </c>
      <c r="I191" t="s">
        <v>41</v>
      </c>
      <c r="J191" t="s">
        <v>43</v>
      </c>
      <c r="K191" t="s">
        <v>42</v>
      </c>
      <c r="L191" t="s">
        <v>45</v>
      </c>
    </row>
    <row r="192" spans="5:21" x14ac:dyDescent="0.2">
      <c r="E192">
        <v>1242</v>
      </c>
      <c r="F192" s="7">
        <v>45772</v>
      </c>
      <c r="G192">
        <v>5195.1035206425595</v>
      </c>
      <c r="H192">
        <v>7369.9982180361203</v>
      </c>
      <c r="I192">
        <f>H192-G192+E192</f>
        <v>3416.8946973935608</v>
      </c>
      <c r="J192">
        <v>0.05</v>
      </c>
      <c r="K192">
        <f>I192*J192*L192</f>
        <v>4271.1183717419517</v>
      </c>
      <c r="L192">
        <v>25</v>
      </c>
    </row>
    <row r="193" spans="6:16" x14ac:dyDescent="0.2">
      <c r="F193" s="7">
        <v>45802</v>
      </c>
      <c r="G193">
        <v>5907.1382972953343</v>
      </c>
      <c r="H193">
        <v>3813.8171728011271</v>
      </c>
      <c r="I193">
        <f>I192+H193-G193</f>
        <v>1323.5735728993532</v>
      </c>
      <c r="J193">
        <v>0.05</v>
      </c>
      <c r="K193">
        <f t="shared" ref="K193:K203" si="43">I193*J193*L193</f>
        <v>1654.4669661241915</v>
      </c>
      <c r="L193">
        <v>25</v>
      </c>
    </row>
    <row r="194" spans="6:16" x14ac:dyDescent="0.2">
      <c r="F194" s="7">
        <v>45833</v>
      </c>
      <c r="G194">
        <v>5625.7573205650187</v>
      </c>
      <c r="H194">
        <v>7432.0540666490888</v>
      </c>
      <c r="I194">
        <f t="shared" ref="I194:I203" si="44">I193+H194-G194</f>
        <v>3129.8703189834232</v>
      </c>
      <c r="J194">
        <v>0.05</v>
      </c>
      <c r="K194">
        <f t="shared" si="43"/>
        <v>3912.3378987292795</v>
      </c>
      <c r="L194">
        <v>25</v>
      </c>
    </row>
    <row r="195" spans="6:16" x14ac:dyDescent="0.2">
      <c r="F195" s="7">
        <v>45863</v>
      </c>
      <c r="G195">
        <v>6433.9826158977739</v>
      </c>
      <c r="H195">
        <v>6258.571845599231</v>
      </c>
      <c r="I195">
        <f t="shared" si="44"/>
        <v>2954.4595486848812</v>
      </c>
      <c r="J195">
        <v>0.05</v>
      </c>
      <c r="K195">
        <f t="shared" si="43"/>
        <v>3693.0744358561014</v>
      </c>
      <c r="L195">
        <v>25</v>
      </c>
    </row>
    <row r="196" spans="6:16" x14ac:dyDescent="0.2">
      <c r="F196" s="7">
        <v>45894</v>
      </c>
      <c r="G196">
        <v>6493.9081133646077</v>
      </c>
      <c r="H196">
        <v>6258.571845599231</v>
      </c>
      <c r="I196">
        <f t="shared" si="44"/>
        <v>2719.1232809195053</v>
      </c>
      <c r="J196">
        <v>0.05</v>
      </c>
      <c r="K196">
        <f t="shared" si="43"/>
        <v>3398.9041011493819</v>
      </c>
      <c r="L196">
        <v>25</v>
      </c>
    </row>
    <row r="197" spans="6:16" x14ac:dyDescent="0.2">
      <c r="F197" s="7">
        <v>45925</v>
      </c>
      <c r="G197">
        <v>6071.2326312903115</v>
      </c>
      <c r="H197">
        <v>4778.7981416454531</v>
      </c>
      <c r="I197">
        <f t="shared" si="44"/>
        <v>1426.688791274647</v>
      </c>
      <c r="J197">
        <v>0.05</v>
      </c>
      <c r="K197">
        <f t="shared" si="43"/>
        <v>1783.3609890933087</v>
      </c>
      <c r="L197">
        <v>25</v>
      </c>
    </row>
    <row r="198" spans="6:16" x14ac:dyDescent="0.2">
      <c r="F198" s="7">
        <v>45955</v>
      </c>
      <c r="G198">
        <v>6403.8158313631438</v>
      </c>
      <c r="H198">
        <v>6810.537494794291</v>
      </c>
      <c r="I198">
        <f t="shared" si="44"/>
        <v>1833.4104547057932</v>
      </c>
      <c r="J198">
        <v>0.05</v>
      </c>
      <c r="K198">
        <f t="shared" si="43"/>
        <v>2291.7630683822417</v>
      </c>
      <c r="L198">
        <v>25</v>
      </c>
    </row>
    <row r="199" spans="6:16" x14ac:dyDescent="0.2">
      <c r="F199" s="7">
        <v>45986</v>
      </c>
      <c r="G199">
        <v>6026.4848889003415</v>
      </c>
      <c r="H199">
        <v>5169.9588819954042</v>
      </c>
      <c r="I199">
        <f t="shared" si="44"/>
        <v>976.88444780085592</v>
      </c>
      <c r="J199">
        <v>0.05</v>
      </c>
      <c r="K199">
        <f t="shared" si="43"/>
        <v>1221.1055597510701</v>
      </c>
      <c r="L199">
        <v>25</v>
      </c>
    </row>
    <row r="200" spans="6:16" x14ac:dyDescent="0.2">
      <c r="F200" s="7">
        <v>46016</v>
      </c>
      <c r="G200">
        <v>4479.7985738060161</v>
      </c>
      <c r="H200">
        <v>4725.1965053637505</v>
      </c>
      <c r="I200">
        <f t="shared" si="44"/>
        <v>1222.2823793585903</v>
      </c>
      <c r="J200">
        <v>0.05</v>
      </c>
      <c r="K200">
        <f t="shared" si="43"/>
        <v>1527.8529741982379</v>
      </c>
      <c r="L200">
        <v>25</v>
      </c>
    </row>
    <row r="201" spans="6:16" x14ac:dyDescent="0.2">
      <c r="F201" s="7">
        <v>46047</v>
      </c>
      <c r="G201">
        <v>4284.164832400751</v>
      </c>
      <c r="H201">
        <v>3151.6199379169921</v>
      </c>
      <c r="I201">
        <f t="shared" si="44"/>
        <v>89.737484874831352</v>
      </c>
      <c r="J201">
        <v>0.05</v>
      </c>
      <c r="K201">
        <f t="shared" si="43"/>
        <v>112.17185609353919</v>
      </c>
      <c r="L201">
        <v>25</v>
      </c>
    </row>
    <row r="202" spans="6:16" x14ac:dyDescent="0.2">
      <c r="F202" s="7">
        <v>46078</v>
      </c>
      <c r="G202">
        <v>3874.8158713185621</v>
      </c>
      <c r="H202">
        <v>3956.2754337342722</v>
      </c>
      <c r="I202">
        <f t="shared" si="44"/>
        <v>171.19704729054138</v>
      </c>
      <c r="J202">
        <v>0.05</v>
      </c>
      <c r="K202">
        <f t="shared" si="43"/>
        <v>213.99630911317672</v>
      </c>
      <c r="L202">
        <v>25</v>
      </c>
      <c r="M202" s="8"/>
      <c r="N202" s="8" t="s">
        <v>33</v>
      </c>
      <c r="O202" s="8" t="s">
        <v>34</v>
      </c>
      <c r="P202" s="8" t="s">
        <v>46</v>
      </c>
    </row>
    <row r="203" spans="6:16" x14ac:dyDescent="0.2">
      <c r="F203" s="7">
        <v>46106</v>
      </c>
      <c r="G203">
        <v>3826.840185484803</v>
      </c>
      <c r="H203">
        <v>3933.9414186168956</v>
      </c>
      <c r="I203">
        <f t="shared" si="44"/>
        <v>278.29828042263443</v>
      </c>
      <c r="J203">
        <v>0.05</v>
      </c>
      <c r="K203">
        <f t="shared" si="43"/>
        <v>347.87285052829304</v>
      </c>
      <c r="L203">
        <v>25</v>
      </c>
      <c r="M203" s="8" t="s">
        <v>55</v>
      </c>
      <c r="N203" s="8">
        <v>890831.11158837902</v>
      </c>
      <c r="O203" s="8">
        <v>659262.465350062</v>
      </c>
      <c r="P203" s="8">
        <f>100*(N203-O203)/N203</f>
        <v>25.994674324454504</v>
      </c>
    </row>
    <row r="204" spans="6:16" x14ac:dyDescent="0.2">
      <c r="J204" t="s">
        <v>42</v>
      </c>
      <c r="K204" s="9">
        <f>SUM(K192:K203)</f>
        <v>24428.025380760777</v>
      </c>
      <c r="M204" s="8" t="s">
        <v>21</v>
      </c>
      <c r="N204" s="8">
        <v>2348425</v>
      </c>
      <c r="O204" s="8">
        <v>2348425</v>
      </c>
      <c r="P204" s="8">
        <f t="shared" ref="P204:P206" si="45">100*(N204-O204)/N204</f>
        <v>0</v>
      </c>
    </row>
    <row r="205" spans="6:16" x14ac:dyDescent="0.2">
      <c r="M205" s="8" t="s">
        <v>42</v>
      </c>
      <c r="N205" s="8">
        <v>24428.025380760777</v>
      </c>
      <c r="O205" s="11">
        <f>K182</f>
        <v>79821.707707830166</v>
      </c>
      <c r="P205" s="8">
        <f t="shared" si="45"/>
        <v>-226.76283270401706</v>
      </c>
    </row>
    <row r="206" spans="6:16" x14ac:dyDescent="0.2">
      <c r="J206" t="s">
        <v>62</v>
      </c>
      <c r="K206">
        <f>K204+K149</f>
        <v>3263684.1369691398</v>
      </c>
      <c r="M206" s="8" t="s">
        <v>29</v>
      </c>
      <c r="N206" s="8">
        <f>SUM(N203:N205)</f>
        <v>3263684.1369691398</v>
      </c>
      <c r="O206" s="8">
        <f>SUM(O203:O205)</f>
        <v>3087509.1730578924</v>
      </c>
      <c r="P206" s="8">
        <f t="shared" si="45"/>
        <v>5.3980396545008329</v>
      </c>
    </row>
    <row r="208" spans="6:16" x14ac:dyDescent="0.2">
      <c r="N208" t="s">
        <v>33</v>
      </c>
      <c r="O208" t="s">
        <v>34</v>
      </c>
    </row>
    <row r="209" spans="13:17" x14ac:dyDescent="0.2">
      <c r="M209" s="8" t="s">
        <v>74</v>
      </c>
      <c r="N209">
        <f>SUM(N203:N204)</f>
        <v>3239256.1115883789</v>
      </c>
      <c r="O209">
        <f>SUM(O203:O204)</f>
        <v>3007687.4653500621</v>
      </c>
      <c r="P209">
        <f>100*(N209-O209)/N209</f>
        <v>7.1488217745390443</v>
      </c>
      <c r="Q209">
        <f>N209-O209</f>
        <v>231568.64623831678</v>
      </c>
    </row>
    <row r="210" spans="13:17" x14ac:dyDescent="0.2">
      <c r="M210" s="8" t="s">
        <v>42</v>
      </c>
      <c r="N210">
        <f>100*N205/N209</f>
        <v>0.75412454400780371</v>
      </c>
      <c r="O210">
        <f>ABS(P205)*N210</f>
        <v>171.00741781083474</v>
      </c>
    </row>
    <row r="214" spans="13:17" x14ac:dyDescent="0.2">
      <c r="N214" t="s">
        <v>33</v>
      </c>
      <c r="O214" t="s">
        <v>34</v>
      </c>
    </row>
    <row r="215" spans="13:17" x14ac:dyDescent="0.2">
      <c r="M215" t="s">
        <v>50</v>
      </c>
      <c r="N215">
        <v>3276</v>
      </c>
      <c r="O215">
        <f>N215*(100-P209)/100</f>
        <v>3041.8045986661004</v>
      </c>
      <c r="P215">
        <f>N215-O215</f>
        <v>234.19540133389955</v>
      </c>
    </row>
    <row r="216" spans="13:17" x14ac:dyDescent="0.2">
      <c r="M216" t="s">
        <v>57</v>
      </c>
      <c r="N216">
        <f>N215*N210/100</f>
        <v>24.705120061695649</v>
      </c>
      <c r="O216">
        <f>N216*(100+ABS(P205))/100</f>
        <v>80.727150136525111</v>
      </c>
      <c r="P216">
        <f>N216-O216</f>
        <v>-56.022030074829459</v>
      </c>
    </row>
    <row r="217" spans="13:17" x14ac:dyDescent="0.2">
      <c r="M217" t="s">
        <v>75</v>
      </c>
      <c r="N217">
        <v>0</v>
      </c>
      <c r="O217">
        <v>0</v>
      </c>
    </row>
    <row r="218" spans="13:17" x14ac:dyDescent="0.2">
      <c r="N218">
        <f>SUM(N215:N216)</f>
        <v>3300.7051200616957</v>
      </c>
      <c r="O218">
        <f>SUM(O215:O216)</f>
        <v>3122.5317488026258</v>
      </c>
      <c r="P218">
        <f>SUM(P215:P217)</f>
        <v>178.17337125907011</v>
      </c>
    </row>
    <row r="220" spans="13:17" x14ac:dyDescent="0.2">
      <c r="N220">
        <f>N218-O218</f>
        <v>178.17337125906988</v>
      </c>
    </row>
  </sheetData>
  <mergeCells count="1">
    <mergeCell ref="I130:I131"/>
  </mergeCells>
  <phoneticPr fontId="3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FA8C-1640-AC43-9301-03E3B0E9069F}">
  <dimension ref="A2:U220"/>
  <sheetViews>
    <sheetView topLeftCell="E35" zoomScaleNormal="100" workbookViewId="0">
      <selection activeCell="P51" sqref="P51:P53"/>
    </sheetView>
  </sheetViews>
  <sheetFormatPr baseColWidth="10" defaultColWidth="13.5" defaultRowHeight="15" x14ac:dyDescent="0.2"/>
  <cols>
    <col min="3" max="3" width="10.6640625" customWidth="1"/>
    <col min="4" max="4" width="9" customWidth="1"/>
    <col min="7" max="7" width="14.83203125" customWidth="1"/>
    <col min="8" max="8" width="16.5" customWidth="1"/>
  </cols>
  <sheetData>
    <row r="2" spans="2:18" x14ac:dyDescent="0.2">
      <c r="B2" s="9" t="s">
        <v>33</v>
      </c>
    </row>
    <row r="3" spans="2:18" s="15" customFormat="1" ht="32" x14ac:dyDescent="0.2">
      <c r="B3" s="15" t="s">
        <v>54</v>
      </c>
      <c r="C3" s="15" t="s">
        <v>88</v>
      </c>
      <c r="D3" s="15" t="s">
        <v>81</v>
      </c>
      <c r="E3" s="15" t="s">
        <v>89</v>
      </c>
      <c r="F3" s="15" t="s">
        <v>30</v>
      </c>
      <c r="G3" s="15" t="s">
        <v>31</v>
      </c>
      <c r="H3" s="15" t="s">
        <v>80</v>
      </c>
      <c r="I3" s="15" t="s">
        <v>24</v>
      </c>
      <c r="J3" s="15" t="s">
        <v>21</v>
      </c>
      <c r="K3" s="15" t="s">
        <v>22</v>
      </c>
      <c r="L3" s="15" t="s">
        <v>29</v>
      </c>
    </row>
    <row r="4" spans="2:18" x14ac:dyDescent="0.2">
      <c r="B4" s="14">
        <v>45748</v>
      </c>
      <c r="C4">
        <v>504</v>
      </c>
      <c r="D4" s="8">
        <v>35</v>
      </c>
      <c r="E4">
        <f>C4*1000/D4</f>
        <v>14400</v>
      </c>
      <c r="F4">
        <v>1.5288157894736842</v>
      </c>
      <c r="G4">
        <v>1.4112105263157895</v>
      </c>
      <c r="H4" s="16">
        <v>4886.8312757201647</v>
      </c>
      <c r="I4">
        <f>E4-H4</f>
        <v>9513.1687242798362</v>
      </c>
      <c r="J4">
        <f>F4*H4</f>
        <v>7471.0648148148148</v>
      </c>
      <c r="K4">
        <f>G4*I4</f>
        <v>13425.083842321856</v>
      </c>
      <c r="L4">
        <f>SUM(J4:K4)</f>
        <v>20896.148657136669</v>
      </c>
    </row>
    <row r="5" spans="2:18" x14ac:dyDescent="0.2">
      <c r="B5" s="14">
        <v>45778</v>
      </c>
      <c r="C5">
        <v>261</v>
      </c>
      <c r="D5" s="8">
        <v>35</v>
      </c>
      <c r="E5">
        <f t="shared" ref="E5:E15" si="0">C5*1000/D5</f>
        <v>7457.1428571428569</v>
      </c>
      <c r="F5">
        <v>1.5806907894736841</v>
      </c>
      <c r="G5">
        <v>0</v>
      </c>
      <c r="H5" s="16">
        <v>4886.8312757201647</v>
      </c>
      <c r="I5">
        <f t="shared" ref="I5:I15" si="1">E5-H5</f>
        <v>2570.3115814226921</v>
      </c>
      <c r="J5">
        <f t="shared" ref="J5:K15" si="2">F5*H5</f>
        <v>7724.5691872427979</v>
      </c>
      <c r="K5">
        <f t="shared" si="2"/>
        <v>0</v>
      </c>
      <c r="L5">
        <f t="shared" ref="L5:L16" si="3">SUM(J5:K5)</f>
        <v>7724.5691872427979</v>
      </c>
    </row>
    <row r="6" spans="2:18" x14ac:dyDescent="0.2">
      <c r="B6" s="14">
        <v>45809</v>
      </c>
      <c r="C6">
        <v>508</v>
      </c>
      <c r="D6" s="8">
        <v>35</v>
      </c>
      <c r="E6">
        <f t="shared" si="0"/>
        <v>14514.285714285714</v>
      </c>
      <c r="F6">
        <v>1.6237697368421053</v>
      </c>
      <c r="G6">
        <v>1.4613947368421052</v>
      </c>
      <c r="H6" s="16">
        <v>4886.8312757201647</v>
      </c>
      <c r="I6">
        <f t="shared" si="1"/>
        <v>9627.4544385655499</v>
      </c>
      <c r="J6">
        <f t="shared" si="2"/>
        <v>7935.0887345679021</v>
      </c>
      <c r="K6">
        <f t="shared" si="2"/>
        <v>14069.511245706859</v>
      </c>
      <c r="L6">
        <f t="shared" si="3"/>
        <v>22004.599980274761</v>
      </c>
    </row>
    <row r="7" spans="2:18" x14ac:dyDescent="0.2">
      <c r="B7" s="14">
        <v>45839</v>
      </c>
      <c r="C7">
        <v>428</v>
      </c>
      <c r="D7" s="8">
        <v>35</v>
      </c>
      <c r="E7">
        <f t="shared" si="0"/>
        <v>12228.571428571429</v>
      </c>
      <c r="F7">
        <v>1.6237697368421053</v>
      </c>
      <c r="G7">
        <v>0.97426315789473683</v>
      </c>
      <c r="H7" s="16">
        <v>4886.8312757201647</v>
      </c>
      <c r="I7">
        <f t="shared" si="1"/>
        <v>7341.7401528512646</v>
      </c>
      <c r="J7">
        <f t="shared" si="2"/>
        <v>7935.0887345679021</v>
      </c>
      <c r="K7">
        <f t="shared" si="2"/>
        <v>7152.7869457594607</v>
      </c>
      <c r="L7">
        <f t="shared" si="3"/>
        <v>15087.875680327363</v>
      </c>
    </row>
    <row r="8" spans="2:18" x14ac:dyDescent="0.2">
      <c r="B8" s="14">
        <v>45870</v>
      </c>
      <c r="C8">
        <v>428</v>
      </c>
      <c r="D8" s="8">
        <v>35</v>
      </c>
      <c r="E8">
        <f t="shared" si="0"/>
        <v>12228.571428571429</v>
      </c>
      <c r="F8">
        <v>1.6237697368421053</v>
      </c>
      <c r="G8">
        <v>0.97426315789473683</v>
      </c>
      <c r="H8" s="16">
        <v>4886.8312757201647</v>
      </c>
      <c r="I8">
        <f t="shared" si="1"/>
        <v>7341.7401528512646</v>
      </c>
      <c r="J8">
        <f t="shared" si="2"/>
        <v>7935.0887345679021</v>
      </c>
      <c r="K8">
        <f t="shared" si="2"/>
        <v>7152.7869457594607</v>
      </c>
      <c r="L8">
        <f t="shared" si="3"/>
        <v>15087.875680327363</v>
      </c>
    </row>
    <row r="9" spans="2:18" x14ac:dyDescent="0.2">
      <c r="B9" s="14">
        <v>45901</v>
      </c>
      <c r="C9">
        <v>327</v>
      </c>
      <c r="D9" s="8">
        <v>35</v>
      </c>
      <c r="E9">
        <f t="shared" si="0"/>
        <v>9342.8571428571431</v>
      </c>
      <c r="F9">
        <v>1.6237697368421053</v>
      </c>
      <c r="G9">
        <v>0.32475657894736842</v>
      </c>
      <c r="H9" s="16">
        <v>4886.8312757201647</v>
      </c>
      <c r="I9">
        <f t="shared" si="1"/>
        <v>4456.0258671369784</v>
      </c>
      <c r="J9">
        <f t="shared" si="2"/>
        <v>7935.0887345679021</v>
      </c>
      <c r="K9">
        <f t="shared" si="2"/>
        <v>1447.123716312386</v>
      </c>
      <c r="L9">
        <f t="shared" si="3"/>
        <v>9382.2124508802881</v>
      </c>
    </row>
    <row r="10" spans="2:18" x14ac:dyDescent="0.2">
      <c r="B10" s="14">
        <v>45931</v>
      </c>
      <c r="C10">
        <v>466</v>
      </c>
      <c r="D10" s="8">
        <v>35</v>
      </c>
      <c r="E10">
        <f t="shared" si="0"/>
        <v>13314.285714285714</v>
      </c>
      <c r="F10">
        <v>1.7219534883720931</v>
      </c>
      <c r="G10">
        <v>1.7219534883720931</v>
      </c>
      <c r="H10" s="16">
        <v>2767.3611111111113</v>
      </c>
      <c r="I10">
        <f t="shared" si="1"/>
        <v>10546.924603174602</v>
      </c>
      <c r="J10">
        <f t="shared" si="2"/>
        <v>4765.2671188630493</v>
      </c>
      <c r="K10">
        <f t="shared" si="2"/>
        <v>18161.313612033959</v>
      </c>
      <c r="L10">
        <f t="shared" si="3"/>
        <v>22926.580730897007</v>
      </c>
    </row>
    <row r="11" spans="2:18" x14ac:dyDescent="0.2">
      <c r="B11" s="14">
        <v>45962</v>
      </c>
      <c r="C11">
        <v>354</v>
      </c>
      <c r="D11" s="8">
        <v>35</v>
      </c>
      <c r="E11">
        <f t="shared" si="0"/>
        <v>10114.285714285714</v>
      </c>
      <c r="F11">
        <v>1.720433105627585</v>
      </c>
      <c r="G11">
        <v>1.720433105627585</v>
      </c>
      <c r="H11" s="16">
        <v>2767.3611111111113</v>
      </c>
      <c r="I11">
        <f t="shared" si="1"/>
        <v>7346.9246031746025</v>
      </c>
      <c r="J11">
        <f t="shared" si="2"/>
        <v>4761.0596707818931</v>
      </c>
      <c r="K11">
        <f t="shared" si="2"/>
        <v>12639.892311851394</v>
      </c>
      <c r="L11">
        <f t="shared" si="3"/>
        <v>17400.951982633287</v>
      </c>
      <c r="P11" t="s">
        <v>33</v>
      </c>
      <c r="Q11" t="s">
        <v>82</v>
      </c>
      <c r="R11" t="s">
        <v>46</v>
      </c>
    </row>
    <row r="12" spans="2:18" x14ac:dyDescent="0.2">
      <c r="B12" s="14">
        <v>45992</v>
      </c>
      <c r="C12">
        <v>323</v>
      </c>
      <c r="D12" s="8">
        <v>35</v>
      </c>
      <c r="E12">
        <f t="shared" si="0"/>
        <v>9228.5714285714294</v>
      </c>
      <c r="F12">
        <v>1.720433105627585</v>
      </c>
      <c r="G12">
        <v>2.2939030624099632</v>
      </c>
      <c r="H12" s="16">
        <v>2767.3611111111113</v>
      </c>
      <c r="I12">
        <f t="shared" si="1"/>
        <v>6461.210317460318</v>
      </c>
      <c r="J12">
        <f t="shared" si="2"/>
        <v>4761.0596707818931</v>
      </c>
      <c r="K12">
        <f t="shared" si="2"/>
        <v>14821.390134097073</v>
      </c>
      <c r="L12">
        <f t="shared" si="3"/>
        <v>19582.449804878968</v>
      </c>
      <c r="O12" t="s">
        <v>21</v>
      </c>
      <c r="P12">
        <f>J16</f>
        <v>75506.554413101723</v>
      </c>
      <c r="Q12">
        <f>J34</f>
        <v>75506.554413101723</v>
      </c>
      <c r="R12">
        <f>100*(P12- Q12)/P12</f>
        <v>0</v>
      </c>
    </row>
    <row r="13" spans="2:18" x14ac:dyDescent="0.2">
      <c r="B13" s="14">
        <v>46023</v>
      </c>
      <c r="C13">
        <v>216</v>
      </c>
      <c r="D13" s="8">
        <v>35</v>
      </c>
      <c r="E13">
        <f t="shared" si="0"/>
        <v>6171.4285714285716</v>
      </c>
      <c r="F13">
        <v>1.720433105627585</v>
      </c>
      <c r="G13">
        <v>0.28673497839118917</v>
      </c>
      <c r="H13" s="16">
        <v>2767.3611111111113</v>
      </c>
      <c r="I13">
        <f t="shared" si="1"/>
        <v>3404.0674603174602</v>
      </c>
      <c r="J13">
        <f t="shared" si="2"/>
        <v>4761.0596707818931</v>
      </c>
      <c r="K13">
        <f t="shared" si="2"/>
        <v>976.06520967627716</v>
      </c>
      <c r="L13">
        <f t="shared" si="3"/>
        <v>5737.1248804581701</v>
      </c>
      <c r="O13" t="s">
        <v>22</v>
      </c>
      <c r="P13">
        <f>K16</f>
        <v>102620.3682074003</v>
      </c>
      <c r="Q13">
        <f>K34</f>
        <v>80046.981272059056</v>
      </c>
      <c r="R13">
        <f t="shared" ref="R13:R16" si="4">100*(P13- Q13)/P13</f>
        <v>21.996984935504649</v>
      </c>
    </row>
    <row r="14" spans="2:18" x14ac:dyDescent="0.2">
      <c r="B14" s="14">
        <v>46054</v>
      </c>
      <c r="C14">
        <v>271</v>
      </c>
      <c r="D14" s="8">
        <v>35</v>
      </c>
      <c r="E14">
        <f t="shared" si="0"/>
        <v>7742.8571428571431</v>
      </c>
      <c r="F14">
        <v>1.720433105627585</v>
      </c>
      <c r="G14">
        <v>1.4336865095961708</v>
      </c>
      <c r="H14" s="16">
        <v>2767.3611111111113</v>
      </c>
      <c r="I14">
        <f t="shared" si="1"/>
        <v>4975.4960317460318</v>
      </c>
      <c r="J14">
        <f t="shared" si="2"/>
        <v>4761.0596707818931</v>
      </c>
      <c r="K14">
        <f t="shared" si="2"/>
        <v>7133.3015392635671</v>
      </c>
      <c r="L14">
        <f t="shared" si="3"/>
        <v>11894.361210045459</v>
      </c>
      <c r="O14" t="s">
        <v>42</v>
      </c>
      <c r="P14">
        <f>L51</f>
        <v>1975.7142857142853</v>
      </c>
      <c r="Q14">
        <f>M51</f>
        <v>-6271.3727227715071</v>
      </c>
      <c r="R14">
        <f t="shared" si="4"/>
        <v>417.42305899783486</v>
      </c>
    </row>
    <row r="15" spans="2:18" x14ac:dyDescent="0.2">
      <c r="B15" s="14">
        <v>46082</v>
      </c>
      <c r="C15">
        <v>269</v>
      </c>
      <c r="D15" s="8">
        <v>35</v>
      </c>
      <c r="E15">
        <f t="shared" si="0"/>
        <v>7685.7142857142853</v>
      </c>
      <c r="F15">
        <v>1.720433105627585</v>
      </c>
      <c r="G15">
        <v>1.1469515312049816</v>
      </c>
      <c r="H15" s="16">
        <v>2767.3611111111113</v>
      </c>
      <c r="I15">
        <f t="shared" si="1"/>
        <v>4918.353174603174</v>
      </c>
      <c r="J15">
        <f t="shared" si="2"/>
        <v>4761.0596707818931</v>
      </c>
      <c r="K15">
        <f t="shared" si="2"/>
        <v>5641.1127046179927</v>
      </c>
      <c r="L15">
        <f t="shared" si="3"/>
        <v>10402.172375399885</v>
      </c>
      <c r="O15" t="s">
        <v>83</v>
      </c>
      <c r="P15">
        <v>0</v>
      </c>
      <c r="Q15">
        <v>0</v>
      </c>
      <c r="R15">
        <v>0</v>
      </c>
    </row>
    <row r="16" spans="2:18" x14ac:dyDescent="0.2">
      <c r="I16" t="s">
        <v>16</v>
      </c>
      <c r="J16">
        <f>SUM(J4:J15)</f>
        <v>75506.554413101723</v>
      </c>
      <c r="K16">
        <f>SUM(K4:K15)</f>
        <v>102620.3682074003</v>
      </c>
      <c r="L16">
        <f t="shared" si="3"/>
        <v>178126.92262050201</v>
      </c>
      <c r="O16" s="9" t="s">
        <v>29</v>
      </c>
      <c r="P16">
        <f>SUM(P12:P15)</f>
        <v>180102.6369062163</v>
      </c>
      <c r="Q16">
        <f>SUM(Q12:Q15)</f>
        <v>149282.16296238927</v>
      </c>
      <c r="R16">
        <f t="shared" si="4"/>
        <v>17.112727760824502</v>
      </c>
    </row>
    <row r="20" spans="2:17" x14ac:dyDescent="0.2">
      <c r="B20" s="9" t="s">
        <v>82</v>
      </c>
      <c r="P20">
        <f>SUM(P12:P13)</f>
        <v>178126.92262050201</v>
      </c>
      <c r="Q20">
        <f>SUM(Q12:Q13)</f>
        <v>155553.53568516078</v>
      </c>
    </row>
    <row r="21" spans="2:17" ht="32" x14ac:dyDescent="0.2">
      <c r="B21" s="15" t="s">
        <v>54</v>
      </c>
      <c r="C21" s="15" t="s">
        <v>88</v>
      </c>
      <c r="D21" s="15" t="s">
        <v>81</v>
      </c>
      <c r="E21" s="15" t="s">
        <v>89</v>
      </c>
      <c r="F21" s="15" t="s">
        <v>30</v>
      </c>
      <c r="G21" s="15" t="s">
        <v>31</v>
      </c>
      <c r="H21" s="15" t="s">
        <v>80</v>
      </c>
      <c r="I21" s="15" t="s">
        <v>24</v>
      </c>
      <c r="J21" s="15" t="s">
        <v>21</v>
      </c>
      <c r="K21" s="15" t="s">
        <v>22</v>
      </c>
      <c r="L21" s="15" t="s">
        <v>29</v>
      </c>
      <c r="M21" s="15" t="s">
        <v>90</v>
      </c>
    </row>
    <row r="22" spans="2:17" x14ac:dyDescent="0.2">
      <c r="B22" s="14">
        <v>45748</v>
      </c>
      <c r="C22">
        <v>504</v>
      </c>
      <c r="D22" s="8">
        <v>35</v>
      </c>
      <c r="E22">
        <f>C22*1000/D22</f>
        <v>14400</v>
      </c>
      <c r="F22">
        <v>1.5288157894736842</v>
      </c>
      <c r="G22">
        <v>1.4112105263157895</v>
      </c>
      <c r="H22" s="16">
        <v>4886.8312757201647</v>
      </c>
      <c r="I22" s="19">
        <v>1.5315918917635199E-7</v>
      </c>
      <c r="J22">
        <f>F22*H22</f>
        <v>7471.0648148148148</v>
      </c>
      <c r="K22">
        <f>G22*I22</f>
        <v>2.1613985996765927E-7</v>
      </c>
      <c r="L22">
        <f>SUM(J22:K22)</f>
        <v>7471.0648150309544</v>
      </c>
      <c r="M22" s="16">
        <f t="shared" ref="M22:M33" si="5">SUM(H22:I22)</f>
        <v>4886.8312758733236</v>
      </c>
    </row>
    <row r="23" spans="2:17" x14ac:dyDescent="0.2">
      <c r="B23" s="14">
        <v>45778</v>
      </c>
      <c r="C23">
        <v>261</v>
      </c>
      <c r="D23" s="8">
        <v>35</v>
      </c>
      <c r="E23">
        <f t="shared" ref="E23:E33" si="6">C23*1000/D23</f>
        <v>7457.1428571428569</v>
      </c>
      <c r="F23">
        <v>1.5806907894736841</v>
      </c>
      <c r="G23">
        <v>0</v>
      </c>
      <c r="H23" s="16">
        <v>4886.8312757201647</v>
      </c>
      <c r="I23">
        <v>540.62315869746203</v>
      </c>
      <c r="J23">
        <f t="shared" ref="J23:J33" si="7">F23*H23</f>
        <v>7724.5691872427979</v>
      </c>
      <c r="K23">
        <f t="shared" ref="K23:K33" si="8">G23*I23</f>
        <v>0</v>
      </c>
      <c r="L23">
        <f t="shared" ref="L23:L34" si="9">SUM(J23:K23)</f>
        <v>7724.5691872427979</v>
      </c>
      <c r="M23" s="16">
        <f t="shared" si="5"/>
        <v>5427.4544344176265</v>
      </c>
    </row>
    <row r="24" spans="2:17" x14ac:dyDescent="0.2">
      <c r="B24" s="14">
        <v>45809</v>
      </c>
      <c r="C24">
        <v>508</v>
      </c>
      <c r="D24" s="8">
        <v>35</v>
      </c>
      <c r="E24">
        <f t="shared" si="6"/>
        <v>14514.285714285714</v>
      </c>
      <c r="F24">
        <v>1.6237697368421053</v>
      </c>
      <c r="G24">
        <v>1.4613947368421052</v>
      </c>
      <c r="H24" s="16">
        <v>4886.8312757201647</v>
      </c>
      <c r="I24">
        <v>4941.7401532788099</v>
      </c>
      <c r="J24">
        <f t="shared" si="7"/>
        <v>7935.0887345679021</v>
      </c>
      <c r="K24">
        <f t="shared" si="8"/>
        <v>7221.8330508429508</v>
      </c>
      <c r="L24">
        <f t="shared" si="9"/>
        <v>15156.921785410854</v>
      </c>
      <c r="M24" s="16">
        <f t="shared" si="5"/>
        <v>9828.5714289989737</v>
      </c>
    </row>
    <row r="25" spans="2:17" x14ac:dyDescent="0.2">
      <c r="B25" s="14">
        <v>45839</v>
      </c>
      <c r="C25">
        <v>428</v>
      </c>
      <c r="D25" s="8">
        <v>35</v>
      </c>
      <c r="E25">
        <f t="shared" si="6"/>
        <v>12228.571428571429</v>
      </c>
      <c r="F25">
        <v>1.6237697368421053</v>
      </c>
      <c r="G25">
        <v>0.97426315789473683</v>
      </c>
      <c r="H25" s="16">
        <v>4886.8312757201647</v>
      </c>
      <c r="I25">
        <v>7570.3115841096997</v>
      </c>
      <c r="J25">
        <f t="shared" si="7"/>
        <v>7935.0887345679021</v>
      </c>
      <c r="K25">
        <f t="shared" si="8"/>
        <v>7375.4756701818233</v>
      </c>
      <c r="L25">
        <f t="shared" si="9"/>
        <v>15310.564404749726</v>
      </c>
      <c r="M25" s="16">
        <f t="shared" si="5"/>
        <v>12457.142859829864</v>
      </c>
    </row>
    <row r="26" spans="2:17" x14ac:dyDescent="0.2">
      <c r="B26" s="14">
        <v>45870</v>
      </c>
      <c r="C26">
        <v>428</v>
      </c>
      <c r="D26" s="8">
        <v>35</v>
      </c>
      <c r="E26">
        <f t="shared" si="6"/>
        <v>12228.571428571429</v>
      </c>
      <c r="F26">
        <v>1.6237697368421053</v>
      </c>
      <c r="G26">
        <v>0.97426315789473683</v>
      </c>
      <c r="H26" s="16">
        <v>4886.8312757201647</v>
      </c>
      <c r="I26">
        <v>7770.31158376848</v>
      </c>
      <c r="J26">
        <f t="shared" si="7"/>
        <v>7935.0887345679021</v>
      </c>
      <c r="K26">
        <f t="shared" si="8"/>
        <v>7570.3283014283334</v>
      </c>
      <c r="L26">
        <f t="shared" si="9"/>
        <v>15505.417035996235</v>
      </c>
      <c r="M26" s="16">
        <f t="shared" si="5"/>
        <v>12657.142859488646</v>
      </c>
    </row>
    <row r="27" spans="2:17" x14ac:dyDescent="0.2">
      <c r="B27" s="14">
        <v>45901</v>
      </c>
      <c r="C27">
        <v>327</v>
      </c>
      <c r="D27" s="8">
        <v>35</v>
      </c>
      <c r="E27">
        <f t="shared" si="6"/>
        <v>9342.8571428571431</v>
      </c>
      <c r="F27">
        <v>1.6237697368421053</v>
      </c>
      <c r="G27">
        <v>0.32475657894736842</v>
      </c>
      <c r="H27" s="16">
        <v>4886.8312757201647</v>
      </c>
      <c r="I27">
        <v>7113.1687245564199</v>
      </c>
      <c r="J27">
        <f t="shared" si="7"/>
        <v>7935.0887345679021</v>
      </c>
      <c r="K27">
        <f t="shared" si="8"/>
        <v>2310.0483404623587</v>
      </c>
      <c r="L27">
        <f t="shared" si="9"/>
        <v>10245.137075030261</v>
      </c>
      <c r="M27" s="16">
        <f t="shared" si="5"/>
        <v>12000.000000276585</v>
      </c>
    </row>
    <row r="28" spans="2:17" x14ac:dyDescent="0.2">
      <c r="B28" s="14">
        <v>45931</v>
      </c>
      <c r="C28">
        <v>466</v>
      </c>
      <c r="D28" s="8">
        <v>35</v>
      </c>
      <c r="E28">
        <f t="shared" si="6"/>
        <v>13314.285714285714</v>
      </c>
      <c r="F28">
        <v>1.7219534883720931</v>
      </c>
      <c r="G28">
        <v>1.7219534883720931</v>
      </c>
      <c r="H28" s="16">
        <v>2767.3611111111113</v>
      </c>
      <c r="I28">
        <v>8946.9245984865192</v>
      </c>
      <c r="J28">
        <f t="shared" si="7"/>
        <v>4765.2671188630493</v>
      </c>
      <c r="K28">
        <f t="shared" si="8"/>
        <v>15406.18802256595</v>
      </c>
      <c r="L28">
        <f t="shared" si="9"/>
        <v>20171.455141429</v>
      </c>
      <c r="M28" s="16">
        <f t="shared" si="5"/>
        <v>11714.285709597631</v>
      </c>
    </row>
    <row r="29" spans="2:17" x14ac:dyDescent="0.2">
      <c r="B29" s="14">
        <v>45962</v>
      </c>
      <c r="C29">
        <v>354</v>
      </c>
      <c r="D29" s="8">
        <v>35</v>
      </c>
      <c r="E29">
        <f t="shared" si="6"/>
        <v>10114.285714285714</v>
      </c>
      <c r="F29">
        <v>1.720433105627585</v>
      </c>
      <c r="G29">
        <v>1.720433105627585</v>
      </c>
      <c r="H29" s="16">
        <v>2767.3611111111113</v>
      </c>
      <c r="I29">
        <v>6575.4960321840599</v>
      </c>
      <c r="J29">
        <f>F29*H29</f>
        <v>4761.0596707818931</v>
      </c>
      <c r="K29">
        <f t="shared" si="8"/>
        <v>11312.701059692285</v>
      </c>
      <c r="L29">
        <f t="shared" si="9"/>
        <v>16073.760730474178</v>
      </c>
      <c r="M29" s="16">
        <f t="shared" si="5"/>
        <v>9342.8571432951721</v>
      </c>
    </row>
    <row r="30" spans="2:17" x14ac:dyDescent="0.2">
      <c r="B30" s="14">
        <v>45992</v>
      </c>
      <c r="C30">
        <v>323</v>
      </c>
      <c r="D30" s="8">
        <v>35</v>
      </c>
      <c r="E30">
        <f t="shared" si="6"/>
        <v>9228.5714285714294</v>
      </c>
      <c r="F30">
        <v>1.720433105627585</v>
      </c>
      <c r="G30">
        <v>2.2939030624099632</v>
      </c>
      <c r="H30" s="16">
        <v>2767.3611111111113</v>
      </c>
      <c r="I30">
        <v>6318.3531745293103</v>
      </c>
      <c r="J30">
        <f t="shared" si="7"/>
        <v>4761.0596707818931</v>
      </c>
      <c r="K30">
        <f t="shared" si="8"/>
        <v>14493.689696440499</v>
      </c>
      <c r="L30">
        <f t="shared" si="9"/>
        <v>19254.749367222394</v>
      </c>
      <c r="M30" s="16">
        <f t="shared" si="5"/>
        <v>9085.7142856404207</v>
      </c>
    </row>
    <row r="31" spans="2:17" x14ac:dyDescent="0.2">
      <c r="B31" s="14">
        <v>46023</v>
      </c>
      <c r="C31">
        <v>216</v>
      </c>
      <c r="D31" s="8">
        <v>35</v>
      </c>
      <c r="E31">
        <f t="shared" si="6"/>
        <v>6171.4285714285716</v>
      </c>
      <c r="F31">
        <v>1.720433105627585</v>
      </c>
      <c r="G31">
        <v>0.28673497839118917</v>
      </c>
      <c r="H31" s="16">
        <v>2767.3611111111113</v>
      </c>
      <c r="I31">
        <v>6261.21031907623</v>
      </c>
      <c r="J31">
        <f t="shared" si="7"/>
        <v>4761.0596707818931</v>
      </c>
      <c r="K31">
        <f t="shared" si="8"/>
        <v>1795.3080055430135</v>
      </c>
      <c r="L31">
        <f t="shared" si="9"/>
        <v>6556.3676763249068</v>
      </c>
      <c r="M31" s="16">
        <f t="shared" si="5"/>
        <v>9028.5714301873413</v>
      </c>
      <c r="N31" s="19"/>
    </row>
    <row r="32" spans="2:17" x14ac:dyDescent="0.2">
      <c r="B32" s="14">
        <v>46054</v>
      </c>
      <c r="C32">
        <v>271</v>
      </c>
      <c r="D32" s="8">
        <v>35</v>
      </c>
      <c r="E32">
        <f t="shared" si="6"/>
        <v>7742.8571428571431</v>
      </c>
      <c r="F32">
        <v>1.720433105627585</v>
      </c>
      <c r="G32">
        <v>1.4336865095961708</v>
      </c>
      <c r="H32" s="16">
        <v>2767.3611111111113</v>
      </c>
      <c r="I32">
        <v>4918.3531743943704</v>
      </c>
      <c r="J32">
        <f t="shared" si="7"/>
        <v>4761.0596707818931</v>
      </c>
      <c r="K32">
        <f t="shared" si="8"/>
        <v>7051.3765955587114</v>
      </c>
      <c r="L32">
        <f t="shared" si="9"/>
        <v>11812.436266340605</v>
      </c>
      <c r="M32" s="16">
        <f t="shared" si="5"/>
        <v>7685.7142855054817</v>
      </c>
      <c r="N32" s="19"/>
    </row>
    <row r="33" spans="2:18" x14ac:dyDescent="0.2">
      <c r="B33" s="14">
        <v>46082</v>
      </c>
      <c r="C33">
        <v>269</v>
      </c>
      <c r="D33" s="8">
        <v>35</v>
      </c>
      <c r="E33">
        <f t="shared" si="6"/>
        <v>7685.7142857142853</v>
      </c>
      <c r="F33">
        <v>1.720433105627585</v>
      </c>
      <c r="G33">
        <v>1.1469515312049816</v>
      </c>
      <c r="H33" s="16">
        <v>2767.3611111111113</v>
      </c>
      <c r="I33">
        <v>4804.06745988488</v>
      </c>
      <c r="J33">
        <f t="shared" si="7"/>
        <v>4761.0596707818931</v>
      </c>
      <c r="K33">
        <f t="shared" si="8"/>
        <v>5510.0325291269901</v>
      </c>
      <c r="L33">
        <f t="shared" si="9"/>
        <v>10271.092199908882</v>
      </c>
      <c r="M33" s="16">
        <f t="shared" si="5"/>
        <v>7571.4285709959913</v>
      </c>
      <c r="N33" s="19"/>
    </row>
    <row r="34" spans="2:18" x14ac:dyDescent="0.2">
      <c r="I34" t="s">
        <v>16</v>
      </c>
      <c r="J34">
        <f>SUM(J22:J33)</f>
        <v>75506.554413101723</v>
      </c>
      <c r="K34">
        <f>SUM(K22:K33)</f>
        <v>80046.981272059056</v>
      </c>
      <c r="L34">
        <f t="shared" si="9"/>
        <v>155553.53568516078</v>
      </c>
    </row>
    <row r="37" spans="2:18" x14ac:dyDescent="0.2">
      <c r="E37" s="9" t="s">
        <v>33</v>
      </c>
    </row>
    <row r="38" spans="2:18" ht="32" x14ac:dyDescent="0.2">
      <c r="B38" s="15" t="s">
        <v>79</v>
      </c>
      <c r="C38" s="15" t="s">
        <v>81</v>
      </c>
      <c r="D38" s="15"/>
      <c r="E38" s="15" t="s">
        <v>41</v>
      </c>
      <c r="F38" s="15" t="s">
        <v>54</v>
      </c>
      <c r="G38" s="15" t="s">
        <v>39</v>
      </c>
      <c r="H38" s="15" t="s">
        <v>84</v>
      </c>
      <c r="I38" s="15" t="s">
        <v>85</v>
      </c>
      <c r="J38" s="15" t="s">
        <v>86</v>
      </c>
      <c r="K38" s="15" t="s">
        <v>87</v>
      </c>
      <c r="L38" s="15" t="s">
        <v>91</v>
      </c>
      <c r="M38" s="15" t="s">
        <v>92</v>
      </c>
      <c r="O38" s="18" t="s">
        <v>97</v>
      </c>
      <c r="P38" t="s">
        <v>33</v>
      </c>
      <c r="Q38" t="s">
        <v>82</v>
      </c>
      <c r="R38" t="s">
        <v>46</v>
      </c>
    </row>
    <row r="39" spans="2:18" ht="16" x14ac:dyDescent="0.2">
      <c r="B39" s="17">
        <v>361</v>
      </c>
      <c r="C39" s="8">
        <v>35</v>
      </c>
      <c r="E39">
        <v>1000</v>
      </c>
      <c r="F39" s="14">
        <v>45748</v>
      </c>
      <c r="G39">
        <f>B39*1000/C39</f>
        <v>10314.285714285714</v>
      </c>
      <c r="H39" s="16">
        <f>SUM(H4:I4)</f>
        <v>14400</v>
      </c>
      <c r="I39" s="16">
        <f>H39-G39+E39</f>
        <v>5085.7142857142862</v>
      </c>
      <c r="J39" s="20">
        <f>M22</f>
        <v>4886.8312758733236</v>
      </c>
      <c r="K39">
        <f>E39+J39-G39</f>
        <v>-4427.4544384123901</v>
      </c>
      <c r="L39">
        <f>I39*0.05</f>
        <v>254.28571428571433</v>
      </c>
      <c r="M39">
        <f>K39*0.05</f>
        <v>-221.37272192061951</v>
      </c>
      <c r="O39" t="s">
        <v>21</v>
      </c>
      <c r="P39">
        <v>75506.554413101723</v>
      </c>
      <c r="Q39">
        <f>J70</f>
        <v>75506.554413101723</v>
      </c>
      <c r="R39">
        <f>100*(P39-Q39)/P39</f>
        <v>0</v>
      </c>
    </row>
    <row r="40" spans="2:18" ht="16" x14ac:dyDescent="0.2">
      <c r="B40" s="17">
        <v>420</v>
      </c>
      <c r="C40" s="8">
        <v>35</v>
      </c>
      <c r="F40" s="14">
        <v>45778</v>
      </c>
      <c r="G40">
        <f t="shared" ref="G40:G49" si="10">B40*1000/C40</f>
        <v>12000</v>
      </c>
      <c r="H40" s="16">
        <f t="shared" ref="H40:H50" si="11">SUM(H5:I5)</f>
        <v>7457.1428571428569</v>
      </c>
      <c r="I40" s="16">
        <f>I39+H40-G40</f>
        <v>542.85714285714312</v>
      </c>
      <c r="J40" s="20">
        <f t="shared" ref="J40:J50" si="12">M23</f>
        <v>5427.4544344176265</v>
      </c>
      <c r="K40">
        <f>K39+J40-G40</f>
        <v>-11000.000003994763</v>
      </c>
      <c r="L40">
        <f t="shared" ref="L40:L50" si="13">I40*0.05</f>
        <v>27.142857142857157</v>
      </c>
      <c r="M40">
        <f t="shared" ref="M40:M50" si="14">K40*0.05</f>
        <v>-550.00000019973811</v>
      </c>
      <c r="O40" t="s">
        <v>22</v>
      </c>
      <c r="P40">
        <v>102620.3682074003</v>
      </c>
      <c r="Q40">
        <f>K70</f>
        <v>95225.738794344288</v>
      </c>
      <c r="R40">
        <f t="shared" ref="R40:R43" si="15">100*(P40-Q40)/P40</f>
        <v>7.2058106419099373</v>
      </c>
    </row>
    <row r="41" spans="2:18" ht="16" x14ac:dyDescent="0.2">
      <c r="B41" s="17">
        <v>344</v>
      </c>
      <c r="C41" s="8">
        <v>35</v>
      </c>
      <c r="F41" s="14">
        <v>45809</v>
      </c>
      <c r="G41">
        <f t="shared" si="10"/>
        <v>9828.5714285714294</v>
      </c>
      <c r="H41" s="16">
        <f t="shared" si="11"/>
        <v>14514.285714285714</v>
      </c>
      <c r="I41" s="16">
        <f t="shared" ref="I41:I50" si="16">I40+H41-G41</f>
        <v>5228.5714285714275</v>
      </c>
      <c r="J41" s="20">
        <f t="shared" si="12"/>
        <v>9828.5714289989737</v>
      </c>
      <c r="K41">
        <f>K40+J41-G41</f>
        <v>-11000.000003567218</v>
      </c>
      <c r="L41">
        <f t="shared" si="13"/>
        <v>261.42857142857139</v>
      </c>
      <c r="M41">
        <f t="shared" si="14"/>
        <v>-550.00000017836089</v>
      </c>
      <c r="O41" t="s">
        <v>42</v>
      </c>
      <c r="P41">
        <v>1975.7142857142853</v>
      </c>
      <c r="Q41">
        <f>P70</f>
        <v>792.8571422707995</v>
      </c>
      <c r="R41">
        <f t="shared" si="15"/>
        <v>59.869848185859738</v>
      </c>
    </row>
    <row r="42" spans="2:18" ht="16" x14ac:dyDescent="0.2">
      <c r="B42" s="17">
        <v>436</v>
      </c>
      <c r="C42" s="8">
        <v>35</v>
      </c>
      <c r="F42" s="14">
        <v>45839</v>
      </c>
      <c r="G42">
        <f t="shared" si="10"/>
        <v>12457.142857142857</v>
      </c>
      <c r="H42" s="16">
        <f t="shared" si="11"/>
        <v>12228.571428571429</v>
      </c>
      <c r="I42" s="16">
        <f t="shared" si="16"/>
        <v>4999.9999999999982</v>
      </c>
      <c r="J42" s="20">
        <f t="shared" si="12"/>
        <v>12457.142859829864</v>
      </c>
      <c r="K42">
        <f t="shared" ref="K42:K50" si="17">K41+J42-G42</f>
        <v>-11000.000000880211</v>
      </c>
      <c r="L42">
        <f t="shared" si="13"/>
        <v>249.99999999999991</v>
      </c>
      <c r="M42">
        <f t="shared" si="14"/>
        <v>-550.00000004401056</v>
      </c>
      <c r="O42" t="s">
        <v>83</v>
      </c>
      <c r="P42">
        <v>0</v>
      </c>
      <c r="Q42">
        <v>0</v>
      </c>
      <c r="R42">
        <v>0</v>
      </c>
    </row>
    <row r="43" spans="2:18" ht="16" x14ac:dyDescent="0.2">
      <c r="B43" s="17">
        <v>443</v>
      </c>
      <c r="C43" s="8">
        <v>35</v>
      </c>
      <c r="F43" s="14">
        <v>45870</v>
      </c>
      <c r="G43">
        <f t="shared" si="10"/>
        <v>12657.142857142857</v>
      </c>
      <c r="H43" s="16">
        <f t="shared" si="11"/>
        <v>12228.571428571429</v>
      </c>
      <c r="I43" s="16">
        <f t="shared" si="16"/>
        <v>4571.4285714285706</v>
      </c>
      <c r="J43" s="20">
        <f t="shared" si="12"/>
        <v>12657.142859488646</v>
      </c>
      <c r="K43">
        <f t="shared" si="17"/>
        <v>-10999.999998534422</v>
      </c>
      <c r="L43">
        <f t="shared" si="13"/>
        <v>228.57142857142856</v>
      </c>
      <c r="M43">
        <f t="shared" si="14"/>
        <v>-549.9999999267211</v>
      </c>
      <c r="O43" t="s">
        <v>29</v>
      </c>
      <c r="P43">
        <v>180102.6369062163</v>
      </c>
      <c r="Q43">
        <f>SUM(Q39:Q42)</f>
        <v>171525.1503497168</v>
      </c>
      <c r="R43">
        <f t="shared" si="15"/>
        <v>4.7625546765125923</v>
      </c>
    </row>
    <row r="44" spans="2:18" ht="16" x14ac:dyDescent="0.2">
      <c r="B44" s="17">
        <v>420</v>
      </c>
      <c r="C44" s="8">
        <v>35</v>
      </c>
      <c r="F44" s="14">
        <v>45901</v>
      </c>
      <c r="G44">
        <f t="shared" si="10"/>
        <v>12000</v>
      </c>
      <c r="H44" s="16">
        <f t="shared" si="11"/>
        <v>9342.8571428571431</v>
      </c>
      <c r="I44" s="16">
        <f t="shared" si="16"/>
        <v>1914.2857142857138</v>
      </c>
      <c r="J44" s="20">
        <f t="shared" si="12"/>
        <v>12000.000000276585</v>
      </c>
      <c r="K44">
        <f t="shared" si="17"/>
        <v>-10999.999998257837</v>
      </c>
      <c r="L44">
        <f t="shared" si="13"/>
        <v>95.714285714285694</v>
      </c>
      <c r="M44">
        <f t="shared" si="14"/>
        <v>-549.99999991289189</v>
      </c>
    </row>
    <row r="45" spans="2:18" ht="16" x14ac:dyDescent="0.2">
      <c r="B45" s="17">
        <v>410</v>
      </c>
      <c r="C45" s="8">
        <v>35</v>
      </c>
      <c r="F45" s="14">
        <v>45931</v>
      </c>
      <c r="G45">
        <f t="shared" si="10"/>
        <v>11714.285714285714</v>
      </c>
      <c r="H45" s="16">
        <f t="shared" si="11"/>
        <v>13314.285714285714</v>
      </c>
      <c r="I45" s="16">
        <f t="shared" si="16"/>
        <v>3514.2857142857138</v>
      </c>
      <c r="J45" s="20">
        <f t="shared" si="12"/>
        <v>11714.285709597631</v>
      </c>
      <c r="K45">
        <f t="shared" si="17"/>
        <v>-11000.000002945921</v>
      </c>
      <c r="L45">
        <f t="shared" si="13"/>
        <v>175.71428571428569</v>
      </c>
      <c r="M45">
        <f t="shared" si="14"/>
        <v>-550.00000014729608</v>
      </c>
    </row>
    <row r="46" spans="2:18" ht="16" x14ac:dyDescent="0.2">
      <c r="B46" s="17">
        <v>327</v>
      </c>
      <c r="C46" s="8">
        <v>35</v>
      </c>
      <c r="F46" s="14">
        <v>45962</v>
      </c>
      <c r="G46">
        <f t="shared" si="10"/>
        <v>9342.8571428571431</v>
      </c>
      <c r="H46" s="16">
        <f t="shared" si="11"/>
        <v>10114.285714285714</v>
      </c>
      <c r="I46" s="16">
        <f t="shared" si="16"/>
        <v>4285.7142857142844</v>
      </c>
      <c r="J46" s="20">
        <f t="shared" si="12"/>
        <v>9342.8571432951721</v>
      </c>
      <c r="K46">
        <f t="shared" si="17"/>
        <v>-11000.000002507892</v>
      </c>
      <c r="L46">
        <f t="shared" si="13"/>
        <v>214.28571428571422</v>
      </c>
      <c r="M46">
        <f t="shared" si="14"/>
        <v>-550.00000012539465</v>
      </c>
    </row>
    <row r="47" spans="2:18" ht="16" x14ac:dyDescent="0.2">
      <c r="B47" s="17">
        <v>318</v>
      </c>
      <c r="C47" s="8">
        <v>35</v>
      </c>
      <c r="F47" s="14">
        <v>45992</v>
      </c>
      <c r="G47">
        <f t="shared" si="10"/>
        <v>9085.7142857142862</v>
      </c>
      <c r="H47" s="16">
        <f t="shared" si="11"/>
        <v>9228.5714285714294</v>
      </c>
      <c r="I47" s="16">
        <f t="shared" si="16"/>
        <v>4428.5714285714275</v>
      </c>
      <c r="J47" s="20">
        <f t="shared" si="12"/>
        <v>9085.7142856404207</v>
      </c>
      <c r="K47">
        <f t="shared" si="17"/>
        <v>-11000.000002581757</v>
      </c>
      <c r="L47">
        <f t="shared" si="13"/>
        <v>221.42857142857139</v>
      </c>
      <c r="M47">
        <f t="shared" si="14"/>
        <v>-550.00000012908788</v>
      </c>
      <c r="O47" t="s">
        <v>99</v>
      </c>
      <c r="P47">
        <f>SUM(P39:P40)</f>
        <v>178126.92262050201</v>
      </c>
      <c r="Q47">
        <f>SUM(Q39:Q40)</f>
        <v>170732.293207446</v>
      </c>
      <c r="R47">
        <f t="shared" ref="R47" si="18">100*(P47-Q47)/P47</f>
        <v>4.1513260905597136</v>
      </c>
    </row>
    <row r="48" spans="2:18" ht="16" x14ac:dyDescent="0.2">
      <c r="B48" s="17">
        <v>316</v>
      </c>
      <c r="C48" s="8">
        <v>35</v>
      </c>
      <c r="F48" s="14">
        <v>46023</v>
      </c>
      <c r="G48">
        <f t="shared" si="10"/>
        <v>9028.5714285714294</v>
      </c>
      <c r="H48" s="16">
        <f t="shared" si="11"/>
        <v>6171.4285714285716</v>
      </c>
      <c r="I48" s="16">
        <f t="shared" si="16"/>
        <v>1571.4285714285706</v>
      </c>
      <c r="J48" s="20">
        <f t="shared" si="12"/>
        <v>9028.5714301873413</v>
      </c>
      <c r="K48">
        <f t="shared" si="17"/>
        <v>-11000.000000965845</v>
      </c>
      <c r="L48">
        <f t="shared" si="13"/>
        <v>78.571428571428541</v>
      </c>
      <c r="M48">
        <f t="shared" si="14"/>
        <v>-550.00000004829224</v>
      </c>
    </row>
    <row r="49" spans="1:19" ht="16" x14ac:dyDescent="0.2">
      <c r="B49" s="17">
        <v>269</v>
      </c>
      <c r="C49" s="8">
        <v>35</v>
      </c>
      <c r="F49" s="14">
        <v>46054</v>
      </c>
      <c r="G49">
        <f t="shared" si="10"/>
        <v>7685.7142857142853</v>
      </c>
      <c r="H49" s="16">
        <f t="shared" si="11"/>
        <v>7742.8571428571431</v>
      </c>
      <c r="I49" s="16">
        <f t="shared" si="16"/>
        <v>1628.5714285714284</v>
      </c>
      <c r="J49" s="20">
        <f t="shared" si="12"/>
        <v>7685.7142855054817</v>
      </c>
      <c r="K49">
        <f t="shared" si="17"/>
        <v>-11000.000001174649</v>
      </c>
      <c r="L49">
        <f t="shared" si="13"/>
        <v>81.428571428571431</v>
      </c>
      <c r="M49">
        <f t="shared" si="14"/>
        <v>-550.00000005873244</v>
      </c>
      <c r="P49" s="22" t="s">
        <v>76</v>
      </c>
      <c r="Q49" s="21"/>
      <c r="R49" s="21"/>
    </row>
    <row r="50" spans="1:19" ht="16" x14ac:dyDescent="0.2">
      <c r="B50" s="17">
        <v>265</v>
      </c>
      <c r="C50" s="8">
        <v>35</v>
      </c>
      <c r="F50" s="14">
        <v>46082</v>
      </c>
      <c r="G50">
        <f>B50*1000/C50</f>
        <v>7571.4285714285716</v>
      </c>
      <c r="H50" s="16">
        <f t="shared" si="11"/>
        <v>7685.7142857142853</v>
      </c>
      <c r="I50" s="16">
        <f t="shared" si="16"/>
        <v>1742.8571428571422</v>
      </c>
      <c r="J50" s="20">
        <f t="shared" si="12"/>
        <v>7571.4285709959913</v>
      </c>
      <c r="K50">
        <f t="shared" si="17"/>
        <v>-11000.00000160723</v>
      </c>
      <c r="L50">
        <f t="shared" si="13"/>
        <v>87.14285714285711</v>
      </c>
      <c r="M50">
        <f t="shared" si="14"/>
        <v>-550.00000008036147</v>
      </c>
      <c r="P50" s="22" t="s">
        <v>33</v>
      </c>
      <c r="Q50" s="21"/>
      <c r="R50" s="21"/>
    </row>
    <row r="51" spans="1:19" x14ac:dyDescent="0.2">
      <c r="K51" t="s">
        <v>16</v>
      </c>
      <c r="L51">
        <f>SUM(L39:L50)</f>
        <v>1975.7142857142853</v>
      </c>
      <c r="M51">
        <f>SUM(M39:M50)</f>
        <v>-6271.3727227715071</v>
      </c>
      <c r="P51" s="21">
        <v>2768</v>
      </c>
      <c r="Q51" s="21">
        <f>P51*(1-R47/100)</f>
        <v>2653.0912938133069</v>
      </c>
      <c r="R51" s="21">
        <f>P51-Q51</f>
        <v>114.90870618669305</v>
      </c>
    </row>
    <row r="52" spans="1:19" x14ac:dyDescent="0.2">
      <c r="P52" s="21">
        <v>30.7</v>
      </c>
      <c r="Q52" s="21">
        <f>P52*(1-R41/100)</f>
        <v>12.319956606941059</v>
      </c>
      <c r="R52" s="21">
        <f>P52-Q52</f>
        <v>18.380043393058941</v>
      </c>
    </row>
    <row r="53" spans="1:19" x14ac:dyDescent="0.2">
      <c r="P53" s="21">
        <f>SUM(P51:P52)</f>
        <v>2798.7</v>
      </c>
      <c r="Q53" s="21">
        <f>SUM(Q51:Q52)</f>
        <v>2665.4112504202481</v>
      </c>
      <c r="R53" s="21">
        <f>SUM(R51:R52)</f>
        <v>133.28874957975199</v>
      </c>
    </row>
    <row r="54" spans="1:19" x14ac:dyDescent="0.2">
      <c r="P54" s="21"/>
      <c r="Q54" s="21"/>
      <c r="R54" s="21"/>
    </row>
    <row r="56" spans="1:19" x14ac:dyDescent="0.2">
      <c r="B56" s="9" t="s">
        <v>95</v>
      </c>
    </row>
    <row r="57" spans="1:19" ht="32" x14ac:dyDescent="0.2">
      <c r="B57" s="15" t="s">
        <v>54</v>
      </c>
      <c r="C57" s="15" t="s">
        <v>88</v>
      </c>
      <c r="D57" s="15" t="s">
        <v>81</v>
      </c>
      <c r="E57" s="15" t="s">
        <v>89</v>
      </c>
      <c r="F57" s="15" t="s">
        <v>30</v>
      </c>
      <c r="G57" s="15" t="s">
        <v>31</v>
      </c>
      <c r="H57" s="15" t="s">
        <v>80</v>
      </c>
      <c r="I57" s="15" t="s">
        <v>24</v>
      </c>
      <c r="J57" s="15" t="s">
        <v>21</v>
      </c>
      <c r="K57" s="15" t="s">
        <v>22</v>
      </c>
      <c r="L57" s="15" t="s">
        <v>29</v>
      </c>
      <c r="M57" s="15" t="s">
        <v>90</v>
      </c>
      <c r="N57" s="15" t="s">
        <v>60</v>
      </c>
      <c r="O57" s="15" t="s">
        <v>96</v>
      </c>
      <c r="P57" s="15" t="s">
        <v>98</v>
      </c>
    </row>
    <row r="58" spans="1:19" x14ac:dyDescent="0.2">
      <c r="A58">
        <v>1000</v>
      </c>
      <c r="B58" s="14">
        <v>45748</v>
      </c>
      <c r="C58">
        <v>504</v>
      </c>
      <c r="D58" s="8">
        <v>35</v>
      </c>
      <c r="E58">
        <f>C58*1000/D58</f>
        <v>14400</v>
      </c>
      <c r="F58">
        <v>1.5288157894736842</v>
      </c>
      <c r="G58">
        <v>1.4112105263157895</v>
      </c>
      <c r="H58" s="16">
        <v>4886.8312757201647</v>
      </c>
      <c r="I58">
        <v>9513.1687239999901</v>
      </c>
      <c r="J58">
        <f>F58*H58</f>
        <v>7471.0648148148148</v>
      </c>
      <c r="K58">
        <f>G58*I58</f>
        <v>13425.083841926933</v>
      </c>
      <c r="L58">
        <f>SUM(J58:K58)</f>
        <v>20896.148656741749</v>
      </c>
      <c r="M58" s="16">
        <f>SUM(H58:I58)</f>
        <v>14399.999999720156</v>
      </c>
      <c r="O58" s="16">
        <f>A58+M58-G39</f>
        <v>5085.714285434442</v>
      </c>
      <c r="P58">
        <f>O58*0.05</f>
        <v>254.2857142717221</v>
      </c>
      <c r="R58" s="19">
        <v>2.4889492989708898E-7</v>
      </c>
      <c r="S58" s="19">
        <v>2.4889492989708898E-7</v>
      </c>
    </row>
    <row r="59" spans="1:19" x14ac:dyDescent="0.2">
      <c r="B59" s="14">
        <v>45778</v>
      </c>
      <c r="C59">
        <v>261</v>
      </c>
      <c r="D59" s="8">
        <v>35</v>
      </c>
      <c r="E59">
        <f t="shared" ref="E59:E69" si="19">C59*1000/D59</f>
        <v>7457.1428571428569</v>
      </c>
      <c r="F59">
        <v>1.5806907894736841</v>
      </c>
      <c r="G59">
        <v>0</v>
      </c>
      <c r="H59" s="16">
        <v>4886.8312757201647</v>
      </c>
      <c r="I59">
        <v>2570.3115809999999</v>
      </c>
      <c r="J59">
        <f t="shared" ref="J59:K69" si="20">F59*H59</f>
        <v>7724.5691872427979</v>
      </c>
      <c r="K59">
        <f t="shared" si="20"/>
        <v>0</v>
      </c>
      <c r="L59">
        <f t="shared" ref="L59:L70" si="21">SUM(J59:K59)</f>
        <v>7724.5691872427979</v>
      </c>
      <c r="M59" s="16">
        <f t="shared" ref="M59:M61" si="22">SUM(H59:I59)</f>
        <v>7457.1428567201647</v>
      </c>
      <c r="O59" s="16">
        <f>O58+M59-G40</f>
        <v>542.85714215460757</v>
      </c>
      <c r="P59">
        <f t="shared" ref="P59:P69" si="23">O59*0.05</f>
        <v>27.142857107730379</v>
      </c>
      <c r="R59">
        <v>1040.6231586454401</v>
      </c>
      <c r="S59">
        <v>1040.6231586454401</v>
      </c>
    </row>
    <row r="60" spans="1:19" x14ac:dyDescent="0.2">
      <c r="B60" s="14">
        <v>45809</v>
      </c>
      <c r="C60">
        <v>508</v>
      </c>
      <c r="D60" s="8">
        <v>35</v>
      </c>
      <c r="E60">
        <f t="shared" si="19"/>
        <v>14514.285714285714</v>
      </c>
      <c r="F60">
        <v>1.6237697368421053</v>
      </c>
      <c r="G60">
        <v>1.4613947368421052</v>
      </c>
      <c r="H60" s="16">
        <v>4886.8312757201647</v>
      </c>
      <c r="I60">
        <v>9627.4544389999992</v>
      </c>
      <c r="J60">
        <f t="shared" si="20"/>
        <v>7935.0887345679021</v>
      </c>
      <c r="K60">
        <f t="shared" si="20"/>
        <v>14069.511246341761</v>
      </c>
      <c r="L60">
        <f t="shared" si="21"/>
        <v>22004.599980909661</v>
      </c>
      <c r="M60" s="16">
        <f t="shared" si="22"/>
        <v>14514.285714720165</v>
      </c>
      <c r="O60" s="16">
        <f t="shared" ref="O60:O69" si="24">O59+M60-G41</f>
        <v>5228.5714283033431</v>
      </c>
      <c r="P60">
        <f t="shared" si="23"/>
        <v>261.42857141516714</v>
      </c>
      <c r="R60">
        <v>4941.7401525896903</v>
      </c>
      <c r="S60">
        <v>4941.7401525896903</v>
      </c>
    </row>
    <row r="61" spans="1:19" x14ac:dyDescent="0.2">
      <c r="B61" s="14">
        <v>45839</v>
      </c>
      <c r="C61">
        <v>428</v>
      </c>
      <c r="D61" s="8">
        <v>35</v>
      </c>
      <c r="E61">
        <f t="shared" si="19"/>
        <v>12228.571428571429</v>
      </c>
      <c r="F61">
        <v>1.6237697368421053</v>
      </c>
      <c r="G61">
        <v>0.97426315789473683</v>
      </c>
      <c r="H61" s="16">
        <v>4886.8312757201647</v>
      </c>
      <c r="I61">
        <v>7341.7401529999997</v>
      </c>
      <c r="J61">
        <f t="shared" si="20"/>
        <v>7935.0887345679021</v>
      </c>
      <c r="K61">
        <f t="shared" si="20"/>
        <v>7152.7869459043677</v>
      </c>
      <c r="L61">
        <f t="shared" si="21"/>
        <v>15087.875680472269</v>
      </c>
      <c r="M61" s="16">
        <f t="shared" si="22"/>
        <v>12228.571428720164</v>
      </c>
      <c r="O61" s="16">
        <f t="shared" si="24"/>
        <v>4999.9999998806506</v>
      </c>
      <c r="P61">
        <f t="shared" si="23"/>
        <v>249.99999999403255</v>
      </c>
      <c r="R61">
        <v>7570.3115839435704</v>
      </c>
      <c r="S61">
        <v>7570.3115839435704</v>
      </c>
    </row>
    <row r="62" spans="1:19" x14ac:dyDescent="0.2">
      <c r="B62" s="14">
        <v>45870</v>
      </c>
      <c r="C62">
        <v>428</v>
      </c>
      <c r="D62" s="8">
        <v>35</v>
      </c>
      <c r="E62">
        <f t="shared" si="19"/>
        <v>12228.571428571429</v>
      </c>
      <c r="F62">
        <v>1.6237697368421053</v>
      </c>
      <c r="G62">
        <v>0.97426315789473683</v>
      </c>
      <c r="H62" s="16">
        <v>4886.8312757201647</v>
      </c>
      <c r="I62">
        <v>2770.3115821323399</v>
      </c>
      <c r="J62">
        <f t="shared" si="20"/>
        <v>7935.0887345679021</v>
      </c>
      <c r="K62">
        <f t="shared" si="20"/>
        <v>2699.0125103606183</v>
      </c>
      <c r="L62">
        <f t="shared" si="21"/>
        <v>10634.101244928521</v>
      </c>
      <c r="M62" s="16">
        <f t="shared" ref="M62:M69" si="25">SUM(H62:I62)</f>
        <v>7657.1428578525047</v>
      </c>
      <c r="O62" s="16">
        <f t="shared" si="24"/>
        <v>5.9029844123870134E-7</v>
      </c>
      <c r="P62">
        <f t="shared" si="23"/>
        <v>2.9514922061935067E-8</v>
      </c>
      <c r="R62">
        <v>7770.3115839225802</v>
      </c>
      <c r="S62">
        <v>7770.3115839225802</v>
      </c>
    </row>
    <row r="63" spans="1:19" x14ac:dyDescent="0.2">
      <c r="B63" s="14">
        <v>45901</v>
      </c>
      <c r="C63">
        <v>327</v>
      </c>
      <c r="D63" s="8">
        <v>35</v>
      </c>
      <c r="E63">
        <f t="shared" si="19"/>
        <v>9342.8571428571431</v>
      </c>
      <c r="F63">
        <v>1.6237697368421053</v>
      </c>
      <c r="G63">
        <v>0.32475657894736842</v>
      </c>
      <c r="H63" s="16">
        <v>4886.8312757201647</v>
      </c>
      <c r="I63">
        <v>7113.1687252683996</v>
      </c>
      <c r="J63">
        <f t="shared" si="20"/>
        <v>7935.0887345679021</v>
      </c>
      <c r="K63">
        <f t="shared" si="20"/>
        <v>2310.0483406935791</v>
      </c>
      <c r="L63">
        <f t="shared" si="21"/>
        <v>10245.137075261482</v>
      </c>
      <c r="M63" s="16">
        <f t="shared" si="25"/>
        <v>12000.000000988564</v>
      </c>
      <c r="O63" s="16">
        <f t="shared" si="24"/>
        <v>1.5788627933943644E-6</v>
      </c>
      <c r="P63">
        <f t="shared" si="23"/>
        <v>7.8943139669718229E-8</v>
      </c>
      <c r="R63">
        <v>7113.1687240479496</v>
      </c>
      <c r="S63">
        <v>7113.1687240479496</v>
      </c>
    </row>
    <row r="64" spans="1:19" x14ac:dyDescent="0.2">
      <c r="B64" s="14">
        <v>45931</v>
      </c>
      <c r="C64">
        <v>466</v>
      </c>
      <c r="D64" s="8">
        <v>35</v>
      </c>
      <c r="E64">
        <f t="shared" si="19"/>
        <v>13314.285714285714</v>
      </c>
      <c r="F64">
        <v>1.7219534883720931</v>
      </c>
      <c r="G64">
        <v>1.7219534883720931</v>
      </c>
      <c r="H64" s="16">
        <v>2767.3611111111113</v>
      </c>
      <c r="I64">
        <v>8946.9245985163598</v>
      </c>
      <c r="J64">
        <f t="shared" si="20"/>
        <v>4765.2671188630493</v>
      </c>
      <c r="K64">
        <f t="shared" si="20"/>
        <v>15406.188022617334</v>
      </c>
      <c r="L64">
        <f t="shared" si="21"/>
        <v>20171.455141480383</v>
      </c>
      <c r="M64" s="16">
        <f t="shared" si="25"/>
        <v>11714.285709627471</v>
      </c>
      <c r="O64" s="16">
        <f t="shared" si="24"/>
        <v>-3.0793798941886052E-6</v>
      </c>
      <c r="P64">
        <f t="shared" si="23"/>
        <v>-1.5396899470943027E-7</v>
      </c>
      <c r="R64">
        <v>8946.9245989600804</v>
      </c>
      <c r="S64">
        <v>8946.9245989600804</v>
      </c>
    </row>
    <row r="65" spans="2:19" x14ac:dyDescent="0.2">
      <c r="B65" s="14">
        <v>45962</v>
      </c>
      <c r="C65">
        <v>354</v>
      </c>
      <c r="D65" s="8">
        <v>35</v>
      </c>
      <c r="E65">
        <f t="shared" si="19"/>
        <v>10114.285714285714</v>
      </c>
      <c r="F65">
        <v>1.720433105627585</v>
      </c>
      <c r="G65">
        <v>1.720433105627585</v>
      </c>
      <c r="H65" s="16">
        <v>2767.3611111111113</v>
      </c>
      <c r="I65">
        <v>6575.4960321757098</v>
      </c>
      <c r="J65">
        <f>F65*H65</f>
        <v>4761.0596707818931</v>
      </c>
      <c r="K65">
        <f t="shared" si="20"/>
        <v>11312.701059677918</v>
      </c>
      <c r="L65">
        <f t="shared" si="21"/>
        <v>16073.760730459811</v>
      </c>
      <c r="M65" s="16">
        <f t="shared" si="25"/>
        <v>9342.8571432868212</v>
      </c>
      <c r="O65" s="16">
        <f t="shared" si="24"/>
        <v>-2.6497018552618101E-6</v>
      </c>
      <c r="P65">
        <f t="shared" si="23"/>
        <v>-1.324850927630905E-7</v>
      </c>
      <c r="R65">
        <v>6575.4960320465498</v>
      </c>
      <c r="S65">
        <v>6575.4960320465498</v>
      </c>
    </row>
    <row r="66" spans="2:19" x14ac:dyDescent="0.2">
      <c r="B66" s="14">
        <v>45992</v>
      </c>
      <c r="C66">
        <v>323</v>
      </c>
      <c r="D66" s="8">
        <v>35</v>
      </c>
      <c r="E66">
        <f t="shared" si="19"/>
        <v>9228.5714285714294</v>
      </c>
      <c r="F66">
        <v>1.720433105627585</v>
      </c>
      <c r="G66">
        <v>2.2939030624099632</v>
      </c>
      <c r="H66" s="16">
        <v>2767.3611111111113</v>
      </c>
      <c r="I66">
        <v>6318.3531745687897</v>
      </c>
      <c r="J66">
        <f t="shared" ref="J66:J69" si="26">F66*H66</f>
        <v>4761.0596707818931</v>
      </c>
      <c r="K66">
        <f t="shared" si="20"/>
        <v>14493.689696531059</v>
      </c>
      <c r="L66">
        <f t="shared" si="21"/>
        <v>19254.74936731295</v>
      </c>
      <c r="M66" s="16">
        <f t="shared" si="25"/>
        <v>9085.7142856799001</v>
      </c>
      <c r="O66" s="16">
        <f t="shared" si="24"/>
        <v>-2.684088030946441E-6</v>
      </c>
      <c r="P66">
        <f t="shared" si="23"/>
        <v>-1.3420440154732207E-7</v>
      </c>
      <c r="R66">
        <v>6318.3531747647503</v>
      </c>
      <c r="S66">
        <v>6318.3531747647503</v>
      </c>
    </row>
    <row r="67" spans="2:19" x14ac:dyDescent="0.2">
      <c r="B67" s="14">
        <v>46023</v>
      </c>
      <c r="C67">
        <v>216</v>
      </c>
      <c r="D67" s="8">
        <v>35</v>
      </c>
      <c r="E67">
        <f t="shared" si="19"/>
        <v>6171.4285714285716</v>
      </c>
      <c r="F67">
        <v>1.720433105627585</v>
      </c>
      <c r="G67">
        <v>0.28673497839118917</v>
      </c>
      <c r="H67" s="16">
        <v>2767.3611111111113</v>
      </c>
      <c r="I67">
        <v>6261.2103190224898</v>
      </c>
      <c r="J67">
        <f t="shared" si="26"/>
        <v>4761.0596707818931</v>
      </c>
      <c r="K67">
        <f t="shared" si="20"/>
        <v>1795.3080055276043</v>
      </c>
      <c r="L67">
        <f t="shared" si="21"/>
        <v>6556.3676763094973</v>
      </c>
      <c r="M67" s="16">
        <f t="shared" si="25"/>
        <v>9028.5714301336011</v>
      </c>
      <c r="O67" s="16">
        <f t="shared" si="24"/>
        <v>-1.1219162843190134E-6</v>
      </c>
      <c r="P67">
        <f t="shared" si="23"/>
        <v>-5.6095814215950668E-8</v>
      </c>
      <c r="R67">
        <v>6261.2103181756202</v>
      </c>
      <c r="S67">
        <v>6261.2103181756202</v>
      </c>
    </row>
    <row r="68" spans="2:19" x14ac:dyDescent="0.2">
      <c r="B68" s="14">
        <v>46054</v>
      </c>
      <c r="C68">
        <v>271</v>
      </c>
      <c r="D68" s="8">
        <v>35</v>
      </c>
      <c r="E68">
        <f t="shared" si="19"/>
        <v>7742.8571428571431</v>
      </c>
      <c r="F68">
        <v>1.720433105627585</v>
      </c>
      <c r="G68">
        <v>1.4336865095961708</v>
      </c>
      <c r="H68" s="16">
        <v>2767.3611111111113</v>
      </c>
      <c r="I68">
        <v>4918.3531744415704</v>
      </c>
      <c r="J68">
        <f t="shared" si="26"/>
        <v>4761.0596707818931</v>
      </c>
      <c r="K68">
        <f t="shared" si="20"/>
        <v>7051.3765956263815</v>
      </c>
      <c r="L68">
        <f t="shared" si="21"/>
        <v>11812.436266408275</v>
      </c>
      <c r="M68" s="16">
        <f t="shared" si="25"/>
        <v>7685.7142855526818</v>
      </c>
      <c r="O68" s="16">
        <f t="shared" si="24"/>
        <v>-1.2835198504035361E-6</v>
      </c>
      <c r="P68">
        <f t="shared" si="23"/>
        <v>-6.4175992520176806E-8</v>
      </c>
      <c r="R68">
        <v>4918.3531750745196</v>
      </c>
      <c r="S68">
        <v>4918.3531750745196</v>
      </c>
    </row>
    <row r="69" spans="2:19" x14ac:dyDescent="0.2">
      <c r="B69" s="14">
        <v>46082</v>
      </c>
      <c r="C69">
        <v>269</v>
      </c>
      <c r="D69" s="8">
        <v>35</v>
      </c>
      <c r="E69">
        <f t="shared" si="19"/>
        <v>7685.7142857142853</v>
      </c>
      <c r="F69">
        <v>1.720433105627585</v>
      </c>
      <c r="G69">
        <v>1.1469515312049816</v>
      </c>
      <c r="H69" s="16">
        <v>2767.3611111111113</v>
      </c>
      <c r="I69">
        <v>4804.0674598933701</v>
      </c>
      <c r="J69">
        <f t="shared" si="26"/>
        <v>4761.0596707818931</v>
      </c>
      <c r="K69">
        <f t="shared" si="20"/>
        <v>5510.0325291367271</v>
      </c>
      <c r="L69">
        <f t="shared" si="21"/>
        <v>10271.092199918621</v>
      </c>
      <c r="M69" s="16">
        <f t="shared" si="25"/>
        <v>7571.4285710044815</v>
      </c>
      <c r="O69" s="16">
        <f t="shared" si="24"/>
        <v>-1.7076099538826384E-6</v>
      </c>
      <c r="P69">
        <f t="shared" si="23"/>
        <v>-8.5380497694131924E-8</v>
      </c>
      <c r="R69">
        <v>4804.0674600945304</v>
      </c>
      <c r="S69">
        <v>4804.0674600945304</v>
      </c>
    </row>
    <row r="70" spans="2:19" x14ac:dyDescent="0.2">
      <c r="I70" t="s">
        <v>16</v>
      </c>
      <c r="J70">
        <f>SUM(J58:J69)</f>
        <v>75506.554413101723</v>
      </c>
      <c r="K70">
        <f>SUM(K58:K69)</f>
        <v>95225.738794344288</v>
      </c>
      <c r="L70">
        <f t="shared" si="21"/>
        <v>170732.293207446</v>
      </c>
      <c r="P70" s="18">
        <f>SUM(P58:P69)</f>
        <v>792.8571422707995</v>
      </c>
    </row>
    <row r="129" spans="2:14" x14ac:dyDescent="0.2">
      <c r="J129" t="s">
        <v>33</v>
      </c>
      <c r="K129" t="s">
        <v>34</v>
      </c>
      <c r="L129" t="s">
        <v>57</v>
      </c>
    </row>
    <row r="130" spans="2:14" x14ac:dyDescent="0.2">
      <c r="I130" s="24" t="s">
        <v>58</v>
      </c>
      <c r="J130">
        <v>1316511.5530000001</v>
      </c>
      <c r="K130">
        <v>765195</v>
      </c>
    </row>
    <row r="131" spans="2:14" x14ac:dyDescent="0.2">
      <c r="I131" s="24"/>
      <c r="J131">
        <v>2116045</v>
      </c>
      <c r="K131">
        <v>2116045</v>
      </c>
      <c r="L131">
        <v>160216</v>
      </c>
    </row>
    <row r="132" spans="2:14" x14ac:dyDescent="0.2">
      <c r="J132">
        <f>SUM(J130:J131)</f>
        <v>3432556.5530000003</v>
      </c>
      <c r="K132">
        <f>SUM(K130:K131)</f>
        <v>2881240</v>
      </c>
      <c r="L132">
        <f>SUM(L131,K132)</f>
        <v>3041456</v>
      </c>
    </row>
    <row r="133" spans="2:14" x14ac:dyDescent="0.2">
      <c r="J133">
        <v>3432556.5529999998</v>
      </c>
      <c r="K133">
        <v>2881240</v>
      </c>
      <c r="L133">
        <v>3041456</v>
      </c>
    </row>
    <row r="135" spans="2:14" x14ac:dyDescent="0.2">
      <c r="B135" t="s">
        <v>26</v>
      </c>
      <c r="G135" t="s">
        <v>35</v>
      </c>
      <c r="M135" s="8" t="s">
        <v>32</v>
      </c>
    </row>
    <row r="136" spans="2:14" x14ac:dyDescent="0.2">
      <c r="C136" s="8" t="s">
        <v>30</v>
      </c>
      <c r="D136" s="8"/>
      <c r="E136" s="8" t="s">
        <v>31</v>
      </c>
      <c r="F136" s="8" t="s">
        <v>28</v>
      </c>
      <c r="G136" s="8" t="s">
        <v>23</v>
      </c>
      <c r="H136" s="8" t="s">
        <v>24</v>
      </c>
      <c r="I136" s="8" t="s">
        <v>21</v>
      </c>
      <c r="J136" s="8" t="s">
        <v>22</v>
      </c>
      <c r="K136" s="8" t="s">
        <v>29</v>
      </c>
      <c r="M136" s="8" t="s">
        <v>33</v>
      </c>
      <c r="N136" s="8" t="s">
        <v>34</v>
      </c>
    </row>
    <row r="137" spans="2:14" x14ac:dyDescent="0.2">
      <c r="B137" s="7">
        <v>45772</v>
      </c>
      <c r="C137">
        <v>1.5288157894736842</v>
      </c>
      <c r="E137">
        <v>1.4112105263157895</v>
      </c>
      <c r="F137">
        <v>31.103999999999999</v>
      </c>
      <c r="G137" s="8">
        <v>4886.8312757201602</v>
      </c>
      <c r="H137" s="8">
        <v>2483.1669423159556</v>
      </c>
      <c r="I137">
        <f t="shared" ref="I137:I148" si="27">C137*F137*G137</f>
        <v>232379.9999999998</v>
      </c>
      <c r="J137">
        <f>E137*F137*H137</f>
        <v>108996.8553735357</v>
      </c>
      <c r="K137">
        <f>I137+J137</f>
        <v>341376.85537353548</v>
      </c>
      <c r="L137" s="7">
        <v>45772</v>
      </c>
      <c r="M137">
        <f>J137</f>
        <v>108996.8553735357</v>
      </c>
      <c r="N137">
        <f>M153</f>
        <v>108996.8553735357</v>
      </c>
    </row>
    <row r="138" spans="2:14" x14ac:dyDescent="0.2">
      <c r="B138" s="7">
        <v>45802</v>
      </c>
      <c r="C138">
        <v>1.5806907894736841</v>
      </c>
      <c r="E138">
        <v>0</v>
      </c>
      <c r="F138">
        <v>31.103999999999999</v>
      </c>
      <c r="G138" s="8">
        <v>4886.8312757201647</v>
      </c>
      <c r="H138" s="8">
        <v>0</v>
      </c>
      <c r="I138">
        <f t="shared" si="27"/>
        <v>240264.99999999997</v>
      </c>
      <c r="J138">
        <f t="shared" ref="J138:J148" si="28">E138*F138*H138</f>
        <v>0</v>
      </c>
      <c r="K138">
        <f t="shared" ref="K138:K148" si="29">I138+J138</f>
        <v>240264.99999999997</v>
      </c>
      <c r="L138" s="7">
        <v>45802</v>
      </c>
      <c r="M138">
        <f>M137+J138</f>
        <v>108996.8553735357</v>
      </c>
      <c r="N138">
        <f t="shared" ref="N138:N148" si="30">M154</f>
        <v>108996.8553735357</v>
      </c>
    </row>
    <row r="139" spans="2:14" x14ac:dyDescent="0.2">
      <c r="B139" s="7">
        <v>45833</v>
      </c>
      <c r="C139">
        <v>1.6237697368421053</v>
      </c>
      <c r="E139">
        <v>1.4613947368421052</v>
      </c>
      <c r="F139">
        <v>31.103999999999999</v>
      </c>
      <c r="G139" s="8">
        <v>4886.8312757201647</v>
      </c>
      <c r="H139" s="8">
        <v>2545.222790928924</v>
      </c>
      <c r="I139">
        <f t="shared" si="27"/>
        <v>246813</v>
      </c>
      <c r="J139">
        <f t="shared" si="28"/>
        <v>115693.66673321562</v>
      </c>
      <c r="K139">
        <f t="shared" si="29"/>
        <v>362506.66673321562</v>
      </c>
      <c r="L139" s="7">
        <v>45833</v>
      </c>
      <c r="M139">
        <f t="shared" ref="M139:M148" si="31">M138+J139</f>
        <v>224690.52210675133</v>
      </c>
      <c r="N139">
        <f t="shared" si="30"/>
        <v>224690.52210675133</v>
      </c>
    </row>
    <row r="140" spans="2:14" x14ac:dyDescent="0.2">
      <c r="B140" s="7">
        <v>45863</v>
      </c>
      <c r="C140">
        <v>1.6237697368421053</v>
      </c>
      <c r="E140">
        <v>0.97426315789473683</v>
      </c>
      <c r="F140">
        <v>31.103999999999999</v>
      </c>
      <c r="G140" s="8">
        <v>4886.8312757201647</v>
      </c>
      <c r="H140" s="8">
        <v>1371.7405698790662</v>
      </c>
      <c r="I140">
        <f t="shared" si="27"/>
        <v>246813</v>
      </c>
      <c r="J140">
        <f t="shared" si="28"/>
        <v>41568.514657243817</v>
      </c>
      <c r="K140">
        <f t="shared" si="29"/>
        <v>288381.5146572438</v>
      </c>
      <c r="L140" s="7">
        <v>45863</v>
      </c>
      <c r="M140">
        <f t="shared" si="31"/>
        <v>266259.03676399513</v>
      </c>
      <c r="N140">
        <f t="shared" si="30"/>
        <v>415833.15958043491</v>
      </c>
    </row>
    <row r="141" spans="2:14" x14ac:dyDescent="0.2">
      <c r="B141" s="7">
        <v>45894</v>
      </c>
      <c r="C141">
        <v>1.6237697368421053</v>
      </c>
      <c r="E141">
        <v>0.97426315789473683</v>
      </c>
      <c r="F141">
        <v>31.103999999999999</v>
      </c>
      <c r="G141" s="8">
        <v>4886.8312757201647</v>
      </c>
      <c r="H141" s="8">
        <v>1371.7405698790662</v>
      </c>
      <c r="I141">
        <f t="shared" si="27"/>
        <v>246813</v>
      </c>
      <c r="J141">
        <f t="shared" si="28"/>
        <v>41568.514657243817</v>
      </c>
      <c r="K141">
        <f t="shared" si="29"/>
        <v>288381.5146572438</v>
      </c>
      <c r="L141" s="7">
        <v>45894</v>
      </c>
      <c r="M141">
        <f t="shared" si="31"/>
        <v>307827.55142123892</v>
      </c>
      <c r="N141">
        <f t="shared" si="30"/>
        <v>627957.52842254017</v>
      </c>
    </row>
    <row r="142" spans="2:14" x14ac:dyDescent="0.2">
      <c r="B142" s="7">
        <v>45925</v>
      </c>
      <c r="C142">
        <v>1.6237697368421053</v>
      </c>
      <c r="E142">
        <v>0.32475657894736842</v>
      </c>
      <c r="F142">
        <v>31.103999999999999</v>
      </c>
      <c r="G142" s="8">
        <v>4886.8312757201647</v>
      </c>
      <c r="H142" s="8">
        <v>0</v>
      </c>
      <c r="I142">
        <f t="shared" si="27"/>
        <v>246813</v>
      </c>
      <c r="J142">
        <f t="shared" si="28"/>
        <v>0</v>
      </c>
      <c r="K142">
        <f t="shared" si="29"/>
        <v>246813</v>
      </c>
      <c r="L142" s="7">
        <v>45925</v>
      </c>
      <c r="M142">
        <f t="shared" si="31"/>
        <v>307827.55142123892</v>
      </c>
      <c r="N142">
        <f t="shared" si="30"/>
        <v>627957.52842254017</v>
      </c>
    </row>
    <row r="143" spans="2:14" x14ac:dyDescent="0.2">
      <c r="B143" s="7">
        <v>45955</v>
      </c>
      <c r="C143">
        <v>1.7219534883720931</v>
      </c>
      <c r="E143">
        <v>1.7219534883720931</v>
      </c>
      <c r="F143">
        <v>31.103999999999999</v>
      </c>
      <c r="G143" s="8">
        <v>2764.9176954732511</v>
      </c>
      <c r="H143" s="8">
        <v>4045.6197993210399</v>
      </c>
      <c r="I143">
        <f t="shared" si="27"/>
        <v>148088</v>
      </c>
      <c r="J143">
        <f t="shared" si="28"/>
        <v>216681.9452972213</v>
      </c>
      <c r="K143">
        <f t="shared" si="29"/>
        <v>364769.9452972213</v>
      </c>
      <c r="L143" s="7">
        <v>45955</v>
      </c>
      <c r="M143">
        <f t="shared" si="31"/>
        <v>524509.49671846023</v>
      </c>
      <c r="N143">
        <f t="shared" si="30"/>
        <v>627957.52842254017</v>
      </c>
    </row>
    <row r="144" spans="2:14" x14ac:dyDescent="0.2">
      <c r="B144" s="7">
        <v>45986</v>
      </c>
      <c r="C144">
        <v>1.720433105627585</v>
      </c>
      <c r="E144">
        <v>1.720433105627585</v>
      </c>
      <c r="F144">
        <v>31.103999999999999</v>
      </c>
      <c r="G144" s="8">
        <v>2767.3611111111113</v>
      </c>
      <c r="H144" s="8">
        <v>2402.5977708842929</v>
      </c>
      <c r="I144">
        <f t="shared" si="27"/>
        <v>148088.00000000003</v>
      </c>
      <c r="J144">
        <f t="shared" si="28"/>
        <v>128568.65599005947</v>
      </c>
      <c r="K144">
        <f t="shared" si="29"/>
        <v>276656.65599005949</v>
      </c>
      <c r="L144" s="7">
        <v>45986</v>
      </c>
      <c r="M144">
        <f t="shared" si="31"/>
        <v>653078.15270851972</v>
      </c>
      <c r="N144">
        <f t="shared" si="30"/>
        <v>659262.465350062</v>
      </c>
    </row>
    <row r="145" spans="2:18" x14ac:dyDescent="0.2">
      <c r="B145" s="7">
        <v>46016</v>
      </c>
      <c r="C145">
        <v>1.720433105627585</v>
      </c>
      <c r="E145">
        <v>2.2939030624099632</v>
      </c>
      <c r="F145">
        <v>31.103999999999999</v>
      </c>
      <c r="G145" s="8">
        <v>2767.3611111111113</v>
      </c>
      <c r="H145" s="8">
        <v>1957.8353942526392</v>
      </c>
      <c r="I145">
        <f t="shared" si="27"/>
        <v>148088.00000000003</v>
      </c>
      <c r="J145">
        <f t="shared" si="28"/>
        <v>139690.69560277648</v>
      </c>
      <c r="K145">
        <f t="shared" si="29"/>
        <v>287778.69560277648</v>
      </c>
      <c r="L145" s="7">
        <v>46016</v>
      </c>
      <c r="M145">
        <f t="shared" si="31"/>
        <v>792768.8483112962</v>
      </c>
      <c r="N145">
        <f t="shared" si="30"/>
        <v>659262.465350062</v>
      </c>
    </row>
    <row r="146" spans="2:18" x14ac:dyDescent="0.2">
      <c r="B146" s="7">
        <v>46047</v>
      </c>
      <c r="C146">
        <v>1.720433105627585</v>
      </c>
      <c r="E146">
        <v>0.28673497839118917</v>
      </c>
      <c r="F146">
        <v>31.103999999999999</v>
      </c>
      <c r="G146" s="8">
        <v>2767.3611111111113</v>
      </c>
      <c r="H146" s="8">
        <v>384.25882680588074</v>
      </c>
      <c r="I146">
        <f t="shared" si="27"/>
        <v>148088.00000000003</v>
      </c>
      <c r="J146">
        <f t="shared" si="28"/>
        <v>3427.052604850729</v>
      </c>
      <c r="K146">
        <f t="shared" si="29"/>
        <v>151515.05260485076</v>
      </c>
      <c r="L146" s="7">
        <v>46047</v>
      </c>
      <c r="M146">
        <f t="shared" si="31"/>
        <v>796195.90091614693</v>
      </c>
      <c r="N146">
        <f t="shared" si="30"/>
        <v>659262.465350062</v>
      </c>
    </row>
    <row r="147" spans="2:18" x14ac:dyDescent="0.2">
      <c r="B147" s="7">
        <v>46078</v>
      </c>
      <c r="C147">
        <v>1.720433105627585</v>
      </c>
      <c r="E147">
        <v>1.4336865095961708</v>
      </c>
      <c r="F147">
        <v>31.103999999999999</v>
      </c>
      <c r="G147" s="8">
        <v>2767.3611111111113</v>
      </c>
      <c r="H147" s="8">
        <v>1188.9143226231608</v>
      </c>
      <c r="I147">
        <f t="shared" si="27"/>
        <v>148088.00000000003</v>
      </c>
      <c r="J147">
        <f t="shared" si="28"/>
        <v>53017.714351968039</v>
      </c>
      <c r="K147">
        <f t="shared" si="29"/>
        <v>201105.71435196808</v>
      </c>
      <c r="L147" s="7">
        <v>46078</v>
      </c>
      <c r="M147">
        <f t="shared" si="31"/>
        <v>849213.61526811495</v>
      </c>
      <c r="N147">
        <f t="shared" si="30"/>
        <v>659262.465350062</v>
      </c>
    </row>
    <row r="148" spans="2:18" x14ac:dyDescent="0.2">
      <c r="B148" s="7">
        <v>46106</v>
      </c>
      <c r="C148">
        <v>1.720433105627585</v>
      </c>
      <c r="E148">
        <v>1.1469515312049816</v>
      </c>
      <c r="F148">
        <v>31.103999999999999</v>
      </c>
      <c r="G148" s="8">
        <v>2767.3611111111113</v>
      </c>
      <c r="H148" s="8">
        <v>1166.5803075057843</v>
      </c>
      <c r="I148">
        <f t="shared" si="27"/>
        <v>148088.00000000003</v>
      </c>
      <c r="J148">
        <f t="shared" si="28"/>
        <v>41617.496320264065</v>
      </c>
      <c r="K148">
        <f t="shared" si="29"/>
        <v>189705.49632026409</v>
      </c>
      <c r="L148" s="7">
        <v>46106</v>
      </c>
      <c r="M148">
        <f t="shared" si="31"/>
        <v>890831.11158837902</v>
      </c>
      <c r="N148">
        <f t="shared" si="30"/>
        <v>659262.465350062</v>
      </c>
    </row>
    <row r="149" spans="2:18" x14ac:dyDescent="0.2">
      <c r="G149">
        <f>SUM(G137:G148)</f>
        <v>45922.710905349777</v>
      </c>
      <c r="H149" s="8">
        <f>SUM(H137:H148)</f>
        <v>18917.677294395813</v>
      </c>
      <c r="I149" s="9">
        <f>SUM(I137:I148)</f>
        <v>2348425</v>
      </c>
      <c r="J149" s="9">
        <f>SUM(J137:J148)</f>
        <v>890831.11158837902</v>
      </c>
      <c r="K149" s="9">
        <f>SUM(K137:K148)</f>
        <v>3239256.1115883789</v>
      </c>
    </row>
    <row r="150" spans="2:18" x14ac:dyDescent="0.2">
      <c r="J150">
        <f>J149/H149</f>
        <v>47.08987777544337</v>
      </c>
    </row>
    <row r="151" spans="2:18" x14ac:dyDescent="0.2">
      <c r="B151" t="s">
        <v>26</v>
      </c>
      <c r="G151" t="s">
        <v>36</v>
      </c>
      <c r="M151" s="8" t="s">
        <v>32</v>
      </c>
    </row>
    <row r="152" spans="2:18" x14ac:dyDescent="0.2">
      <c r="C152" s="8" t="s">
        <v>30</v>
      </c>
      <c r="D152" s="8"/>
      <c r="E152" s="8" t="s">
        <v>31</v>
      </c>
      <c r="F152" s="8" t="s">
        <v>28</v>
      </c>
      <c r="G152" s="8" t="s">
        <v>23</v>
      </c>
      <c r="H152" s="8" t="s">
        <v>24</v>
      </c>
      <c r="I152" s="8" t="s">
        <v>21</v>
      </c>
      <c r="J152" s="8" t="s">
        <v>22</v>
      </c>
      <c r="K152" s="8" t="s">
        <v>29</v>
      </c>
      <c r="M152" s="8" t="s">
        <v>34</v>
      </c>
    </row>
    <row r="153" spans="2:18" x14ac:dyDescent="0.2">
      <c r="B153" s="7">
        <v>45772</v>
      </c>
      <c r="C153">
        <v>1.5288157894736842</v>
      </c>
      <c r="E153">
        <v>1.4112105263157895</v>
      </c>
      <c r="F153">
        <v>31.103999999999999</v>
      </c>
      <c r="G153" s="8">
        <v>4886.8312757201647</v>
      </c>
      <c r="H153" s="8">
        <v>2483.1669423159556</v>
      </c>
      <c r="I153">
        <f t="shared" ref="I153:I164" si="32">C153*F153*G153</f>
        <v>232380</v>
      </c>
      <c r="J153">
        <f>E153*F153*H153</f>
        <v>108996.8553735357</v>
      </c>
      <c r="K153">
        <f>I153+J153</f>
        <v>341376.85537353571</v>
      </c>
      <c r="M153">
        <f>J153</f>
        <v>108996.8553735357</v>
      </c>
    </row>
    <row r="154" spans="2:18" x14ac:dyDescent="0.2">
      <c r="B154" s="7">
        <v>45802</v>
      </c>
      <c r="C154">
        <v>1.5806907894736841</v>
      </c>
      <c r="E154">
        <v>0</v>
      </c>
      <c r="F154">
        <v>31.103999999999999</v>
      </c>
      <c r="G154" s="8">
        <v>4886.8312757201647</v>
      </c>
      <c r="H154" s="8">
        <v>0</v>
      </c>
      <c r="I154">
        <f t="shared" si="32"/>
        <v>240264.99999999997</v>
      </c>
      <c r="J154">
        <f t="shared" ref="J154:J164" si="33">E154*F154*H154</f>
        <v>0</v>
      </c>
      <c r="K154">
        <f t="shared" ref="K154:K164" si="34">I154+J154</f>
        <v>240264.99999999997</v>
      </c>
      <c r="M154">
        <f>M153+J154</f>
        <v>108996.8553735357</v>
      </c>
      <c r="P154" t="s">
        <v>76</v>
      </c>
      <c r="Q154" t="s">
        <v>78</v>
      </c>
      <c r="R154" t="s">
        <v>77</v>
      </c>
    </row>
    <row r="155" spans="2:18" x14ac:dyDescent="0.2">
      <c r="B155" s="7">
        <v>45833</v>
      </c>
      <c r="C155">
        <v>1.6237697368421053</v>
      </c>
      <c r="E155">
        <v>1.4613947368421052</v>
      </c>
      <c r="F155">
        <v>31.103999999999999</v>
      </c>
      <c r="G155" s="8">
        <v>4886.8312757201647</v>
      </c>
      <c r="H155" s="8">
        <v>2545.222790928924</v>
      </c>
      <c r="I155">
        <f t="shared" si="32"/>
        <v>246813</v>
      </c>
      <c r="J155">
        <f t="shared" si="33"/>
        <v>115693.66673321562</v>
      </c>
      <c r="K155">
        <f t="shared" si="34"/>
        <v>362506.66673321562</v>
      </c>
      <c r="M155">
        <f t="shared" ref="M155:M164" si="35">M154+J155</f>
        <v>224690.52210675133</v>
      </c>
      <c r="P155">
        <v>500</v>
      </c>
      <c r="Q155">
        <f>35*31.104</f>
        <v>1088.6399999999999</v>
      </c>
      <c r="R155">
        <f>500000*31.104/Q155</f>
        <v>14285.714285714288</v>
      </c>
    </row>
    <row r="156" spans="2:18" x14ac:dyDescent="0.2">
      <c r="B156" s="7">
        <v>45863</v>
      </c>
      <c r="C156">
        <v>1.6237697368421053</v>
      </c>
      <c r="E156">
        <v>0.97426315789473683</v>
      </c>
      <c r="F156">
        <v>31.103999999999999</v>
      </c>
      <c r="G156" s="8">
        <v>4886.8312757201647</v>
      </c>
      <c r="H156">
        <v>6307.6131687242596</v>
      </c>
      <c r="I156">
        <f t="shared" si="32"/>
        <v>246813</v>
      </c>
      <c r="J156">
        <f t="shared" si="33"/>
        <v>191142.6374736836</v>
      </c>
      <c r="K156">
        <f t="shared" si="34"/>
        <v>437955.63747368357</v>
      </c>
      <c r="M156">
        <f t="shared" si="35"/>
        <v>415833.15958043491</v>
      </c>
    </row>
    <row r="157" spans="2:18" x14ac:dyDescent="0.2">
      <c r="B157" s="7">
        <v>45894</v>
      </c>
      <c r="C157">
        <v>1.6237697368421053</v>
      </c>
      <c r="E157">
        <v>0.97426315789473683</v>
      </c>
      <c r="F157">
        <v>31.103999999999999</v>
      </c>
      <c r="G157" s="8">
        <v>4886.8312757201647</v>
      </c>
      <c r="H157">
        <v>7000</v>
      </c>
      <c r="I157">
        <f t="shared" si="32"/>
        <v>246813</v>
      </c>
      <c r="J157">
        <f t="shared" si="33"/>
        <v>212124.36884210526</v>
      </c>
      <c r="K157">
        <f t="shared" si="34"/>
        <v>458937.36884210526</v>
      </c>
      <c r="M157">
        <f t="shared" si="35"/>
        <v>627957.52842254017</v>
      </c>
    </row>
    <row r="158" spans="2:18" x14ac:dyDescent="0.2">
      <c r="B158" s="7">
        <v>45925</v>
      </c>
      <c r="C158">
        <v>1.6237697368421053</v>
      </c>
      <c r="E158">
        <v>0.32475657894736842</v>
      </c>
      <c r="F158">
        <v>31.103999999999999</v>
      </c>
      <c r="G158" s="8">
        <v>4886.8312757201647</v>
      </c>
      <c r="H158">
        <v>0</v>
      </c>
      <c r="I158">
        <f t="shared" si="32"/>
        <v>246813</v>
      </c>
      <c r="J158">
        <f t="shared" si="33"/>
        <v>0</v>
      </c>
      <c r="K158">
        <f t="shared" si="34"/>
        <v>246813</v>
      </c>
      <c r="M158">
        <f t="shared" si="35"/>
        <v>627957.52842254017</v>
      </c>
    </row>
    <row r="159" spans="2:18" x14ac:dyDescent="0.2">
      <c r="B159" s="7">
        <v>45955</v>
      </c>
      <c r="C159">
        <v>1.7219534883720931</v>
      </c>
      <c r="E159">
        <v>1.7219534883720931</v>
      </c>
      <c r="F159">
        <v>31.103999999999999</v>
      </c>
      <c r="G159" s="8">
        <v>2764.9176954732511</v>
      </c>
      <c r="H159">
        <v>0</v>
      </c>
      <c r="I159">
        <f t="shared" si="32"/>
        <v>148088</v>
      </c>
      <c r="J159">
        <f t="shared" si="33"/>
        <v>0</v>
      </c>
      <c r="K159">
        <f t="shared" si="34"/>
        <v>148088</v>
      </c>
      <c r="M159">
        <f t="shared" si="35"/>
        <v>627957.52842254017</v>
      </c>
    </row>
    <row r="160" spans="2:18" x14ac:dyDescent="0.2">
      <c r="B160" s="7">
        <v>45986</v>
      </c>
      <c r="C160">
        <v>1.720433105627585</v>
      </c>
      <c r="E160">
        <v>1.720433105627585</v>
      </c>
      <c r="F160">
        <v>31.103999999999999</v>
      </c>
      <c r="G160" s="8">
        <v>2767.3611111111113</v>
      </c>
      <c r="H160">
        <v>585.00395061726795</v>
      </c>
      <c r="I160">
        <f t="shared" si="32"/>
        <v>148088.00000000003</v>
      </c>
      <c r="J160">
        <f t="shared" si="33"/>
        <v>31304.936927521801</v>
      </c>
      <c r="K160">
        <f t="shared" si="34"/>
        <v>179392.93692752183</v>
      </c>
      <c r="M160">
        <f t="shared" si="35"/>
        <v>659262.465350062</v>
      </c>
    </row>
    <row r="161" spans="2:21" x14ac:dyDescent="0.2">
      <c r="B161" s="7">
        <v>46016</v>
      </c>
      <c r="C161">
        <v>1.720433105627585</v>
      </c>
      <c r="E161">
        <v>2.2939030624099632</v>
      </c>
      <c r="F161">
        <v>31.103999999999999</v>
      </c>
      <c r="G161" s="8">
        <v>2767.3611111111113</v>
      </c>
      <c r="H161">
        <v>0</v>
      </c>
      <c r="I161">
        <f t="shared" si="32"/>
        <v>148088.00000000003</v>
      </c>
      <c r="J161">
        <f t="shared" si="33"/>
        <v>0</v>
      </c>
      <c r="K161">
        <f t="shared" si="34"/>
        <v>148088.00000000003</v>
      </c>
      <c r="M161">
        <f t="shared" si="35"/>
        <v>659262.465350062</v>
      </c>
    </row>
    <row r="162" spans="2:21" x14ac:dyDescent="0.2">
      <c r="B162" s="7">
        <v>46047</v>
      </c>
      <c r="C162">
        <v>1.720433105627585</v>
      </c>
      <c r="E162">
        <v>0.28673497839118917</v>
      </c>
      <c r="F162">
        <v>31.103999999999999</v>
      </c>
      <c r="G162" s="8">
        <v>2767.3611111111113</v>
      </c>
      <c r="H162">
        <v>0</v>
      </c>
      <c r="I162">
        <f t="shared" si="32"/>
        <v>148088.00000000003</v>
      </c>
      <c r="J162">
        <f t="shared" si="33"/>
        <v>0</v>
      </c>
      <c r="K162">
        <f t="shared" si="34"/>
        <v>148088.00000000003</v>
      </c>
      <c r="M162">
        <f t="shared" si="35"/>
        <v>659262.465350062</v>
      </c>
    </row>
    <row r="163" spans="2:21" x14ac:dyDescent="0.2">
      <c r="B163" s="7">
        <v>46078</v>
      </c>
      <c r="C163">
        <v>1.720433105627585</v>
      </c>
      <c r="E163">
        <v>1.4336865095961708</v>
      </c>
      <c r="F163">
        <v>31.103999999999999</v>
      </c>
      <c r="G163" s="8">
        <v>2767.3611111111113</v>
      </c>
      <c r="H163">
        <v>0</v>
      </c>
      <c r="I163">
        <f t="shared" si="32"/>
        <v>148088.00000000003</v>
      </c>
      <c r="J163">
        <f t="shared" si="33"/>
        <v>0</v>
      </c>
      <c r="K163">
        <f t="shared" si="34"/>
        <v>148088.00000000003</v>
      </c>
      <c r="M163">
        <f t="shared" si="35"/>
        <v>659262.465350062</v>
      </c>
    </row>
    <row r="164" spans="2:21" x14ac:dyDescent="0.2">
      <c r="B164" s="7">
        <v>46106</v>
      </c>
      <c r="C164">
        <v>1.720433105627585</v>
      </c>
      <c r="E164">
        <v>1.1469515312049816</v>
      </c>
      <c r="F164">
        <v>31.103999999999999</v>
      </c>
      <c r="G164" s="8">
        <v>2767.3611111111113</v>
      </c>
      <c r="H164">
        <v>0</v>
      </c>
      <c r="I164">
        <f t="shared" si="32"/>
        <v>148088.00000000003</v>
      </c>
      <c r="J164">
        <f t="shared" si="33"/>
        <v>0</v>
      </c>
      <c r="K164">
        <f t="shared" si="34"/>
        <v>148088.00000000003</v>
      </c>
      <c r="M164">
        <f t="shared" si="35"/>
        <v>659262.465350062</v>
      </c>
    </row>
    <row r="165" spans="2:21" x14ac:dyDescent="0.2">
      <c r="G165">
        <f>SUM(G153:G164)</f>
        <v>45922.710905349784</v>
      </c>
      <c r="H165">
        <f>SUM(H153:H164)</f>
        <v>18921.006852586408</v>
      </c>
      <c r="I165" s="9">
        <f>SUM(I153:I164)</f>
        <v>2348425</v>
      </c>
      <c r="J165" s="9">
        <f>SUM(J153:J164)</f>
        <v>659262.465350062</v>
      </c>
      <c r="K165" s="9">
        <f>SUM(K153:K164)</f>
        <v>3007687.4653500617</v>
      </c>
    </row>
    <row r="166" spans="2:21" x14ac:dyDescent="0.2">
      <c r="J166">
        <f>J165/H165</f>
        <v>34.842884973636806</v>
      </c>
    </row>
    <row r="168" spans="2:21" x14ac:dyDescent="0.2">
      <c r="G168" t="s">
        <v>59</v>
      </c>
    </row>
    <row r="169" spans="2:21" x14ac:dyDescent="0.2">
      <c r="E169" t="s">
        <v>61</v>
      </c>
      <c r="G169" t="s">
        <v>39</v>
      </c>
      <c r="H169" t="s">
        <v>40</v>
      </c>
      <c r="I169" t="s">
        <v>41</v>
      </c>
      <c r="J169" t="s">
        <v>43</v>
      </c>
      <c r="K169" t="s">
        <v>42</v>
      </c>
      <c r="L169" t="s">
        <v>45</v>
      </c>
      <c r="O169" t="s">
        <v>49</v>
      </c>
      <c r="P169" t="s">
        <v>51</v>
      </c>
      <c r="Q169" t="s">
        <v>42</v>
      </c>
      <c r="R169" t="s">
        <v>50</v>
      </c>
      <c r="S169" t="s">
        <v>54</v>
      </c>
      <c r="T169" t="s">
        <v>52</v>
      </c>
      <c r="U169" t="s">
        <v>53</v>
      </c>
    </row>
    <row r="170" spans="2:21" x14ac:dyDescent="0.2">
      <c r="E170">
        <v>1242</v>
      </c>
      <c r="F170" s="7">
        <v>45772</v>
      </c>
      <c r="G170">
        <v>5195.1035206425595</v>
      </c>
      <c r="H170">
        <v>7369.9982180361203</v>
      </c>
      <c r="I170">
        <f>H170-G170+E170</f>
        <v>3416.8946973935608</v>
      </c>
      <c r="J170">
        <v>0.05</v>
      </c>
      <c r="K170">
        <f t="shared" ref="K170:K181" si="36">I170*J170*L170</f>
        <v>4271.1183717419517</v>
      </c>
      <c r="L170">
        <v>25</v>
      </c>
      <c r="O170">
        <v>446884</v>
      </c>
      <c r="P170">
        <f>SUM(Q170:R170)</f>
        <v>542281.50637903402</v>
      </c>
      <c r="Q170">
        <v>2641.4609053497929</v>
      </c>
      <c r="R170">
        <v>539640.04547368421</v>
      </c>
      <c r="S170" s="7">
        <v>45772</v>
      </c>
      <c r="T170">
        <f>O170</f>
        <v>446884</v>
      </c>
      <c r="U170">
        <f>P170</f>
        <v>542281.50637903402</v>
      </c>
    </row>
    <row r="171" spans="2:21" x14ac:dyDescent="0.2">
      <c r="F171" s="7">
        <v>45802</v>
      </c>
      <c r="G171">
        <v>5907.1382972953343</v>
      </c>
      <c r="H171">
        <v>3813.8171728011271</v>
      </c>
      <c r="I171">
        <f>I170+H171-G171</f>
        <v>1323.5735728993532</v>
      </c>
      <c r="J171">
        <v>0.05</v>
      </c>
      <c r="K171">
        <f t="shared" si="36"/>
        <v>1654.4669661241915</v>
      </c>
      <c r="L171">
        <v>25</v>
      </c>
      <c r="O171">
        <v>240264.99999999997</v>
      </c>
      <c r="P171">
        <f t="shared" ref="P171:P181" si="37">SUM(Q171:R171)</f>
        <v>251415.3343621399</v>
      </c>
      <c r="Q171">
        <v>11150.334362139914</v>
      </c>
      <c r="R171">
        <v>240264.99999999997</v>
      </c>
      <c r="S171" s="7">
        <v>45802</v>
      </c>
      <c r="T171">
        <f>O171+T170</f>
        <v>687149</v>
      </c>
      <c r="U171">
        <f>P171+U170</f>
        <v>793696.84074117395</v>
      </c>
    </row>
    <row r="172" spans="2:21" x14ac:dyDescent="0.2">
      <c r="F172" s="7">
        <v>45833</v>
      </c>
      <c r="G172">
        <v>5625.7573205650187</v>
      </c>
      <c r="H172">
        <v>7432.0540666490888</v>
      </c>
      <c r="I172">
        <f t="shared" ref="I172:I181" si="38">I171+H172-G172</f>
        <v>3129.8703189834232</v>
      </c>
      <c r="J172">
        <v>0.05</v>
      </c>
      <c r="K172">
        <f t="shared" si="36"/>
        <v>3912.3378987292795</v>
      </c>
      <c r="L172">
        <v>25</v>
      </c>
      <c r="O172">
        <v>474790.57894736843</v>
      </c>
      <c r="P172">
        <f t="shared" si="37"/>
        <v>578630.59750184091</v>
      </c>
      <c r="Q172">
        <v>13631.044238683122</v>
      </c>
      <c r="R172">
        <v>564999.55326315784</v>
      </c>
      <c r="S172" s="7">
        <v>45833</v>
      </c>
      <c r="T172">
        <f t="shared" ref="T172:U181" si="39">O172+T171</f>
        <v>1161939.5789473685</v>
      </c>
      <c r="U172">
        <f t="shared" si="39"/>
        <v>1372327.4382430147</v>
      </c>
    </row>
    <row r="173" spans="2:21" x14ac:dyDescent="0.2">
      <c r="F173" s="7">
        <v>45863</v>
      </c>
      <c r="G173">
        <v>6433.9826158977739</v>
      </c>
      <c r="H173">
        <f t="shared" ref="H173:H181" si="40">SUM(G156:H156)</f>
        <v>11194.444444444423</v>
      </c>
      <c r="I173">
        <f t="shared" si="38"/>
        <v>7890.3321475300727</v>
      </c>
      <c r="J173">
        <v>0.05</v>
      </c>
      <c r="K173">
        <f t="shared" si="36"/>
        <v>9862.9151844125918</v>
      </c>
      <c r="L173">
        <v>25</v>
      </c>
      <c r="O173">
        <v>351059.15789473685</v>
      </c>
      <c r="P173">
        <f t="shared" si="37"/>
        <v>477018.32306021225</v>
      </c>
      <c r="Q173">
        <v>18080.954218106992</v>
      </c>
      <c r="R173">
        <v>458937.36884210526</v>
      </c>
      <c r="S173" s="7">
        <v>45863</v>
      </c>
      <c r="T173">
        <f t="shared" si="39"/>
        <v>1512998.7368421054</v>
      </c>
      <c r="U173">
        <f t="shared" si="39"/>
        <v>1849345.7613032269</v>
      </c>
    </row>
    <row r="174" spans="2:21" x14ac:dyDescent="0.2">
      <c r="F174" s="7">
        <v>45894</v>
      </c>
      <c r="G174">
        <v>6493.9081133646077</v>
      </c>
      <c r="H174">
        <f t="shared" si="40"/>
        <v>11886.831275720164</v>
      </c>
      <c r="I174">
        <f t="shared" si="38"/>
        <v>13283.25530988563</v>
      </c>
      <c r="J174">
        <v>0.05</v>
      </c>
      <c r="K174">
        <f t="shared" si="36"/>
        <v>16604.069137357037</v>
      </c>
      <c r="L174">
        <v>25</v>
      </c>
      <c r="O174">
        <v>351059.15789473685</v>
      </c>
      <c r="P174">
        <f t="shared" si="37"/>
        <v>470674.47530300973</v>
      </c>
      <c r="Q174">
        <v>22103.26646090531</v>
      </c>
      <c r="R174">
        <v>448571.20884210442</v>
      </c>
      <c r="S174" s="7">
        <v>45894</v>
      </c>
      <c r="T174">
        <f t="shared" si="39"/>
        <v>1864057.8947368423</v>
      </c>
      <c r="U174">
        <f t="shared" si="39"/>
        <v>2320020.2366062365</v>
      </c>
    </row>
    <row r="175" spans="2:21" x14ac:dyDescent="0.2">
      <c r="F175" s="7">
        <v>45925</v>
      </c>
      <c r="G175">
        <v>6071.2326312903115</v>
      </c>
      <c r="H175">
        <f t="shared" si="40"/>
        <v>4886.8312757201647</v>
      </c>
      <c r="I175">
        <f t="shared" si="38"/>
        <v>12098.853954315482</v>
      </c>
      <c r="J175">
        <v>0.05</v>
      </c>
      <c r="K175">
        <f t="shared" si="36"/>
        <v>15123.567442894353</v>
      </c>
      <c r="L175">
        <v>25</v>
      </c>
      <c r="O175">
        <v>260452.77631578947</v>
      </c>
      <c r="P175">
        <f t="shared" si="37"/>
        <v>304452.67678642564</v>
      </c>
      <c r="Q175">
        <v>24514.529012345633</v>
      </c>
      <c r="R175">
        <v>279938.14777407999</v>
      </c>
      <c r="S175" s="7">
        <v>45925</v>
      </c>
      <c r="T175">
        <f t="shared" si="39"/>
        <v>2124510.6710526319</v>
      </c>
      <c r="U175">
        <f t="shared" si="39"/>
        <v>2624472.9133926621</v>
      </c>
    </row>
    <row r="176" spans="2:21" x14ac:dyDescent="0.2">
      <c r="F176" s="7">
        <v>45955</v>
      </c>
      <c r="G176">
        <v>6403.8158313631438</v>
      </c>
      <c r="H176">
        <f t="shared" si="40"/>
        <v>2764.9176954732511</v>
      </c>
      <c r="I176">
        <f t="shared" si="38"/>
        <v>8459.9558184255911</v>
      </c>
      <c r="J176">
        <v>0.05</v>
      </c>
      <c r="K176">
        <f t="shared" si="36"/>
        <v>10574.94477303199</v>
      </c>
      <c r="L176">
        <v>25</v>
      </c>
      <c r="O176">
        <v>278956.46511627908</v>
      </c>
      <c r="P176">
        <f t="shared" si="37"/>
        <v>169548.25946502053</v>
      </c>
      <c r="Q176">
        <v>21460.259465020532</v>
      </c>
      <c r="R176">
        <v>148088</v>
      </c>
      <c r="S176" s="7">
        <v>45955</v>
      </c>
      <c r="T176">
        <f t="shared" si="39"/>
        <v>2403467.1361689111</v>
      </c>
      <c r="U176">
        <f t="shared" si="39"/>
        <v>2794021.1728576827</v>
      </c>
    </row>
    <row r="177" spans="5:21" x14ac:dyDescent="0.2">
      <c r="F177" s="7">
        <v>45986</v>
      </c>
      <c r="G177">
        <v>6026.4848889003415</v>
      </c>
      <c r="H177">
        <f t="shared" si="40"/>
        <v>3352.3650617283793</v>
      </c>
      <c r="I177">
        <f t="shared" si="38"/>
        <v>5785.835991253628</v>
      </c>
      <c r="J177">
        <v>0.05</v>
      </c>
      <c r="K177">
        <f t="shared" si="36"/>
        <v>7232.2949890670361</v>
      </c>
      <c r="L177">
        <v>25</v>
      </c>
      <c r="O177">
        <v>333764.02249175153</v>
      </c>
      <c r="P177">
        <f t="shared" si="37"/>
        <v>165211.03595679012</v>
      </c>
      <c r="Q177">
        <v>17123.035956790081</v>
      </c>
      <c r="R177">
        <v>148088.00000000003</v>
      </c>
      <c r="S177" s="7">
        <v>45986</v>
      </c>
      <c r="T177">
        <f t="shared" si="39"/>
        <v>2737231.1586606628</v>
      </c>
      <c r="U177">
        <f t="shared" si="39"/>
        <v>2959232.2088144729</v>
      </c>
    </row>
    <row r="178" spans="5:21" x14ac:dyDescent="0.2">
      <c r="F178" s="7">
        <v>46016</v>
      </c>
      <c r="G178">
        <v>4479.7985738060161</v>
      </c>
      <c r="H178">
        <f t="shared" si="40"/>
        <v>2767.3611111111113</v>
      </c>
      <c r="I178">
        <f t="shared" si="38"/>
        <v>4073.3985285587223</v>
      </c>
      <c r="J178">
        <v>0.05</v>
      </c>
      <c r="K178">
        <f t="shared" si="36"/>
        <v>5091.7481606984029</v>
      </c>
      <c r="L178">
        <v>25</v>
      </c>
      <c r="O178">
        <v>471353.99516706169</v>
      </c>
      <c r="P178">
        <f t="shared" si="37"/>
        <v>159547.61646090532</v>
      </c>
      <c r="Q178">
        <v>11459.616460905305</v>
      </c>
      <c r="R178">
        <v>148088.00000000003</v>
      </c>
      <c r="S178" s="7">
        <v>46016</v>
      </c>
      <c r="T178">
        <f t="shared" si="39"/>
        <v>3208585.1538277245</v>
      </c>
      <c r="U178">
        <f t="shared" si="39"/>
        <v>3118779.8252753783</v>
      </c>
    </row>
    <row r="179" spans="5:21" x14ac:dyDescent="0.2">
      <c r="F179" s="7">
        <v>46047</v>
      </c>
      <c r="G179">
        <v>4284.164832400751</v>
      </c>
      <c r="H179">
        <f t="shared" si="40"/>
        <v>2767.3611111111113</v>
      </c>
      <c r="I179">
        <f t="shared" si="38"/>
        <v>2556.5948072690826</v>
      </c>
      <c r="J179">
        <v>0.05</v>
      </c>
      <c r="K179">
        <f t="shared" si="36"/>
        <v>3195.7435090863532</v>
      </c>
      <c r="L179">
        <v>25</v>
      </c>
      <c r="O179">
        <v>155808.05255820439</v>
      </c>
      <c r="P179">
        <f t="shared" si="37"/>
        <v>158465.60128600823</v>
      </c>
      <c r="Q179">
        <v>10377.601286008185</v>
      </c>
      <c r="R179">
        <v>148088.00000000003</v>
      </c>
      <c r="S179" s="7">
        <v>46047</v>
      </c>
      <c r="T179">
        <f t="shared" si="39"/>
        <v>3364393.2063859291</v>
      </c>
      <c r="U179">
        <f t="shared" si="39"/>
        <v>3277245.4265613863</v>
      </c>
    </row>
    <row r="180" spans="5:21" x14ac:dyDescent="0.2">
      <c r="F180" s="7">
        <v>46078</v>
      </c>
      <c r="G180">
        <v>3874.8158713185621</v>
      </c>
      <c r="H180">
        <f t="shared" si="40"/>
        <v>2767.3611111111113</v>
      </c>
      <c r="I180">
        <f t="shared" si="38"/>
        <v>1449.1400470616318</v>
      </c>
      <c r="J180">
        <v>0.05</v>
      </c>
      <c r="K180">
        <f t="shared" si="36"/>
        <v>1811.4250588270397</v>
      </c>
      <c r="L180">
        <v>25</v>
      </c>
      <c r="O180">
        <v>279878.19870811841</v>
      </c>
      <c r="P180">
        <f t="shared" si="37"/>
        <v>154771.38189300409</v>
      </c>
      <c r="Q180">
        <v>6683.3818930040688</v>
      </c>
      <c r="R180">
        <v>148088.00000000003</v>
      </c>
      <c r="S180" s="7">
        <v>46078</v>
      </c>
      <c r="T180">
        <f t="shared" si="39"/>
        <v>3644271.4050940475</v>
      </c>
      <c r="U180">
        <f t="shared" si="39"/>
        <v>3432016.8084543906</v>
      </c>
    </row>
    <row r="181" spans="5:21" x14ac:dyDescent="0.2">
      <c r="F181" s="7">
        <v>46106</v>
      </c>
      <c r="G181">
        <v>3826.840185484803</v>
      </c>
      <c r="H181">
        <f t="shared" si="40"/>
        <v>2767.3611111111113</v>
      </c>
      <c r="I181">
        <f t="shared" si="38"/>
        <v>389.6609726879401</v>
      </c>
      <c r="J181">
        <v>0.05</v>
      </c>
      <c r="K181">
        <f t="shared" si="36"/>
        <v>487.07621585992518</v>
      </c>
      <c r="L181">
        <v>25</v>
      </c>
      <c r="O181">
        <v>235169.14805520704</v>
      </c>
      <c r="P181">
        <f t="shared" si="37"/>
        <v>151720.16661522634</v>
      </c>
      <c r="Q181">
        <v>3632.1666152262928</v>
      </c>
      <c r="R181">
        <v>148088.00000000003</v>
      </c>
      <c r="S181" s="7">
        <v>46106</v>
      </c>
      <c r="T181">
        <f t="shared" si="39"/>
        <v>3879440.5531492545</v>
      </c>
      <c r="U181">
        <f t="shared" si="39"/>
        <v>3583736.9750696169</v>
      </c>
    </row>
    <row r="182" spans="5:21" x14ac:dyDescent="0.2">
      <c r="J182" t="s">
        <v>42</v>
      </c>
      <c r="K182" s="9">
        <f>SUM(K170:K181)</f>
        <v>79821.707707830166</v>
      </c>
    </row>
    <row r="184" spans="5:21" x14ac:dyDescent="0.2">
      <c r="J184" t="s">
        <v>44</v>
      </c>
      <c r="K184">
        <f>SUM(K165+K182)</f>
        <v>3087509.1730578919</v>
      </c>
    </row>
    <row r="186" spans="5:21" x14ac:dyDescent="0.2">
      <c r="J186" t="s">
        <v>46</v>
      </c>
      <c r="K186">
        <f>(K149-K184)/K149</f>
        <v>4.6846230524229045E-2</v>
      </c>
    </row>
    <row r="190" spans="5:21" x14ac:dyDescent="0.2">
      <c r="G190" t="s">
        <v>60</v>
      </c>
    </row>
    <row r="191" spans="5:21" x14ac:dyDescent="0.2">
      <c r="G191" t="s">
        <v>39</v>
      </c>
      <c r="H191" t="s">
        <v>40</v>
      </c>
      <c r="I191" t="s">
        <v>41</v>
      </c>
      <c r="J191" t="s">
        <v>43</v>
      </c>
      <c r="K191" t="s">
        <v>42</v>
      </c>
      <c r="L191" t="s">
        <v>45</v>
      </c>
    </row>
    <row r="192" spans="5:21" x14ac:dyDescent="0.2">
      <c r="E192">
        <v>1242</v>
      </c>
      <c r="F192" s="7">
        <v>45772</v>
      </c>
      <c r="G192">
        <v>5195.1035206425595</v>
      </c>
      <c r="H192">
        <v>7369.9982180361203</v>
      </c>
      <c r="I192">
        <f>H192-G192+E192</f>
        <v>3416.8946973935608</v>
      </c>
      <c r="J192">
        <v>0.05</v>
      </c>
      <c r="K192">
        <f>I192*J192*L192</f>
        <v>4271.1183717419517</v>
      </c>
      <c r="L192">
        <v>25</v>
      </c>
    </row>
    <row r="193" spans="6:16" x14ac:dyDescent="0.2">
      <c r="F193" s="7">
        <v>45802</v>
      </c>
      <c r="G193">
        <v>5907.1382972953343</v>
      </c>
      <c r="H193">
        <v>3813.8171728011271</v>
      </c>
      <c r="I193">
        <f>I192+H193-G193</f>
        <v>1323.5735728993532</v>
      </c>
      <c r="J193">
        <v>0.05</v>
      </c>
      <c r="K193">
        <f t="shared" ref="K193:K203" si="41">I193*J193*L193</f>
        <v>1654.4669661241915</v>
      </c>
      <c r="L193">
        <v>25</v>
      </c>
    </row>
    <row r="194" spans="6:16" x14ac:dyDescent="0.2">
      <c r="F194" s="7">
        <v>45833</v>
      </c>
      <c r="G194">
        <v>5625.7573205650187</v>
      </c>
      <c r="H194">
        <v>7432.0540666490888</v>
      </c>
      <c r="I194">
        <f t="shared" ref="I194:I203" si="42">I193+H194-G194</f>
        <v>3129.8703189834232</v>
      </c>
      <c r="J194">
        <v>0.05</v>
      </c>
      <c r="K194">
        <f t="shared" si="41"/>
        <v>3912.3378987292795</v>
      </c>
      <c r="L194">
        <v>25</v>
      </c>
    </row>
    <row r="195" spans="6:16" x14ac:dyDescent="0.2">
      <c r="F195" s="7">
        <v>45863</v>
      </c>
      <c r="G195">
        <v>6433.9826158977739</v>
      </c>
      <c r="H195">
        <v>6258.571845599231</v>
      </c>
      <c r="I195">
        <f t="shared" si="42"/>
        <v>2954.4595486848812</v>
      </c>
      <c r="J195">
        <v>0.05</v>
      </c>
      <c r="K195">
        <f t="shared" si="41"/>
        <v>3693.0744358561014</v>
      </c>
      <c r="L195">
        <v>25</v>
      </c>
    </row>
    <row r="196" spans="6:16" x14ac:dyDescent="0.2">
      <c r="F196" s="7">
        <v>45894</v>
      </c>
      <c r="G196">
        <v>6493.9081133646077</v>
      </c>
      <c r="H196">
        <v>6258.571845599231</v>
      </c>
      <c r="I196">
        <f t="shared" si="42"/>
        <v>2719.1232809195053</v>
      </c>
      <c r="J196">
        <v>0.05</v>
      </c>
      <c r="K196">
        <f t="shared" si="41"/>
        <v>3398.9041011493819</v>
      </c>
      <c r="L196">
        <v>25</v>
      </c>
    </row>
    <row r="197" spans="6:16" x14ac:dyDescent="0.2">
      <c r="F197" s="7">
        <v>45925</v>
      </c>
      <c r="G197">
        <v>6071.2326312903115</v>
      </c>
      <c r="H197">
        <v>4778.7981416454531</v>
      </c>
      <c r="I197">
        <f t="shared" si="42"/>
        <v>1426.688791274647</v>
      </c>
      <c r="J197">
        <v>0.05</v>
      </c>
      <c r="K197">
        <f t="shared" si="41"/>
        <v>1783.3609890933087</v>
      </c>
      <c r="L197">
        <v>25</v>
      </c>
    </row>
    <row r="198" spans="6:16" x14ac:dyDescent="0.2">
      <c r="F198" s="7">
        <v>45955</v>
      </c>
      <c r="G198">
        <v>6403.8158313631438</v>
      </c>
      <c r="H198">
        <v>6810.537494794291</v>
      </c>
      <c r="I198">
        <f t="shared" si="42"/>
        <v>1833.4104547057932</v>
      </c>
      <c r="J198">
        <v>0.05</v>
      </c>
      <c r="K198">
        <f t="shared" si="41"/>
        <v>2291.7630683822417</v>
      </c>
      <c r="L198">
        <v>25</v>
      </c>
    </row>
    <row r="199" spans="6:16" x14ac:dyDescent="0.2">
      <c r="F199" s="7">
        <v>45986</v>
      </c>
      <c r="G199">
        <v>6026.4848889003415</v>
      </c>
      <c r="H199">
        <v>5169.9588819954042</v>
      </c>
      <c r="I199">
        <f t="shared" si="42"/>
        <v>976.88444780085592</v>
      </c>
      <c r="J199">
        <v>0.05</v>
      </c>
      <c r="K199">
        <f t="shared" si="41"/>
        <v>1221.1055597510701</v>
      </c>
      <c r="L199">
        <v>25</v>
      </c>
    </row>
    <row r="200" spans="6:16" x14ac:dyDescent="0.2">
      <c r="F200" s="7">
        <v>46016</v>
      </c>
      <c r="G200">
        <v>4479.7985738060161</v>
      </c>
      <c r="H200">
        <v>4725.1965053637505</v>
      </c>
      <c r="I200">
        <f t="shared" si="42"/>
        <v>1222.2823793585903</v>
      </c>
      <c r="J200">
        <v>0.05</v>
      </c>
      <c r="K200">
        <f t="shared" si="41"/>
        <v>1527.8529741982379</v>
      </c>
      <c r="L200">
        <v>25</v>
      </c>
    </row>
    <row r="201" spans="6:16" x14ac:dyDescent="0.2">
      <c r="F201" s="7">
        <v>46047</v>
      </c>
      <c r="G201">
        <v>4284.164832400751</v>
      </c>
      <c r="H201">
        <v>3151.6199379169921</v>
      </c>
      <c r="I201">
        <f t="shared" si="42"/>
        <v>89.737484874831352</v>
      </c>
      <c r="J201">
        <v>0.05</v>
      </c>
      <c r="K201">
        <f t="shared" si="41"/>
        <v>112.17185609353919</v>
      </c>
      <c r="L201">
        <v>25</v>
      </c>
    </row>
    <row r="202" spans="6:16" x14ac:dyDescent="0.2">
      <c r="F202" s="7">
        <v>46078</v>
      </c>
      <c r="G202">
        <v>3874.8158713185621</v>
      </c>
      <c r="H202">
        <v>3956.2754337342722</v>
      </c>
      <c r="I202">
        <f t="shared" si="42"/>
        <v>171.19704729054138</v>
      </c>
      <c r="J202">
        <v>0.05</v>
      </c>
      <c r="K202">
        <f t="shared" si="41"/>
        <v>213.99630911317672</v>
      </c>
      <c r="L202">
        <v>25</v>
      </c>
      <c r="M202" s="8"/>
      <c r="N202" s="8" t="s">
        <v>33</v>
      </c>
      <c r="O202" s="8" t="s">
        <v>34</v>
      </c>
      <c r="P202" s="8" t="s">
        <v>46</v>
      </c>
    </row>
    <row r="203" spans="6:16" x14ac:dyDescent="0.2">
      <c r="F203" s="7">
        <v>46106</v>
      </c>
      <c r="G203">
        <v>3826.840185484803</v>
      </c>
      <c r="H203">
        <v>3933.9414186168956</v>
      </c>
      <c r="I203">
        <f t="shared" si="42"/>
        <v>278.29828042263443</v>
      </c>
      <c r="J203">
        <v>0.05</v>
      </c>
      <c r="K203">
        <f t="shared" si="41"/>
        <v>347.87285052829304</v>
      </c>
      <c r="L203">
        <v>25</v>
      </c>
      <c r="M203" s="8" t="s">
        <v>55</v>
      </c>
      <c r="N203" s="8">
        <v>890831.11158837902</v>
      </c>
      <c r="O203" s="8">
        <v>659262.465350062</v>
      </c>
      <c r="P203" s="8">
        <f>100*(N203-O203)/N203</f>
        <v>25.994674324454504</v>
      </c>
    </row>
    <row r="204" spans="6:16" x14ac:dyDescent="0.2">
      <c r="J204" t="s">
        <v>42</v>
      </c>
      <c r="K204" s="9">
        <f>SUM(K192:K203)</f>
        <v>24428.025380760777</v>
      </c>
      <c r="M204" s="8" t="s">
        <v>21</v>
      </c>
      <c r="N204" s="8">
        <v>2348425</v>
      </c>
      <c r="O204" s="8">
        <v>2348425</v>
      </c>
      <c r="P204" s="8">
        <f t="shared" ref="P204:P206" si="43">100*(N204-O204)/N204</f>
        <v>0</v>
      </c>
    </row>
    <row r="205" spans="6:16" x14ac:dyDescent="0.2">
      <c r="M205" s="8" t="s">
        <v>42</v>
      </c>
      <c r="N205" s="8">
        <v>24428.025380760777</v>
      </c>
      <c r="O205" s="11">
        <f>K182</f>
        <v>79821.707707830166</v>
      </c>
      <c r="P205" s="8">
        <f t="shared" si="43"/>
        <v>-226.76283270401706</v>
      </c>
    </row>
    <row r="206" spans="6:16" x14ac:dyDescent="0.2">
      <c r="J206" t="s">
        <v>62</v>
      </c>
      <c r="K206">
        <f>K204+K149</f>
        <v>3263684.1369691398</v>
      </c>
      <c r="M206" s="8" t="s">
        <v>29</v>
      </c>
      <c r="N206" s="8">
        <f>SUM(N203:N205)</f>
        <v>3263684.1369691398</v>
      </c>
      <c r="O206" s="8">
        <f>SUM(O203:O205)</f>
        <v>3087509.1730578924</v>
      </c>
      <c r="P206" s="8">
        <f t="shared" si="43"/>
        <v>5.3980396545008329</v>
      </c>
    </row>
    <row r="208" spans="6:16" x14ac:dyDescent="0.2">
      <c r="N208" t="s">
        <v>33</v>
      </c>
      <c r="O208" t="s">
        <v>34</v>
      </c>
    </row>
    <row r="209" spans="13:17" x14ac:dyDescent="0.2">
      <c r="M209" s="8" t="s">
        <v>74</v>
      </c>
      <c r="N209">
        <f>SUM(N203:N204)</f>
        <v>3239256.1115883789</v>
      </c>
      <c r="O209">
        <f>SUM(O203:O204)</f>
        <v>3007687.4653500621</v>
      </c>
      <c r="P209">
        <f>100*(N209-O209)/N209</f>
        <v>7.1488217745390443</v>
      </c>
      <c r="Q209">
        <f>N209-O209</f>
        <v>231568.64623831678</v>
      </c>
    </row>
    <row r="210" spans="13:17" x14ac:dyDescent="0.2">
      <c r="M210" s="8" t="s">
        <v>42</v>
      </c>
      <c r="N210">
        <f>100*N205/N209</f>
        <v>0.75412454400780371</v>
      </c>
      <c r="O210">
        <f>ABS(P205)*N210</f>
        <v>171.00741781083474</v>
      </c>
    </row>
    <row r="214" spans="13:17" x14ac:dyDescent="0.2">
      <c r="N214" t="s">
        <v>33</v>
      </c>
      <c r="O214" t="s">
        <v>34</v>
      </c>
    </row>
    <row r="215" spans="13:17" x14ac:dyDescent="0.2">
      <c r="M215" t="s">
        <v>50</v>
      </c>
      <c r="N215">
        <v>3276</v>
      </c>
      <c r="O215">
        <f>N215*(100-P209)/100</f>
        <v>3041.8045986661004</v>
      </c>
      <c r="P215">
        <f>N215-O215</f>
        <v>234.19540133389955</v>
      </c>
    </row>
    <row r="216" spans="13:17" x14ac:dyDescent="0.2">
      <c r="M216" t="s">
        <v>57</v>
      </c>
      <c r="N216">
        <f>N215*N210/100</f>
        <v>24.705120061695649</v>
      </c>
      <c r="O216">
        <f>N216*(100+ABS(P205))/100</f>
        <v>80.727150136525111</v>
      </c>
      <c r="P216">
        <f>N216-O216</f>
        <v>-56.022030074829459</v>
      </c>
    </row>
    <row r="217" spans="13:17" x14ac:dyDescent="0.2">
      <c r="M217" t="s">
        <v>75</v>
      </c>
      <c r="N217">
        <v>0</v>
      </c>
      <c r="O217">
        <v>0</v>
      </c>
    </row>
    <row r="218" spans="13:17" x14ac:dyDescent="0.2">
      <c r="N218">
        <f>SUM(N215:N216)</f>
        <v>3300.7051200616957</v>
      </c>
      <c r="O218">
        <f>SUM(O215:O216)</f>
        <v>3122.5317488026258</v>
      </c>
      <c r="P218">
        <f>SUM(P215:P217)</f>
        <v>178.17337125907011</v>
      </c>
    </row>
    <row r="220" spans="13:17" x14ac:dyDescent="0.2">
      <c r="N220">
        <f>N218-O218</f>
        <v>178.17337125906988</v>
      </c>
    </row>
  </sheetData>
  <mergeCells count="1">
    <mergeCell ref="I130:I13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ED8B-B115-8A46-924C-BC1A722319F5}">
  <dimension ref="A1:V29"/>
  <sheetViews>
    <sheetView workbookViewId="0">
      <selection activeCell="M1" sqref="M1:N1"/>
    </sheetView>
  </sheetViews>
  <sheetFormatPr baseColWidth="10" defaultRowHeight="15" x14ac:dyDescent="0.2"/>
  <cols>
    <col min="3" max="3" width="12.83203125" customWidth="1"/>
  </cols>
  <sheetData>
    <row r="1" spans="1:22" ht="48" x14ac:dyDescent="0.2">
      <c r="A1" s="13" t="s">
        <v>63</v>
      </c>
      <c r="B1" s="13" t="s">
        <v>30</v>
      </c>
      <c r="C1" s="13" t="s">
        <v>31</v>
      </c>
      <c r="D1" s="13" t="s">
        <v>64</v>
      </c>
      <c r="E1" s="13" t="s">
        <v>65</v>
      </c>
      <c r="F1" s="13" t="s">
        <v>66</v>
      </c>
      <c r="G1" s="13" t="s">
        <v>67</v>
      </c>
      <c r="H1" s="13" t="s">
        <v>68</v>
      </c>
      <c r="I1" s="13" t="s">
        <v>69</v>
      </c>
      <c r="J1" s="13" t="s">
        <v>39</v>
      </c>
      <c r="K1" s="13" t="s">
        <v>73</v>
      </c>
      <c r="L1" s="13" t="s">
        <v>70</v>
      </c>
      <c r="M1" s="13" t="s">
        <v>71</v>
      </c>
      <c r="N1" s="13" t="s">
        <v>72</v>
      </c>
      <c r="O1" s="13"/>
      <c r="P1" s="13"/>
      <c r="Q1" s="13"/>
      <c r="R1" s="13"/>
      <c r="S1" s="13"/>
      <c r="T1" s="13"/>
      <c r="U1" s="13"/>
      <c r="V1" s="13"/>
    </row>
    <row r="2" spans="1:22" x14ac:dyDescent="0.2">
      <c r="A2" s="12">
        <v>45748</v>
      </c>
      <c r="B2">
        <v>1.5288157894736842</v>
      </c>
      <c r="C2">
        <v>1.4112105263157895</v>
      </c>
      <c r="D2">
        <v>4886.8312757201647</v>
      </c>
      <c r="E2">
        <v>2483.1669423159556</v>
      </c>
      <c r="F2">
        <f t="shared" ref="F2:F13" si="0">SUM(D2:E2)</f>
        <v>7369.9982180361203</v>
      </c>
      <c r="G2" s="8">
        <v>4886.8312757201647</v>
      </c>
      <c r="H2" s="8">
        <v>2483.1669423159556</v>
      </c>
      <c r="I2">
        <f>SUM(G2:H2)</f>
        <v>7369.9982180361203</v>
      </c>
      <c r="J2">
        <v>5195.1035206425595</v>
      </c>
      <c r="K2">
        <v>3416.8946973935608</v>
      </c>
      <c r="L2">
        <v>3416.8946973935608</v>
      </c>
      <c r="M2">
        <f>K2*25*0.05</f>
        <v>4271.1183717419508</v>
      </c>
      <c r="N2">
        <f>L2*25*0.05</f>
        <v>4271.1183717419508</v>
      </c>
    </row>
    <row r="3" spans="1:22" x14ac:dyDescent="0.2">
      <c r="A3" s="12">
        <v>45778</v>
      </c>
      <c r="B3">
        <v>1.5806907894736841</v>
      </c>
      <c r="C3">
        <v>0</v>
      </c>
      <c r="D3">
        <v>4886.8312757201647</v>
      </c>
      <c r="E3">
        <v>0</v>
      </c>
      <c r="F3">
        <f t="shared" si="0"/>
        <v>4886.8312757201647</v>
      </c>
      <c r="G3" s="8">
        <v>4886.8312757201647</v>
      </c>
      <c r="H3" s="8">
        <v>0</v>
      </c>
      <c r="I3">
        <f t="shared" ref="I3:I13" si="1">SUM(G3:H3)</f>
        <v>4886.8312757201647</v>
      </c>
      <c r="J3">
        <v>5907.1382972953343</v>
      </c>
      <c r="K3">
        <v>1323.5735728993532</v>
      </c>
      <c r="L3">
        <v>1323.5735728993532</v>
      </c>
      <c r="M3">
        <f t="shared" ref="M3:N13" si="2">K3*25*0.05</f>
        <v>1654.4669661241915</v>
      </c>
      <c r="N3">
        <f t="shared" si="2"/>
        <v>1654.4669661241915</v>
      </c>
    </row>
    <row r="4" spans="1:22" x14ac:dyDescent="0.2">
      <c r="A4" s="12">
        <v>45809</v>
      </c>
      <c r="B4">
        <v>1.6237697368421053</v>
      </c>
      <c r="C4">
        <v>1.4613947368421052</v>
      </c>
      <c r="D4">
        <v>4886.8312757201647</v>
      </c>
      <c r="E4">
        <v>2545.222790928924</v>
      </c>
      <c r="F4">
        <f t="shared" si="0"/>
        <v>7432.0540666490888</v>
      </c>
      <c r="G4" s="8">
        <v>4886.8312757201647</v>
      </c>
      <c r="H4" s="8">
        <v>2545.222790928924</v>
      </c>
      <c r="I4">
        <f t="shared" si="1"/>
        <v>7432.0540666490888</v>
      </c>
      <c r="J4">
        <v>5625.7573205650187</v>
      </c>
      <c r="K4">
        <v>3129.8703189834232</v>
      </c>
      <c r="L4">
        <v>3129.8703189834232</v>
      </c>
      <c r="M4">
        <f t="shared" si="2"/>
        <v>3912.337898729279</v>
      </c>
      <c r="N4">
        <f t="shared" si="2"/>
        <v>3912.337898729279</v>
      </c>
    </row>
    <row r="5" spans="1:22" x14ac:dyDescent="0.2">
      <c r="A5" s="12">
        <v>45839</v>
      </c>
      <c r="B5">
        <v>1.6237697368421053</v>
      </c>
      <c r="C5">
        <v>0.97426315789473683</v>
      </c>
      <c r="D5">
        <v>4886.8312757201647</v>
      </c>
      <c r="E5">
        <v>1371.7405698790662</v>
      </c>
      <c r="F5">
        <f t="shared" si="0"/>
        <v>6258.571845599231</v>
      </c>
      <c r="G5" s="8">
        <v>4886.8312757201647</v>
      </c>
      <c r="H5">
        <v>6307.6131687242596</v>
      </c>
      <c r="I5">
        <f t="shared" si="1"/>
        <v>11194.444444444423</v>
      </c>
      <c r="J5">
        <v>6433.9826158977739</v>
      </c>
      <c r="K5">
        <v>2954.4595486848812</v>
      </c>
      <c r="L5">
        <v>7890.3321475300727</v>
      </c>
      <c r="M5">
        <f t="shared" si="2"/>
        <v>3693.0744358561019</v>
      </c>
      <c r="N5">
        <f t="shared" si="2"/>
        <v>9862.9151844125918</v>
      </c>
    </row>
    <row r="6" spans="1:22" x14ac:dyDescent="0.2">
      <c r="A6" s="12">
        <v>45870</v>
      </c>
      <c r="B6">
        <v>1.6237697368421053</v>
      </c>
      <c r="C6">
        <v>0.97426315789473683</v>
      </c>
      <c r="D6">
        <v>4886.8312757201647</v>
      </c>
      <c r="E6">
        <v>1371.7405698790662</v>
      </c>
      <c r="F6">
        <f t="shared" si="0"/>
        <v>6258.571845599231</v>
      </c>
      <c r="G6" s="8">
        <v>4886.8312757201647</v>
      </c>
      <c r="H6">
        <v>7000</v>
      </c>
      <c r="I6">
        <f t="shared" si="1"/>
        <v>11886.831275720164</v>
      </c>
      <c r="J6">
        <v>6493.9081133646077</v>
      </c>
      <c r="K6">
        <v>2719.1232809195053</v>
      </c>
      <c r="L6">
        <v>13283.25530988563</v>
      </c>
      <c r="M6">
        <f t="shared" si="2"/>
        <v>3398.9041011493814</v>
      </c>
      <c r="N6">
        <f t="shared" si="2"/>
        <v>16604.069137357037</v>
      </c>
    </row>
    <row r="7" spans="1:22" x14ac:dyDescent="0.2">
      <c r="A7" s="12">
        <v>45901</v>
      </c>
      <c r="B7">
        <v>1.6237697368421053</v>
      </c>
      <c r="C7">
        <v>0.32475657894736842</v>
      </c>
      <c r="D7">
        <v>4886.8312757201647</v>
      </c>
      <c r="E7">
        <v>0</v>
      </c>
      <c r="F7">
        <f t="shared" si="0"/>
        <v>4886.8312757201647</v>
      </c>
      <c r="G7" s="8">
        <v>4886.8312757201647</v>
      </c>
      <c r="H7">
        <v>0</v>
      </c>
      <c r="I7">
        <f t="shared" si="1"/>
        <v>4886.8312757201647</v>
      </c>
      <c r="J7">
        <v>6071.2326312903115</v>
      </c>
      <c r="K7">
        <v>1426.688791274647</v>
      </c>
      <c r="L7">
        <v>12098.853954315482</v>
      </c>
      <c r="M7">
        <f t="shared" si="2"/>
        <v>1783.3609890933087</v>
      </c>
      <c r="N7">
        <f t="shared" si="2"/>
        <v>15123.567442894353</v>
      </c>
    </row>
    <row r="8" spans="1:22" x14ac:dyDescent="0.2">
      <c r="A8" s="12">
        <v>45931</v>
      </c>
      <c r="B8">
        <v>1.7219534883720931</v>
      </c>
      <c r="C8">
        <v>1.7219534883720931</v>
      </c>
      <c r="D8">
        <v>2764.9176954732502</v>
      </c>
      <c r="E8">
        <v>4045.6197993210399</v>
      </c>
      <c r="F8">
        <f t="shared" si="0"/>
        <v>6810.5374947942901</v>
      </c>
      <c r="G8" s="8">
        <v>2764.9176954732511</v>
      </c>
      <c r="H8">
        <v>0</v>
      </c>
      <c r="I8">
        <f t="shared" si="1"/>
        <v>2764.9176954732511</v>
      </c>
      <c r="J8">
        <v>6403.8158313631438</v>
      </c>
      <c r="K8">
        <v>1833.4104547057932</v>
      </c>
      <c r="L8">
        <v>8459.9558184255911</v>
      </c>
      <c r="M8">
        <f t="shared" si="2"/>
        <v>2291.7630683822417</v>
      </c>
      <c r="N8">
        <f t="shared" si="2"/>
        <v>10574.94477303199</v>
      </c>
    </row>
    <row r="9" spans="1:22" x14ac:dyDescent="0.2">
      <c r="A9" s="12">
        <v>45962</v>
      </c>
      <c r="B9">
        <v>1.720433105627585</v>
      </c>
      <c r="C9">
        <v>1.720433105627585</v>
      </c>
      <c r="D9">
        <v>2767.3611111111113</v>
      </c>
      <c r="E9">
        <v>2402.5977708842929</v>
      </c>
      <c r="F9">
        <f t="shared" si="0"/>
        <v>5169.9588819954042</v>
      </c>
      <c r="G9" s="8">
        <v>2767.3611111111113</v>
      </c>
      <c r="H9">
        <v>585.00395061726795</v>
      </c>
      <c r="I9">
        <f t="shared" si="1"/>
        <v>3352.3650617283793</v>
      </c>
      <c r="J9">
        <v>6026.4848889003415</v>
      </c>
      <c r="K9">
        <v>976.88444780085592</v>
      </c>
      <c r="L9">
        <v>5785.835991253628</v>
      </c>
      <c r="M9">
        <f t="shared" si="2"/>
        <v>1221.1055597510699</v>
      </c>
      <c r="N9">
        <f t="shared" si="2"/>
        <v>7232.2949890670352</v>
      </c>
    </row>
    <row r="10" spans="1:22" x14ac:dyDescent="0.2">
      <c r="A10" s="12">
        <v>45992</v>
      </c>
      <c r="B10">
        <v>1.720433105627585</v>
      </c>
      <c r="C10">
        <v>2.2939030624099632</v>
      </c>
      <c r="D10">
        <v>2767.3611111111113</v>
      </c>
      <c r="E10">
        <v>1957.8353942526392</v>
      </c>
      <c r="F10">
        <f t="shared" si="0"/>
        <v>4725.1965053637505</v>
      </c>
      <c r="G10" s="8">
        <v>2767.3611111111113</v>
      </c>
      <c r="H10">
        <v>0</v>
      </c>
      <c r="I10">
        <f t="shared" si="1"/>
        <v>2767.3611111111113</v>
      </c>
      <c r="J10">
        <v>4479.7985738060161</v>
      </c>
      <c r="K10">
        <v>1222.2823793585903</v>
      </c>
      <c r="L10">
        <v>4073.3985285587223</v>
      </c>
      <c r="M10">
        <f t="shared" si="2"/>
        <v>1527.8529741982381</v>
      </c>
      <c r="N10">
        <f t="shared" si="2"/>
        <v>5091.7481606984038</v>
      </c>
    </row>
    <row r="11" spans="1:22" x14ac:dyDescent="0.2">
      <c r="A11" s="12">
        <v>46023</v>
      </c>
      <c r="B11">
        <v>1.720433105627585</v>
      </c>
      <c r="C11">
        <v>0.28673497839118917</v>
      </c>
      <c r="D11">
        <v>2767.3611111111113</v>
      </c>
      <c r="E11">
        <v>384.25882680588074</v>
      </c>
      <c r="F11">
        <f t="shared" si="0"/>
        <v>3151.6199379169921</v>
      </c>
      <c r="G11" s="8">
        <v>2767.3611111111113</v>
      </c>
      <c r="H11">
        <v>0</v>
      </c>
      <c r="I11">
        <f t="shared" si="1"/>
        <v>2767.3611111111113</v>
      </c>
      <c r="J11">
        <v>4284.164832400751</v>
      </c>
      <c r="K11">
        <v>89.737484874831352</v>
      </c>
      <c r="L11">
        <v>2556.5948072690826</v>
      </c>
      <c r="M11">
        <f t="shared" si="2"/>
        <v>112.17185609353919</v>
      </c>
      <c r="N11">
        <f t="shared" si="2"/>
        <v>3195.7435090863532</v>
      </c>
    </row>
    <row r="12" spans="1:22" x14ac:dyDescent="0.2">
      <c r="A12" s="12">
        <v>46054</v>
      </c>
      <c r="B12">
        <v>1.720433105627585</v>
      </c>
      <c r="C12">
        <v>1.4336865095961708</v>
      </c>
      <c r="D12">
        <v>2767.3611111111113</v>
      </c>
      <c r="E12">
        <v>1188.9143226231608</v>
      </c>
      <c r="F12">
        <f t="shared" si="0"/>
        <v>3956.2754337342722</v>
      </c>
      <c r="G12" s="8">
        <v>2767.3611111111113</v>
      </c>
      <c r="H12">
        <v>0</v>
      </c>
      <c r="I12">
        <f t="shared" si="1"/>
        <v>2767.3611111111113</v>
      </c>
      <c r="J12">
        <v>3874.8158713185621</v>
      </c>
      <c r="K12">
        <v>171.19704729054138</v>
      </c>
      <c r="L12">
        <v>1449.1400470616318</v>
      </c>
      <c r="M12">
        <f t="shared" si="2"/>
        <v>213.99630911317672</v>
      </c>
      <c r="N12">
        <f t="shared" si="2"/>
        <v>1811.4250588270399</v>
      </c>
    </row>
    <row r="13" spans="1:22" x14ac:dyDescent="0.2">
      <c r="A13" s="12">
        <v>46082</v>
      </c>
      <c r="B13">
        <v>1.720433105627585</v>
      </c>
      <c r="C13">
        <v>1.1469515312049816</v>
      </c>
      <c r="D13">
        <v>2767.3611111111113</v>
      </c>
      <c r="E13">
        <v>1166.5803075057843</v>
      </c>
      <c r="F13">
        <f t="shared" si="0"/>
        <v>3933.9414186168956</v>
      </c>
      <c r="G13" s="8">
        <v>2767.3611111111113</v>
      </c>
      <c r="H13">
        <v>0</v>
      </c>
      <c r="I13">
        <f t="shared" si="1"/>
        <v>2767.3611111111113</v>
      </c>
      <c r="J13">
        <v>3826.840185484803</v>
      </c>
      <c r="K13">
        <v>278.29828042263443</v>
      </c>
      <c r="L13">
        <v>389.6609726879401</v>
      </c>
      <c r="M13">
        <f t="shared" si="2"/>
        <v>347.87285052829304</v>
      </c>
      <c r="N13">
        <f t="shared" si="2"/>
        <v>487.07621585992513</v>
      </c>
    </row>
    <row r="18" spans="2:3" x14ac:dyDescent="0.2">
      <c r="B18">
        <f>B2*31.1</f>
        <v>47.546171052631585</v>
      </c>
      <c r="C18">
        <f>C2*31.1</f>
        <v>43.888647368421054</v>
      </c>
    </row>
    <row r="19" spans="2:3" x14ac:dyDescent="0.2">
      <c r="B19">
        <f t="shared" ref="B19:C29" si="3">B3*31.1</f>
        <v>49.159483552631578</v>
      </c>
      <c r="C19">
        <v>43.888647368421054</v>
      </c>
    </row>
    <row r="20" spans="2:3" x14ac:dyDescent="0.2">
      <c r="B20">
        <f t="shared" si="3"/>
        <v>50.499238815789475</v>
      </c>
      <c r="C20">
        <f t="shared" si="3"/>
        <v>45.449376315789472</v>
      </c>
    </row>
    <row r="21" spans="2:3" x14ac:dyDescent="0.2">
      <c r="B21">
        <f t="shared" si="3"/>
        <v>50.499238815789475</v>
      </c>
      <c r="C21">
        <f t="shared" si="3"/>
        <v>30.299584210526316</v>
      </c>
    </row>
    <row r="22" spans="2:3" x14ac:dyDescent="0.2">
      <c r="B22">
        <f t="shared" si="3"/>
        <v>50.499238815789475</v>
      </c>
      <c r="C22">
        <f t="shared" si="3"/>
        <v>30.299584210526316</v>
      </c>
    </row>
    <row r="23" spans="2:3" x14ac:dyDescent="0.2">
      <c r="B23">
        <f t="shared" si="3"/>
        <v>50.499238815789475</v>
      </c>
      <c r="C23">
        <f t="shared" si="3"/>
        <v>10.099929605263158</v>
      </c>
    </row>
    <row r="24" spans="2:3" x14ac:dyDescent="0.2">
      <c r="B24">
        <f t="shared" si="3"/>
        <v>53.552753488372097</v>
      </c>
      <c r="C24">
        <f t="shared" si="3"/>
        <v>53.552753488372097</v>
      </c>
    </row>
    <row r="25" spans="2:3" x14ac:dyDescent="0.2">
      <c r="B25">
        <f t="shared" si="3"/>
        <v>53.505469585017899</v>
      </c>
      <c r="C25">
        <f t="shared" si="3"/>
        <v>53.505469585017899</v>
      </c>
    </row>
    <row r="26" spans="2:3" x14ac:dyDescent="0.2">
      <c r="B26">
        <f t="shared" si="3"/>
        <v>53.505469585017899</v>
      </c>
      <c r="C26">
        <f t="shared" si="3"/>
        <v>71.340385240949857</v>
      </c>
    </row>
    <row r="27" spans="2:3" x14ac:dyDescent="0.2">
      <c r="B27">
        <f t="shared" si="3"/>
        <v>53.505469585017899</v>
      </c>
      <c r="C27">
        <f>AVERAGE(C24:C26)</f>
        <v>59.466202771446625</v>
      </c>
    </row>
    <row r="28" spans="2:3" x14ac:dyDescent="0.2">
      <c r="B28">
        <f t="shared" si="3"/>
        <v>53.505469585017899</v>
      </c>
      <c r="C28">
        <f t="shared" si="3"/>
        <v>44.587650448440918</v>
      </c>
    </row>
    <row r="29" spans="2:3" x14ac:dyDescent="0.2">
      <c r="B29">
        <f t="shared" si="3"/>
        <v>53.505469585017899</v>
      </c>
      <c r="C29">
        <f t="shared" si="3"/>
        <v>35.670192620474928</v>
      </c>
    </row>
  </sheetData>
  <phoneticPr fontId="3" type="noConversion"/>
  <pageMargins left="0.7" right="0.7" top="0.75" bottom="0.75" header="0.3" footer="0.3"/>
  <ignoredErrors>
    <ignoredError sqref="F2 F3:F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from_alvin</vt:lpstr>
      <vt:lpstr>24</vt:lpstr>
      <vt:lpstr>25</vt:lpstr>
      <vt:lpstr>rough</vt:lpstr>
      <vt:lpstr>Eval04</vt:lpstr>
      <vt:lpstr>Eval07</vt:lpstr>
      <vt:lpstr>Eval08</vt:lpstr>
      <vt:lpstr>Eval08Stor</vt:lpstr>
      <vt:lpstr>Eval07Clean</vt:lpstr>
      <vt:lpstr>Eval08Clean</vt:lpstr>
      <vt:lpstr>Cum-benefit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Alvin Chua Han Ping</dc:creator>
  <dc:description/>
  <cp:lastModifiedBy>botapaul9</cp:lastModifiedBy>
  <cp:revision>8</cp:revision>
  <dcterms:created xsi:type="dcterms:W3CDTF">2025-05-23T06:45:07Z</dcterms:created>
  <dcterms:modified xsi:type="dcterms:W3CDTF">2025-10-08T12:52:28Z</dcterms:modified>
  <dc:language>en-SG</dc:language>
</cp:coreProperties>
</file>