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showObjects="none"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CACDEBE9-A094-6A49-8994-E1D746407932}" xr6:coauthVersionLast="47" xr6:coauthVersionMax="47" xr10:uidLastSave="{00000000-0000-0000-0000-000000000000}"/>
  <bookViews>
    <workbookView xWindow="0" yWindow="500" windowWidth="28800" windowHeight="15680" tabRatio="500" activeTab="7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04" sheetId="5" r:id="rId5"/>
    <sheet name="Eval07" sheetId="7" r:id="rId6"/>
    <sheet name="Eval08" sheetId="9" r:id="rId7"/>
    <sheet name="Eval08Stor" sheetId="11" r:id="rId8"/>
    <sheet name="Eval07Clean" sheetId="8" r:id="rId9"/>
    <sheet name="Eval08Clea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40" i="11" l="1"/>
  <c r="R41" i="11"/>
  <c r="R43" i="11"/>
  <c r="R39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I7" i="11"/>
  <c r="I15" i="11"/>
  <c r="Q209" i="11"/>
  <c r="O209" i="11"/>
  <c r="N209" i="11"/>
  <c r="N206" i="11"/>
  <c r="P204" i="11"/>
  <c r="P203" i="11"/>
  <c r="I192" i="11"/>
  <c r="K192" i="11" s="1"/>
  <c r="P181" i="11"/>
  <c r="H181" i="11"/>
  <c r="P180" i="11"/>
  <c r="H180" i="11"/>
  <c r="P179" i="11"/>
  <c r="H179" i="11"/>
  <c r="P178" i="11"/>
  <c r="H178" i="11"/>
  <c r="P177" i="11"/>
  <c r="H177" i="11"/>
  <c r="P176" i="11"/>
  <c r="H176" i="11"/>
  <c r="P175" i="11"/>
  <c r="H175" i="11"/>
  <c r="P174" i="11"/>
  <c r="H174" i="11"/>
  <c r="P173" i="11"/>
  <c r="H173" i="11"/>
  <c r="P172" i="11"/>
  <c r="P171" i="11"/>
  <c r="T170" i="1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P170" i="11"/>
  <c r="U170" i="11" s="1"/>
  <c r="I170" i="11"/>
  <c r="K170" i="11" s="1"/>
  <c r="H165" i="11"/>
  <c r="G165" i="11"/>
  <c r="J164" i="11"/>
  <c r="I164" i="11"/>
  <c r="J163" i="11"/>
  <c r="K163" i="11" s="1"/>
  <c r="I163" i="11"/>
  <c r="J162" i="11"/>
  <c r="I162" i="11"/>
  <c r="K161" i="11"/>
  <c r="J161" i="11"/>
  <c r="I161" i="11"/>
  <c r="J160" i="11"/>
  <c r="I160" i="11"/>
  <c r="K160" i="11" s="1"/>
  <c r="J159" i="11"/>
  <c r="I159" i="11"/>
  <c r="K159" i="11" s="1"/>
  <c r="J158" i="11"/>
  <c r="I158" i="11"/>
  <c r="J157" i="11"/>
  <c r="I157" i="11"/>
  <c r="K157" i="11" s="1"/>
  <c r="J156" i="11"/>
  <c r="I156" i="11"/>
  <c r="K156" i="11" s="1"/>
  <c r="Q155" i="11"/>
  <c r="R155" i="11" s="1"/>
  <c r="J155" i="11"/>
  <c r="K155" i="11" s="1"/>
  <c r="I155" i="11"/>
  <c r="J154" i="11"/>
  <c r="I154" i="11"/>
  <c r="J153" i="11"/>
  <c r="M153" i="11" s="1"/>
  <c r="I153" i="11"/>
  <c r="H149" i="11"/>
  <c r="G149" i="11"/>
  <c r="K148" i="11"/>
  <c r="J148" i="11"/>
  <c r="I148" i="11"/>
  <c r="J147" i="11"/>
  <c r="I147" i="11"/>
  <c r="J146" i="11"/>
  <c r="I146" i="11"/>
  <c r="J145" i="11"/>
  <c r="I145" i="11"/>
  <c r="K145" i="11" s="1"/>
  <c r="J144" i="11"/>
  <c r="I144" i="11"/>
  <c r="J143" i="11"/>
  <c r="I143" i="11"/>
  <c r="K143" i="11" s="1"/>
  <c r="J142" i="11"/>
  <c r="I142" i="11"/>
  <c r="K142" i="11" s="1"/>
  <c r="J141" i="11"/>
  <c r="I141" i="11"/>
  <c r="K141" i="11" s="1"/>
  <c r="J140" i="11"/>
  <c r="I140" i="11"/>
  <c r="K140" i="11" s="1"/>
  <c r="J139" i="11"/>
  <c r="I139" i="11"/>
  <c r="J138" i="11"/>
  <c r="I138" i="11"/>
  <c r="J137" i="11"/>
  <c r="I137" i="11"/>
  <c r="L132" i="11"/>
  <c r="K132" i="11"/>
  <c r="J132" i="11"/>
  <c r="M69" i="11"/>
  <c r="J69" i="11"/>
  <c r="E69" i="11"/>
  <c r="M68" i="11"/>
  <c r="L68" i="11"/>
  <c r="J68" i="11"/>
  <c r="E68" i="11"/>
  <c r="M67" i="11"/>
  <c r="L67" i="11"/>
  <c r="J67" i="11"/>
  <c r="E67" i="11"/>
  <c r="M66" i="11"/>
  <c r="J66" i="11"/>
  <c r="E66" i="11"/>
  <c r="M65" i="11"/>
  <c r="J65" i="11"/>
  <c r="E65" i="11"/>
  <c r="M64" i="11"/>
  <c r="J64" i="11"/>
  <c r="E64" i="11"/>
  <c r="M63" i="11"/>
  <c r="J63" i="11"/>
  <c r="E63" i="11"/>
  <c r="M62" i="11"/>
  <c r="J62" i="11"/>
  <c r="E62" i="11"/>
  <c r="J61" i="11"/>
  <c r="E61" i="11"/>
  <c r="J60" i="11"/>
  <c r="E60" i="11"/>
  <c r="J59" i="11"/>
  <c r="E59" i="11"/>
  <c r="J58" i="11"/>
  <c r="E58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M33" i="11"/>
  <c r="J50" i="11" s="1"/>
  <c r="K33" i="11"/>
  <c r="J33" i="11"/>
  <c r="E33" i="11"/>
  <c r="M32" i="11"/>
  <c r="J49" i="11" s="1"/>
  <c r="K32" i="11"/>
  <c r="J32" i="11"/>
  <c r="E32" i="11"/>
  <c r="M31" i="11"/>
  <c r="J48" i="11" s="1"/>
  <c r="K31" i="11"/>
  <c r="J31" i="11"/>
  <c r="E31" i="11"/>
  <c r="M30" i="11"/>
  <c r="J47" i="11" s="1"/>
  <c r="K30" i="11"/>
  <c r="J30" i="11"/>
  <c r="E30" i="11"/>
  <c r="M29" i="11"/>
  <c r="J46" i="11" s="1"/>
  <c r="K29" i="11"/>
  <c r="J29" i="11"/>
  <c r="E29" i="11"/>
  <c r="M28" i="11"/>
  <c r="J45" i="11" s="1"/>
  <c r="K28" i="11"/>
  <c r="L28" i="11" s="1"/>
  <c r="J28" i="11"/>
  <c r="E28" i="11"/>
  <c r="M27" i="11"/>
  <c r="J44" i="11" s="1"/>
  <c r="K27" i="11"/>
  <c r="J27" i="11"/>
  <c r="E27" i="11"/>
  <c r="M26" i="11"/>
  <c r="J43" i="11" s="1"/>
  <c r="K26" i="11"/>
  <c r="L26" i="11" s="1"/>
  <c r="J26" i="11"/>
  <c r="E26" i="11"/>
  <c r="J25" i="11"/>
  <c r="E25" i="11"/>
  <c r="J24" i="11"/>
  <c r="K24" i="11"/>
  <c r="E24" i="11"/>
  <c r="J23" i="11"/>
  <c r="J34" i="11" s="1"/>
  <c r="E23" i="11"/>
  <c r="J22" i="11"/>
  <c r="E22" i="11"/>
  <c r="J15" i="11"/>
  <c r="E15" i="11"/>
  <c r="J14" i="11"/>
  <c r="E14" i="11"/>
  <c r="I14" i="11" s="1"/>
  <c r="J13" i="11"/>
  <c r="E13" i="11"/>
  <c r="I13" i="11" s="1"/>
  <c r="J12" i="11"/>
  <c r="E12" i="11"/>
  <c r="I12" i="11" s="1"/>
  <c r="J11" i="11"/>
  <c r="E11" i="11"/>
  <c r="I11" i="11" s="1"/>
  <c r="J10" i="11"/>
  <c r="E10" i="11"/>
  <c r="I10" i="11" s="1"/>
  <c r="H45" i="11" s="1"/>
  <c r="J9" i="11"/>
  <c r="E9" i="11"/>
  <c r="I9" i="11" s="1"/>
  <c r="J8" i="11"/>
  <c r="E8" i="11"/>
  <c r="I8" i="11" s="1"/>
  <c r="J7" i="11"/>
  <c r="E7" i="11"/>
  <c r="J6" i="11"/>
  <c r="E6" i="11"/>
  <c r="I6" i="11" s="1"/>
  <c r="H41" i="11" s="1"/>
  <c r="J5" i="11"/>
  <c r="E5" i="11"/>
  <c r="I5" i="11" s="1"/>
  <c r="J4" i="11"/>
  <c r="E4" i="11"/>
  <c r="I4" i="11" s="1"/>
  <c r="Q39" i="9"/>
  <c r="P59" i="9"/>
  <c r="P60" i="9"/>
  <c r="P61" i="9"/>
  <c r="P58" i="9"/>
  <c r="O60" i="9"/>
  <c r="O61" i="9" s="1"/>
  <c r="O59" i="9"/>
  <c r="M69" i="9"/>
  <c r="K69" i="9"/>
  <c r="L69" i="9" s="1"/>
  <c r="J69" i="9"/>
  <c r="E69" i="9"/>
  <c r="M68" i="9"/>
  <c r="K68" i="9"/>
  <c r="J68" i="9"/>
  <c r="E68" i="9"/>
  <c r="M67" i="9"/>
  <c r="K67" i="9"/>
  <c r="J67" i="9"/>
  <c r="E67" i="9"/>
  <c r="M66" i="9"/>
  <c r="K66" i="9"/>
  <c r="J66" i="9"/>
  <c r="E66" i="9"/>
  <c r="M65" i="9"/>
  <c r="K65" i="9"/>
  <c r="J65" i="9"/>
  <c r="E65" i="9"/>
  <c r="M64" i="9"/>
  <c r="K64" i="9"/>
  <c r="L64" i="9" s="1"/>
  <c r="J64" i="9"/>
  <c r="E64" i="9"/>
  <c r="M63" i="9"/>
  <c r="K63" i="9"/>
  <c r="J63" i="9"/>
  <c r="E63" i="9"/>
  <c r="M62" i="9"/>
  <c r="K62" i="9"/>
  <c r="J62" i="9"/>
  <c r="E62" i="9"/>
  <c r="J61" i="9"/>
  <c r="E61" i="9"/>
  <c r="I61" i="9" s="1"/>
  <c r="J60" i="9"/>
  <c r="I60" i="9"/>
  <c r="K60" i="9" s="1"/>
  <c r="E60" i="9"/>
  <c r="J59" i="9"/>
  <c r="E59" i="9"/>
  <c r="I59" i="9" s="1"/>
  <c r="J58" i="9"/>
  <c r="E58" i="9"/>
  <c r="I58" i="9" s="1"/>
  <c r="N3" i="10"/>
  <c r="N4" i="10"/>
  <c r="N5" i="10"/>
  <c r="N6" i="10"/>
  <c r="N7" i="10"/>
  <c r="N8" i="10"/>
  <c r="N9" i="10"/>
  <c r="N10" i="10"/>
  <c r="N11" i="10"/>
  <c r="N12" i="10"/>
  <c r="N13" i="10"/>
  <c r="N2" i="10"/>
  <c r="M3" i="10"/>
  <c r="M4" i="10"/>
  <c r="M5" i="10"/>
  <c r="M6" i="10"/>
  <c r="M7" i="10"/>
  <c r="M8" i="10"/>
  <c r="M9" i="10"/>
  <c r="M10" i="10"/>
  <c r="M11" i="10"/>
  <c r="M12" i="10"/>
  <c r="M13" i="10"/>
  <c r="M2" i="10"/>
  <c r="M26" i="9"/>
  <c r="M27" i="9"/>
  <c r="M28" i="9"/>
  <c r="M29" i="9"/>
  <c r="M30" i="9"/>
  <c r="M31" i="9"/>
  <c r="M32" i="9"/>
  <c r="M33" i="9"/>
  <c r="G50" i="9"/>
  <c r="G40" i="9"/>
  <c r="G41" i="9"/>
  <c r="G42" i="9"/>
  <c r="G43" i="9"/>
  <c r="G44" i="9"/>
  <c r="G45" i="9"/>
  <c r="G46" i="9"/>
  <c r="G47" i="9"/>
  <c r="G48" i="9"/>
  <c r="G49" i="9"/>
  <c r="G39" i="9"/>
  <c r="K39" i="9" s="1"/>
  <c r="H47" i="9"/>
  <c r="J29" i="9"/>
  <c r="J26" i="9"/>
  <c r="J27" i="9"/>
  <c r="J28" i="9"/>
  <c r="J30" i="9"/>
  <c r="J31" i="9"/>
  <c r="J32" i="9"/>
  <c r="J33" i="9"/>
  <c r="J5" i="9"/>
  <c r="J6" i="9"/>
  <c r="J7" i="9"/>
  <c r="J8" i="9"/>
  <c r="J9" i="9"/>
  <c r="J10" i="9"/>
  <c r="J11" i="9"/>
  <c r="J12" i="9"/>
  <c r="J13" i="9"/>
  <c r="J14" i="9"/>
  <c r="J15" i="9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F3" i="10"/>
  <c r="I2" i="10"/>
  <c r="F2" i="10"/>
  <c r="K33" i="9"/>
  <c r="E33" i="9"/>
  <c r="E32" i="9"/>
  <c r="K32" i="9" s="1"/>
  <c r="E31" i="9"/>
  <c r="K31" i="9" s="1"/>
  <c r="E30" i="9"/>
  <c r="K30" i="9" s="1"/>
  <c r="E29" i="9"/>
  <c r="K29" i="9" s="1"/>
  <c r="E28" i="9"/>
  <c r="K28" i="9" s="1"/>
  <c r="E27" i="9"/>
  <c r="K27" i="9" s="1"/>
  <c r="K26" i="9"/>
  <c r="E26" i="9"/>
  <c r="J25" i="9"/>
  <c r="E25" i="9"/>
  <c r="I25" i="9" s="1"/>
  <c r="K25" i="9" s="1"/>
  <c r="J24" i="9"/>
  <c r="E24" i="9"/>
  <c r="I24" i="9" s="1"/>
  <c r="K24" i="9" s="1"/>
  <c r="J23" i="9"/>
  <c r="E23" i="9"/>
  <c r="I23" i="9" s="1"/>
  <c r="K23" i="9" s="1"/>
  <c r="J22" i="9"/>
  <c r="E22" i="9"/>
  <c r="I22" i="9" s="1"/>
  <c r="K22" i="9" s="1"/>
  <c r="J4" i="9"/>
  <c r="E5" i="9"/>
  <c r="I5" i="9" s="1"/>
  <c r="E6" i="9"/>
  <c r="I6" i="9" s="1"/>
  <c r="K6" i="9" s="1"/>
  <c r="E7" i="9"/>
  <c r="I7" i="9" s="1"/>
  <c r="K7" i="9" s="1"/>
  <c r="E8" i="9"/>
  <c r="I8" i="9" s="1"/>
  <c r="K8" i="9" s="1"/>
  <c r="E9" i="9"/>
  <c r="I9" i="9" s="1"/>
  <c r="K9" i="9" s="1"/>
  <c r="L9" i="9" s="1"/>
  <c r="E10" i="9"/>
  <c r="I10" i="9" s="1"/>
  <c r="K10" i="9" s="1"/>
  <c r="E11" i="9"/>
  <c r="I11" i="9" s="1"/>
  <c r="K11" i="9" s="1"/>
  <c r="E12" i="9"/>
  <c r="I12" i="9" s="1"/>
  <c r="K12" i="9" s="1"/>
  <c r="E13" i="9"/>
  <c r="I13" i="9" s="1"/>
  <c r="K13" i="9" s="1"/>
  <c r="E14" i="9"/>
  <c r="I14" i="9" s="1"/>
  <c r="K14" i="9" s="1"/>
  <c r="E15" i="9"/>
  <c r="I15" i="9" s="1"/>
  <c r="K15" i="9" s="1"/>
  <c r="E4" i="9"/>
  <c r="I4" i="9" s="1"/>
  <c r="K4" i="9" s="1"/>
  <c r="Q155" i="9"/>
  <c r="R155" i="9" s="1"/>
  <c r="O209" i="9"/>
  <c r="N209" i="9"/>
  <c r="N206" i="9"/>
  <c r="P204" i="9"/>
  <c r="P203" i="9"/>
  <c r="I192" i="9"/>
  <c r="I193" i="9" s="1"/>
  <c r="P181" i="9"/>
  <c r="H181" i="9"/>
  <c r="P180" i="9"/>
  <c r="H180" i="9"/>
  <c r="P179" i="9"/>
  <c r="H179" i="9"/>
  <c r="P178" i="9"/>
  <c r="H178" i="9"/>
  <c r="P177" i="9"/>
  <c r="H177" i="9"/>
  <c r="P176" i="9"/>
  <c r="H176" i="9"/>
  <c r="P175" i="9"/>
  <c r="H175" i="9"/>
  <c r="P174" i="9"/>
  <c r="H174" i="9"/>
  <c r="P173" i="9"/>
  <c r="H173" i="9"/>
  <c r="P172" i="9"/>
  <c r="P171" i="9"/>
  <c r="T170" i="9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P170" i="9"/>
  <c r="U170" i="9" s="1"/>
  <c r="I170" i="9"/>
  <c r="K170" i="9" s="1"/>
  <c r="H165" i="9"/>
  <c r="G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M153" i="9" s="1"/>
  <c r="I153" i="9"/>
  <c r="H149" i="9"/>
  <c r="G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M137" i="9" s="1"/>
  <c r="I137" i="9"/>
  <c r="K132" i="9"/>
  <c r="L132" i="9" s="1"/>
  <c r="J132" i="9"/>
  <c r="C27" i="8"/>
  <c r="C23" i="8"/>
  <c r="C18" i="8"/>
  <c r="C20" i="8"/>
  <c r="C21" i="8"/>
  <c r="C22" i="8"/>
  <c r="C24" i="8"/>
  <c r="C25" i="8"/>
  <c r="C26" i="8"/>
  <c r="C28" i="8"/>
  <c r="C29" i="8"/>
  <c r="B19" i="8"/>
  <c r="B20" i="8"/>
  <c r="B21" i="8"/>
  <c r="B22" i="8"/>
  <c r="B23" i="8"/>
  <c r="B24" i="8"/>
  <c r="B25" i="8"/>
  <c r="B26" i="8"/>
  <c r="B27" i="8"/>
  <c r="B28" i="8"/>
  <c r="B29" i="8"/>
  <c r="B18" i="8"/>
  <c r="O87" i="7"/>
  <c r="P81" i="7"/>
  <c r="L66" i="11" l="1"/>
  <c r="L64" i="11"/>
  <c r="L69" i="11"/>
  <c r="K9" i="11"/>
  <c r="H44" i="11"/>
  <c r="J16" i="11"/>
  <c r="L33" i="11"/>
  <c r="L63" i="11"/>
  <c r="L65" i="11"/>
  <c r="I149" i="11"/>
  <c r="K144" i="11"/>
  <c r="J165" i="11"/>
  <c r="J166" i="11" s="1"/>
  <c r="K164" i="11"/>
  <c r="I193" i="11"/>
  <c r="P209" i="11"/>
  <c r="O215" i="11" s="1"/>
  <c r="J149" i="11"/>
  <c r="J150" i="11" s="1"/>
  <c r="K158" i="11"/>
  <c r="I171" i="11"/>
  <c r="K171" i="11" s="1"/>
  <c r="U175" i="11"/>
  <c r="U176" i="11" s="1"/>
  <c r="U177" i="11" s="1"/>
  <c r="U178" i="11" s="1"/>
  <c r="U179" i="11" s="1"/>
  <c r="U180" i="11" s="1"/>
  <c r="U181" i="11" s="1"/>
  <c r="U171" i="11"/>
  <c r="U172" i="11" s="1"/>
  <c r="U173" i="11" s="1"/>
  <c r="U174" i="11" s="1"/>
  <c r="M58" i="11"/>
  <c r="O58" i="11" s="1"/>
  <c r="K138" i="11"/>
  <c r="K162" i="11"/>
  <c r="N210" i="11"/>
  <c r="N216" i="11" s="1"/>
  <c r="L62" i="11"/>
  <c r="K139" i="11"/>
  <c r="K146" i="11"/>
  <c r="K147" i="11"/>
  <c r="K154" i="11"/>
  <c r="L30" i="11"/>
  <c r="L27" i="11"/>
  <c r="L29" i="11"/>
  <c r="L31" i="11"/>
  <c r="L32" i="11"/>
  <c r="P12" i="11"/>
  <c r="L24" i="11"/>
  <c r="H40" i="11"/>
  <c r="K5" i="11"/>
  <c r="L5" i="11" s="1"/>
  <c r="M25" i="11"/>
  <c r="J42" i="11" s="1"/>
  <c r="K25" i="11"/>
  <c r="L25" i="11" s="1"/>
  <c r="M154" i="11"/>
  <c r="N137" i="11"/>
  <c r="H39" i="11"/>
  <c r="I39" i="11" s="1"/>
  <c r="K4" i="11"/>
  <c r="M59" i="11"/>
  <c r="L59" i="11"/>
  <c r="K12" i="11"/>
  <c r="L12" i="11" s="1"/>
  <c r="H47" i="11"/>
  <c r="M22" i="11"/>
  <c r="J39" i="11" s="1"/>
  <c r="K39" i="11" s="1"/>
  <c r="K22" i="11"/>
  <c r="L22" i="11" s="1"/>
  <c r="M60" i="11"/>
  <c r="H43" i="11"/>
  <c r="K8" i="11"/>
  <c r="L8" i="11" s="1"/>
  <c r="P215" i="11"/>
  <c r="H46" i="11"/>
  <c r="K11" i="11"/>
  <c r="L11" i="11" s="1"/>
  <c r="K13" i="11"/>
  <c r="L13" i="11" s="1"/>
  <c r="H48" i="11"/>
  <c r="M61" i="11"/>
  <c r="L61" i="11"/>
  <c r="L9" i="11"/>
  <c r="Q12" i="11"/>
  <c r="K15" i="11"/>
  <c r="L15" i="11" s="1"/>
  <c r="H50" i="11"/>
  <c r="M23" i="11"/>
  <c r="J40" i="11" s="1"/>
  <c r="K23" i="11"/>
  <c r="L23" i="11" s="1"/>
  <c r="L58" i="11"/>
  <c r="K7" i="11"/>
  <c r="L7" i="11" s="1"/>
  <c r="H42" i="11"/>
  <c r="H49" i="11"/>
  <c r="K14" i="11"/>
  <c r="L14" i="11" s="1"/>
  <c r="N218" i="11"/>
  <c r="J70" i="11"/>
  <c r="M24" i="11"/>
  <c r="J41" i="11" s="1"/>
  <c r="K137" i="11"/>
  <c r="K6" i="11"/>
  <c r="L6" i="11" s="1"/>
  <c r="M137" i="11"/>
  <c r="M138" i="11" s="1"/>
  <c r="M139" i="11" s="1"/>
  <c r="M140" i="11" s="1"/>
  <c r="M141" i="11" s="1"/>
  <c r="M142" i="11" s="1"/>
  <c r="M143" i="11" s="1"/>
  <c r="M144" i="11" s="1"/>
  <c r="M145" i="11" s="1"/>
  <c r="M146" i="11" s="1"/>
  <c r="M147" i="11" s="1"/>
  <c r="M148" i="11" s="1"/>
  <c r="K153" i="11"/>
  <c r="K10" i="11"/>
  <c r="L10" i="11" s="1"/>
  <c r="I165" i="11"/>
  <c r="L62" i="9"/>
  <c r="O62" i="9"/>
  <c r="M61" i="9"/>
  <c r="K61" i="9"/>
  <c r="L61" i="9" s="1"/>
  <c r="L66" i="9"/>
  <c r="L65" i="9"/>
  <c r="L67" i="9"/>
  <c r="L68" i="9"/>
  <c r="L63" i="9"/>
  <c r="M58" i="9"/>
  <c r="K58" i="9"/>
  <c r="K59" i="9"/>
  <c r="L59" i="9" s="1"/>
  <c r="M59" i="9"/>
  <c r="L60" i="9"/>
  <c r="J70" i="9"/>
  <c r="M60" i="9"/>
  <c r="L14" i="9"/>
  <c r="L6" i="9"/>
  <c r="H43" i="9"/>
  <c r="M39" i="9"/>
  <c r="K40" i="9"/>
  <c r="L4" i="9"/>
  <c r="M22" i="9"/>
  <c r="M25" i="9"/>
  <c r="M24" i="9"/>
  <c r="M23" i="9"/>
  <c r="K5" i="9"/>
  <c r="L5" i="9" s="1"/>
  <c r="H40" i="9"/>
  <c r="H46" i="9"/>
  <c r="H45" i="9"/>
  <c r="H44" i="9"/>
  <c r="H39" i="9"/>
  <c r="I39" i="9" s="1"/>
  <c r="H50" i="9"/>
  <c r="H42" i="9"/>
  <c r="H49" i="9"/>
  <c r="H41" i="9"/>
  <c r="H48" i="9"/>
  <c r="L13" i="9"/>
  <c r="L30" i="9"/>
  <c r="K34" i="9"/>
  <c r="Q13" i="9" s="1"/>
  <c r="J16" i="9"/>
  <c r="P12" i="9" s="1"/>
  <c r="L10" i="9"/>
  <c r="J34" i="9"/>
  <c r="L23" i="9"/>
  <c r="L27" i="9"/>
  <c r="L11" i="9"/>
  <c r="L8" i="9"/>
  <c r="K16" i="9"/>
  <c r="L15" i="9"/>
  <c r="L7" i="9"/>
  <c r="L12" i="9"/>
  <c r="L26" i="9"/>
  <c r="L29" i="9"/>
  <c r="L31" i="9"/>
  <c r="L32" i="9"/>
  <c r="L25" i="9"/>
  <c r="L24" i="9"/>
  <c r="L28" i="9"/>
  <c r="L22" i="9"/>
  <c r="L33" i="9"/>
  <c r="K139" i="9"/>
  <c r="K143" i="9"/>
  <c r="K158" i="9"/>
  <c r="K141" i="9"/>
  <c r="K145" i="9"/>
  <c r="K156" i="9"/>
  <c r="K147" i="9"/>
  <c r="K144" i="9"/>
  <c r="I171" i="9"/>
  <c r="K171" i="9" s="1"/>
  <c r="M138" i="9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K157" i="9"/>
  <c r="K161" i="9"/>
  <c r="K162" i="9"/>
  <c r="K159" i="9"/>
  <c r="K163" i="9"/>
  <c r="P209" i="9"/>
  <c r="O215" i="9" s="1"/>
  <c r="P215" i="9" s="1"/>
  <c r="K142" i="9"/>
  <c r="K146" i="9"/>
  <c r="K153" i="9"/>
  <c r="K164" i="9"/>
  <c r="K155" i="9"/>
  <c r="K193" i="9"/>
  <c r="I194" i="9"/>
  <c r="I195" i="9" s="1"/>
  <c r="I196" i="9" s="1"/>
  <c r="M154" i="9"/>
  <c r="N138" i="9" s="1"/>
  <c r="N137" i="9"/>
  <c r="K148" i="9"/>
  <c r="K154" i="9"/>
  <c r="K192" i="9"/>
  <c r="Q209" i="9"/>
  <c r="I165" i="9"/>
  <c r="U171" i="9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N210" i="9"/>
  <c r="N216" i="9" s="1"/>
  <c r="N218" i="9" s="1"/>
  <c r="J165" i="9"/>
  <c r="J166" i="9" s="1"/>
  <c r="J149" i="9"/>
  <c r="J150" i="9" s="1"/>
  <c r="K137" i="9"/>
  <c r="K140" i="9"/>
  <c r="K160" i="9"/>
  <c r="I149" i="9"/>
  <c r="K138" i="9"/>
  <c r="N81" i="7"/>
  <c r="M81" i="7"/>
  <c r="O81" i="7" s="1"/>
  <c r="N87" i="7" s="1"/>
  <c r="O76" i="7"/>
  <c r="N2" i="8"/>
  <c r="N3" i="8"/>
  <c r="N4" i="8"/>
  <c r="N5" i="8"/>
  <c r="N6" i="8"/>
  <c r="N7" i="8"/>
  <c r="N8" i="8"/>
  <c r="N9" i="8"/>
  <c r="N10" i="8"/>
  <c r="N11" i="8"/>
  <c r="N12" i="8"/>
  <c r="N13" i="8"/>
  <c r="M3" i="8"/>
  <c r="M4" i="8"/>
  <c r="M5" i="8"/>
  <c r="M6" i="8"/>
  <c r="M7" i="8"/>
  <c r="M8" i="8"/>
  <c r="M9" i="8"/>
  <c r="M10" i="8"/>
  <c r="M11" i="8"/>
  <c r="M12" i="8"/>
  <c r="M13" i="8"/>
  <c r="M2" i="8"/>
  <c r="H42" i="7"/>
  <c r="H64" i="7"/>
  <c r="J64" i="7" s="1"/>
  <c r="I3" i="8"/>
  <c r="I4" i="8"/>
  <c r="I5" i="8"/>
  <c r="I6" i="8"/>
  <c r="I7" i="8"/>
  <c r="I8" i="8"/>
  <c r="I9" i="8"/>
  <c r="I10" i="8"/>
  <c r="I11" i="8"/>
  <c r="I12" i="8"/>
  <c r="I13" i="8"/>
  <c r="I2" i="8"/>
  <c r="F2" i="8"/>
  <c r="F3" i="8"/>
  <c r="F4" i="8"/>
  <c r="F5" i="8"/>
  <c r="F6" i="8"/>
  <c r="F7" i="8"/>
  <c r="F8" i="8"/>
  <c r="F9" i="8"/>
  <c r="F10" i="8"/>
  <c r="F11" i="8"/>
  <c r="F12" i="8"/>
  <c r="F13" i="8"/>
  <c r="G45" i="7"/>
  <c r="G46" i="7"/>
  <c r="G47" i="7"/>
  <c r="G48" i="7"/>
  <c r="G49" i="7"/>
  <c r="G50" i="7"/>
  <c r="G51" i="7"/>
  <c r="G52" i="7"/>
  <c r="G53" i="7"/>
  <c r="O59" i="11" l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P58" i="11"/>
  <c r="K40" i="11"/>
  <c r="M39" i="11"/>
  <c r="K193" i="11"/>
  <c r="I194" i="11"/>
  <c r="K149" i="11"/>
  <c r="I172" i="11"/>
  <c r="K172" i="11" s="1"/>
  <c r="K165" i="11"/>
  <c r="K70" i="11"/>
  <c r="Q40" i="11" s="1"/>
  <c r="L60" i="11"/>
  <c r="K34" i="11"/>
  <c r="L39" i="11"/>
  <c r="I40" i="11"/>
  <c r="N138" i="11"/>
  <c r="M155" i="11"/>
  <c r="P59" i="11"/>
  <c r="K16" i="11"/>
  <c r="L4" i="11"/>
  <c r="R12" i="11"/>
  <c r="Q39" i="11"/>
  <c r="O63" i="9"/>
  <c r="P62" i="9"/>
  <c r="K70" i="9"/>
  <c r="L58" i="9"/>
  <c r="I40" i="9"/>
  <c r="L39" i="9"/>
  <c r="M40" i="9"/>
  <c r="K41" i="9"/>
  <c r="L34" i="9"/>
  <c r="Q12" i="9"/>
  <c r="L16" i="9"/>
  <c r="P13" i="9"/>
  <c r="R13" i="9" s="1"/>
  <c r="I172" i="9"/>
  <c r="K172" i="9" s="1"/>
  <c r="K149" i="9"/>
  <c r="K165" i="9"/>
  <c r="K195" i="9"/>
  <c r="K194" i="9"/>
  <c r="M155" i="9"/>
  <c r="N139" i="9" s="1"/>
  <c r="I197" i="9"/>
  <c r="K196" i="9"/>
  <c r="M82" i="7"/>
  <c r="M88" i="7" s="1"/>
  <c r="M78" i="7"/>
  <c r="O75" i="7"/>
  <c r="O53" i="7"/>
  <c r="O52" i="7"/>
  <c r="O51" i="7"/>
  <c r="O50" i="7"/>
  <c r="O49" i="7"/>
  <c r="O48" i="7"/>
  <c r="O47" i="7"/>
  <c r="O46" i="7"/>
  <c r="O45" i="7"/>
  <c r="O44" i="7"/>
  <c r="O43" i="7"/>
  <c r="S42" i="7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O42" i="7"/>
  <c r="T42" i="7" s="1"/>
  <c r="G37" i="7"/>
  <c r="F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L25" i="7" s="1"/>
  <c r="H25" i="7"/>
  <c r="G21" i="7"/>
  <c r="F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J4" i="7"/>
  <c r="K4" i="7" s="1"/>
  <c r="I4" i="7"/>
  <c r="K4" i="5"/>
  <c r="J4" i="5"/>
  <c r="I4" i="5"/>
  <c r="I64" i="5"/>
  <c r="K64" i="5" s="1"/>
  <c r="G76" i="5" s="1"/>
  <c r="I17" i="3"/>
  <c r="J17" i="3"/>
  <c r="K17" i="3"/>
  <c r="L17" i="3"/>
  <c r="M17" i="3"/>
  <c r="N17" i="3"/>
  <c r="D17" i="3"/>
  <c r="E17" i="3"/>
  <c r="F17" i="3"/>
  <c r="G17" i="3"/>
  <c r="H17" i="3"/>
  <c r="C17" i="3"/>
  <c r="E16" i="3"/>
  <c r="F16" i="3"/>
  <c r="G16" i="3"/>
  <c r="H16" i="3"/>
  <c r="I16" i="3"/>
  <c r="J16" i="3"/>
  <c r="M16" i="3"/>
  <c r="N16" i="3"/>
  <c r="C16" i="3"/>
  <c r="C17" i="2"/>
  <c r="E17" i="2"/>
  <c r="F17" i="2"/>
  <c r="G17" i="2"/>
  <c r="H17" i="2"/>
  <c r="I17" i="2"/>
  <c r="J17" i="2"/>
  <c r="K17" i="2"/>
  <c r="L17" i="2"/>
  <c r="M17" i="2"/>
  <c r="N17" i="2"/>
  <c r="D17" i="2"/>
  <c r="D15" i="2"/>
  <c r="E15" i="2"/>
  <c r="F15" i="2"/>
  <c r="G15" i="2"/>
  <c r="H15" i="2"/>
  <c r="I15" i="2"/>
  <c r="J15" i="2"/>
  <c r="K15" i="2"/>
  <c r="L15" i="2"/>
  <c r="M15" i="2"/>
  <c r="N15" i="2"/>
  <c r="C15" i="2"/>
  <c r="D13" i="2"/>
  <c r="E13" i="2"/>
  <c r="F13" i="2"/>
  <c r="G13" i="2"/>
  <c r="H13" i="2"/>
  <c r="I13" i="2"/>
  <c r="J13" i="2"/>
  <c r="K13" i="2"/>
  <c r="L13" i="2"/>
  <c r="M13" i="2"/>
  <c r="N13" i="2"/>
  <c r="C13" i="2"/>
  <c r="D12" i="2"/>
  <c r="E12" i="2"/>
  <c r="F12" i="2"/>
  <c r="G12" i="2"/>
  <c r="H12" i="2"/>
  <c r="I12" i="2"/>
  <c r="J12" i="2"/>
  <c r="K12" i="2"/>
  <c r="L12" i="2"/>
  <c r="M12" i="2"/>
  <c r="N12" i="2"/>
  <c r="C12" i="2"/>
  <c r="O61" i="5"/>
  <c r="O60" i="5"/>
  <c r="N63" i="5"/>
  <c r="M63" i="5"/>
  <c r="O63" i="5" s="1"/>
  <c r="S42" i="5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O43" i="5"/>
  <c r="O44" i="5"/>
  <c r="O45" i="5"/>
  <c r="O46" i="5"/>
  <c r="O47" i="5"/>
  <c r="O48" i="5"/>
  <c r="O49" i="5"/>
  <c r="O50" i="5"/>
  <c r="O51" i="5"/>
  <c r="O52" i="5"/>
  <c r="O53" i="5"/>
  <c r="O42" i="5"/>
  <c r="T42" i="5" s="1"/>
  <c r="I65" i="5"/>
  <c r="K65" i="5" s="1"/>
  <c r="G77" i="5" s="1"/>
  <c r="I66" i="5"/>
  <c r="K66" i="5" s="1"/>
  <c r="G78" i="5" s="1"/>
  <c r="I67" i="5"/>
  <c r="K67" i="5" s="1"/>
  <c r="G79" i="5" s="1"/>
  <c r="I68" i="5"/>
  <c r="K68" i="5" s="1"/>
  <c r="G80" i="5" s="1"/>
  <c r="I69" i="5"/>
  <c r="K69" i="5" s="1"/>
  <c r="G81" i="5" s="1"/>
  <c r="I70" i="5"/>
  <c r="K70" i="5" s="1"/>
  <c r="G82" i="5" s="1"/>
  <c r="I71" i="5"/>
  <c r="K71" i="5" s="1"/>
  <c r="G83" i="5" s="1"/>
  <c r="I72" i="5"/>
  <c r="K72" i="5" s="1"/>
  <c r="G84" i="5" s="1"/>
  <c r="I73" i="5"/>
  <c r="K73" i="5" s="1"/>
  <c r="G85" i="5" s="1"/>
  <c r="F42" i="5"/>
  <c r="G43" i="5"/>
  <c r="G44" i="5"/>
  <c r="G45" i="5"/>
  <c r="G46" i="5"/>
  <c r="G47" i="5"/>
  <c r="G48" i="5"/>
  <c r="G49" i="5"/>
  <c r="G50" i="5"/>
  <c r="G51" i="5"/>
  <c r="G52" i="5"/>
  <c r="G53" i="5"/>
  <c r="G42" i="5"/>
  <c r="F43" i="5"/>
  <c r="F44" i="5"/>
  <c r="F45" i="5"/>
  <c r="F46" i="5"/>
  <c r="F47" i="5"/>
  <c r="F48" i="5"/>
  <c r="F49" i="5"/>
  <c r="F50" i="5"/>
  <c r="F51" i="5"/>
  <c r="F52" i="5"/>
  <c r="F53" i="5"/>
  <c r="K6" i="4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G21" i="5"/>
  <c r="G37" i="5"/>
  <c r="F37" i="5"/>
  <c r="F21" i="5"/>
  <c r="I36" i="5"/>
  <c r="H36" i="5"/>
  <c r="I35" i="5"/>
  <c r="H35" i="5"/>
  <c r="I34" i="5"/>
  <c r="H34" i="5"/>
  <c r="J34" i="5" s="1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10" i="5"/>
  <c r="I11" i="5"/>
  <c r="I12" i="5"/>
  <c r="I13" i="5"/>
  <c r="I14" i="5"/>
  <c r="I15" i="5"/>
  <c r="I16" i="5"/>
  <c r="I17" i="5"/>
  <c r="I18" i="5"/>
  <c r="I19" i="5"/>
  <c r="I20" i="5"/>
  <c r="I9" i="5"/>
  <c r="H10" i="5"/>
  <c r="H11" i="5"/>
  <c r="H12" i="5"/>
  <c r="J12" i="5" s="1"/>
  <c r="H13" i="5"/>
  <c r="H14" i="5"/>
  <c r="H15" i="5"/>
  <c r="H16" i="5"/>
  <c r="H17" i="5"/>
  <c r="H18" i="5"/>
  <c r="H19" i="5"/>
  <c r="H20" i="5"/>
  <c r="J20" i="5" s="1"/>
  <c r="H9" i="5"/>
  <c r="J9" i="5" s="1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L70" i="11" l="1"/>
  <c r="M40" i="11"/>
  <c r="K41" i="11"/>
  <c r="I173" i="11"/>
  <c r="I195" i="11"/>
  <c r="K194" i="11"/>
  <c r="P60" i="11"/>
  <c r="L40" i="11"/>
  <c r="I41" i="11"/>
  <c r="Q13" i="11"/>
  <c r="L34" i="11"/>
  <c r="P13" i="11"/>
  <c r="L16" i="11"/>
  <c r="N139" i="11"/>
  <c r="M156" i="11"/>
  <c r="I174" i="11"/>
  <c r="K173" i="11"/>
  <c r="L70" i="9"/>
  <c r="Q40" i="9"/>
  <c r="O64" i="9"/>
  <c r="P63" i="9"/>
  <c r="R12" i="9"/>
  <c r="Q20" i="9"/>
  <c r="P20" i="9"/>
  <c r="M41" i="9"/>
  <c r="K42" i="9"/>
  <c r="I41" i="9"/>
  <c r="L40" i="9"/>
  <c r="I173" i="9"/>
  <c r="I174" i="9" s="1"/>
  <c r="M156" i="9"/>
  <c r="M157" i="9" s="1"/>
  <c r="K197" i="9"/>
  <c r="I198" i="9"/>
  <c r="M90" i="7"/>
  <c r="J20" i="7"/>
  <c r="H65" i="7"/>
  <c r="J11" i="7"/>
  <c r="J15" i="7"/>
  <c r="J26" i="7"/>
  <c r="J17" i="7"/>
  <c r="J28" i="7"/>
  <c r="J18" i="7"/>
  <c r="J12" i="7"/>
  <c r="H43" i="7"/>
  <c r="J9" i="7"/>
  <c r="T43" i="7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J19" i="7"/>
  <c r="J13" i="7"/>
  <c r="J10" i="7"/>
  <c r="J27" i="7"/>
  <c r="M9" i="7"/>
  <c r="L26" i="7"/>
  <c r="H21" i="7"/>
  <c r="J30" i="7"/>
  <c r="J34" i="7"/>
  <c r="I21" i="7"/>
  <c r="I22" i="7" s="1"/>
  <c r="J25" i="7"/>
  <c r="J35" i="7"/>
  <c r="I37" i="7"/>
  <c r="I38" i="7" s="1"/>
  <c r="J16" i="7"/>
  <c r="J32" i="7"/>
  <c r="J36" i="7"/>
  <c r="J29" i="7"/>
  <c r="J33" i="7"/>
  <c r="J14" i="7"/>
  <c r="J31" i="7"/>
  <c r="L9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H37" i="7"/>
  <c r="J17" i="5"/>
  <c r="J31" i="5"/>
  <c r="J16" i="5"/>
  <c r="J13" i="5"/>
  <c r="J18" i="5"/>
  <c r="J10" i="5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J32" i="5"/>
  <c r="J36" i="5"/>
  <c r="J25" i="5"/>
  <c r="J19" i="5"/>
  <c r="J11" i="5"/>
  <c r="H37" i="5"/>
  <c r="J14" i="5"/>
  <c r="J15" i="5"/>
  <c r="J33" i="5"/>
  <c r="I21" i="5"/>
  <c r="I22" i="5" s="1"/>
  <c r="H21" i="5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J30" i="5"/>
  <c r="I37" i="5"/>
  <c r="I38" i="5" s="1"/>
  <c r="H42" i="5"/>
  <c r="J42" i="5" s="1"/>
  <c r="L25" i="5"/>
  <c r="J26" i="5"/>
  <c r="J27" i="5"/>
  <c r="J35" i="5"/>
  <c r="J28" i="5"/>
  <c r="J29" i="5"/>
  <c r="K42" i="11" l="1"/>
  <c r="M41" i="11"/>
  <c r="I196" i="11"/>
  <c r="K195" i="11"/>
  <c r="K174" i="11"/>
  <c r="I175" i="11"/>
  <c r="L41" i="11"/>
  <c r="I42" i="11"/>
  <c r="R13" i="11"/>
  <c r="P20" i="11"/>
  <c r="Q20" i="11"/>
  <c r="P61" i="11"/>
  <c r="M157" i="11"/>
  <c r="N140" i="11"/>
  <c r="O65" i="9"/>
  <c r="P64" i="9"/>
  <c r="M42" i="9"/>
  <c r="K43" i="9"/>
  <c r="I42" i="9"/>
  <c r="L41" i="9"/>
  <c r="N140" i="9"/>
  <c r="K173" i="9"/>
  <c r="M158" i="9"/>
  <c r="N141" i="9"/>
  <c r="I199" i="9"/>
  <c r="K198" i="9"/>
  <c r="I175" i="9"/>
  <c r="K174" i="9"/>
  <c r="J42" i="7"/>
  <c r="H66" i="7"/>
  <c r="J65" i="7"/>
  <c r="J43" i="7"/>
  <c r="H44" i="7"/>
  <c r="J44" i="7" s="1"/>
  <c r="J37" i="7"/>
  <c r="J21" i="7"/>
  <c r="L27" i="7"/>
  <c r="M10" i="7"/>
  <c r="J21" i="5"/>
  <c r="J37" i="5"/>
  <c r="H43" i="5"/>
  <c r="J43" i="5" s="1"/>
  <c r="L26" i="5"/>
  <c r="M9" i="5"/>
  <c r="K43" i="11" l="1"/>
  <c r="M42" i="11"/>
  <c r="I197" i="11"/>
  <c r="K196" i="11"/>
  <c r="K175" i="11"/>
  <c r="I176" i="11"/>
  <c r="N141" i="11"/>
  <c r="M158" i="11"/>
  <c r="P62" i="11"/>
  <c r="L42" i="11"/>
  <c r="I43" i="11"/>
  <c r="O66" i="9"/>
  <c r="P65" i="9"/>
  <c r="I43" i="9"/>
  <c r="L42" i="9"/>
  <c r="K44" i="9"/>
  <c r="M43" i="9"/>
  <c r="K175" i="9"/>
  <c r="I176" i="9"/>
  <c r="M159" i="9"/>
  <c r="N142" i="9"/>
  <c r="K199" i="9"/>
  <c r="I200" i="9"/>
  <c r="H45" i="7"/>
  <c r="J45" i="7" s="1"/>
  <c r="H67" i="7"/>
  <c r="J66" i="7"/>
  <c r="L28" i="7"/>
  <c r="M11" i="7"/>
  <c r="H44" i="5"/>
  <c r="J44" i="5" s="1"/>
  <c r="L27" i="5"/>
  <c r="M10" i="5"/>
  <c r="M43" i="11" l="1"/>
  <c r="K44" i="11"/>
  <c r="I198" i="11"/>
  <c r="K197" i="11"/>
  <c r="P63" i="11"/>
  <c r="K176" i="11"/>
  <c r="I177" i="11"/>
  <c r="I44" i="11"/>
  <c r="L43" i="11"/>
  <c r="M159" i="11"/>
  <c r="N142" i="11"/>
  <c r="O67" i="9"/>
  <c r="P66" i="9"/>
  <c r="K45" i="9"/>
  <c r="M44" i="9"/>
  <c r="I44" i="9"/>
  <c r="L43" i="9"/>
  <c r="N143" i="9"/>
  <c r="M160" i="9"/>
  <c r="K176" i="9"/>
  <c r="I177" i="9"/>
  <c r="K200" i="9"/>
  <c r="I201" i="9"/>
  <c r="H46" i="7"/>
  <c r="J46" i="7" s="1"/>
  <c r="H68" i="7"/>
  <c r="J67" i="7"/>
  <c r="L29" i="7"/>
  <c r="M12" i="7"/>
  <c r="H45" i="5"/>
  <c r="J45" i="5" s="1"/>
  <c r="L28" i="5"/>
  <c r="M11" i="5"/>
  <c r="H46" i="5"/>
  <c r="J46" i="5" s="1"/>
  <c r="K45" i="11" l="1"/>
  <c r="M44" i="11"/>
  <c r="I199" i="11"/>
  <c r="K198" i="11"/>
  <c r="P64" i="11"/>
  <c r="I45" i="11"/>
  <c r="L44" i="11"/>
  <c r="I178" i="11"/>
  <c r="K177" i="11"/>
  <c r="M160" i="11"/>
  <c r="N143" i="11"/>
  <c r="O68" i="9"/>
  <c r="P67" i="9"/>
  <c r="I45" i="9"/>
  <c r="L44" i="9"/>
  <c r="K46" i="9"/>
  <c r="M45" i="9"/>
  <c r="H47" i="7"/>
  <c r="I202" i="9"/>
  <c r="K201" i="9"/>
  <c r="I178" i="9"/>
  <c r="K177" i="9"/>
  <c r="N144" i="9"/>
  <c r="M161" i="9"/>
  <c r="H69" i="7"/>
  <c r="J68" i="7"/>
  <c r="M13" i="7"/>
  <c r="L30" i="7"/>
  <c r="J47" i="7"/>
  <c r="H48" i="7"/>
  <c r="L29" i="5"/>
  <c r="M12" i="5"/>
  <c r="H47" i="5"/>
  <c r="J47" i="5" s="1"/>
  <c r="M45" i="11" l="1"/>
  <c r="K46" i="11"/>
  <c r="I200" i="11"/>
  <c r="K199" i="11"/>
  <c r="K178" i="11"/>
  <c r="I179" i="11"/>
  <c r="L45" i="11"/>
  <c r="I46" i="11"/>
  <c r="P65" i="11"/>
  <c r="M161" i="11"/>
  <c r="N144" i="11"/>
  <c r="O69" i="9"/>
  <c r="P69" i="9" s="1"/>
  <c r="P68" i="9"/>
  <c r="K47" i="9"/>
  <c r="M46" i="9"/>
  <c r="I46" i="9"/>
  <c r="L45" i="9"/>
  <c r="M162" i="9"/>
  <c r="N145" i="9"/>
  <c r="I179" i="9"/>
  <c r="K178" i="9"/>
  <c r="I203" i="9"/>
  <c r="K203" i="9" s="1"/>
  <c r="K202" i="9"/>
  <c r="H70" i="7"/>
  <c r="J69" i="7"/>
  <c r="L31" i="7"/>
  <c r="M14" i="7"/>
  <c r="J48" i="7"/>
  <c r="H49" i="7"/>
  <c r="L30" i="5"/>
  <c r="M13" i="5"/>
  <c r="H48" i="5"/>
  <c r="J48" i="5" s="1"/>
  <c r="K47" i="11" l="1"/>
  <c r="M46" i="11"/>
  <c r="I201" i="11"/>
  <c r="K200" i="11"/>
  <c r="L46" i="11"/>
  <c r="I47" i="11"/>
  <c r="P66" i="11"/>
  <c r="K179" i="11"/>
  <c r="I180" i="11"/>
  <c r="N145" i="11"/>
  <c r="M162" i="11"/>
  <c r="P70" i="9"/>
  <c r="Q41" i="9" s="1"/>
  <c r="Q43" i="9" s="1"/>
  <c r="I47" i="9"/>
  <c r="L46" i="9"/>
  <c r="K48" i="9"/>
  <c r="M47" i="9"/>
  <c r="K204" i="9"/>
  <c r="K206" i="9" s="1"/>
  <c r="K179" i="9"/>
  <c r="I180" i="9"/>
  <c r="M163" i="9"/>
  <c r="N146" i="9"/>
  <c r="H71" i="7"/>
  <c r="J70" i="7"/>
  <c r="M15" i="7"/>
  <c r="L32" i="7"/>
  <c r="J49" i="7"/>
  <c r="H50" i="7"/>
  <c r="L31" i="5"/>
  <c r="M14" i="5"/>
  <c r="H49" i="5"/>
  <c r="J49" i="5" s="1"/>
  <c r="K48" i="11" l="1"/>
  <c r="M47" i="11"/>
  <c r="I202" i="11"/>
  <c r="K201" i="11"/>
  <c r="K180" i="11"/>
  <c r="I181" i="11"/>
  <c r="K181" i="11" s="1"/>
  <c r="K182" i="11" s="1"/>
  <c r="P67" i="11"/>
  <c r="I48" i="11"/>
  <c r="L47" i="11"/>
  <c r="N146" i="11"/>
  <c r="M163" i="11"/>
  <c r="K49" i="9"/>
  <c r="M48" i="9"/>
  <c r="I48" i="9"/>
  <c r="L47" i="9"/>
  <c r="K180" i="9"/>
  <c r="I181" i="9"/>
  <c r="K181" i="9" s="1"/>
  <c r="M164" i="9"/>
  <c r="N148" i="9" s="1"/>
  <c r="N147" i="9"/>
  <c r="H72" i="7"/>
  <c r="J71" i="7"/>
  <c r="M16" i="7"/>
  <c r="L33" i="7"/>
  <c r="H51" i="7"/>
  <c r="J50" i="7"/>
  <c r="L32" i="5"/>
  <c r="M15" i="5"/>
  <c r="H50" i="5"/>
  <c r="J50" i="5" s="1"/>
  <c r="M48" i="11" l="1"/>
  <c r="K49" i="11"/>
  <c r="K204" i="11"/>
  <c r="K206" i="11" s="1"/>
  <c r="I203" i="11"/>
  <c r="K203" i="11" s="1"/>
  <c r="K202" i="11"/>
  <c r="N147" i="11"/>
  <c r="M164" i="11"/>
  <c r="N148" i="11" s="1"/>
  <c r="I49" i="11"/>
  <c r="L48" i="11"/>
  <c r="P68" i="11"/>
  <c r="P69" i="11"/>
  <c r="O205" i="11"/>
  <c r="K184" i="11"/>
  <c r="K186" i="11" s="1"/>
  <c r="K182" i="9"/>
  <c r="I49" i="9"/>
  <c r="L48" i="9"/>
  <c r="K50" i="9"/>
  <c r="M50" i="9" s="1"/>
  <c r="M49" i="9"/>
  <c r="O205" i="9"/>
  <c r="K184" i="9"/>
  <c r="K186" i="9" s="1"/>
  <c r="H73" i="7"/>
  <c r="J72" i="7"/>
  <c r="L34" i="7"/>
  <c r="M17" i="7"/>
  <c r="H52" i="7"/>
  <c r="J51" i="7"/>
  <c r="L33" i="5"/>
  <c r="M16" i="5"/>
  <c r="H51" i="5"/>
  <c r="J51" i="5" s="1"/>
  <c r="K50" i="11" l="1"/>
  <c r="M50" i="11" s="1"/>
  <c r="M49" i="11"/>
  <c r="M51" i="11" s="1"/>
  <c r="Q14" i="11" s="1"/>
  <c r="Q16" i="11" s="1"/>
  <c r="O206" i="11"/>
  <c r="P206" i="11" s="1"/>
  <c r="P205" i="11"/>
  <c r="P70" i="11"/>
  <c r="Q41" i="11" s="1"/>
  <c r="Q43" i="11" s="1"/>
  <c r="L49" i="11"/>
  <c r="I50" i="11"/>
  <c r="L50" i="11" s="1"/>
  <c r="L51" i="11" s="1"/>
  <c r="P14" i="11" s="1"/>
  <c r="M51" i="9"/>
  <c r="Q14" i="9" s="1"/>
  <c r="I50" i="9"/>
  <c r="L50" i="9" s="1"/>
  <c r="L49" i="9"/>
  <c r="O206" i="9"/>
  <c r="P206" i="9" s="1"/>
  <c r="P205" i="9"/>
  <c r="H74" i="7"/>
  <c r="J73" i="7"/>
  <c r="M18" i="7"/>
  <c r="L35" i="7"/>
  <c r="J52" i="7"/>
  <c r="H53" i="7"/>
  <c r="J53" i="7" s="1"/>
  <c r="L34" i="5"/>
  <c r="M17" i="5"/>
  <c r="H52" i="5"/>
  <c r="J52" i="5" s="1"/>
  <c r="R14" i="11" l="1"/>
  <c r="P16" i="11"/>
  <c r="R16" i="11" s="1"/>
  <c r="O210" i="11"/>
  <c r="O216" i="11"/>
  <c r="L51" i="9"/>
  <c r="Q16" i="9"/>
  <c r="P14" i="9"/>
  <c r="O210" i="9"/>
  <c r="O216" i="9"/>
  <c r="J54" i="7"/>
  <c r="H75" i="7"/>
  <c r="J75" i="7" s="1"/>
  <c r="J74" i="7"/>
  <c r="L36" i="7"/>
  <c r="M20" i="7" s="1"/>
  <c r="M19" i="7"/>
  <c r="L35" i="5"/>
  <c r="M18" i="5"/>
  <c r="H53" i="5"/>
  <c r="J53" i="5" s="1"/>
  <c r="O218" i="11" l="1"/>
  <c r="N220" i="11" s="1"/>
  <c r="P216" i="11"/>
  <c r="P218" i="11" s="1"/>
  <c r="P16" i="9"/>
  <c r="R16" i="9" s="1"/>
  <c r="R14" i="9"/>
  <c r="O218" i="9"/>
  <c r="N220" i="9" s="1"/>
  <c r="P216" i="9"/>
  <c r="P218" i="9" s="1"/>
  <c r="J56" i="7"/>
  <c r="J58" i="7" s="1"/>
  <c r="N77" i="7"/>
  <c r="J76" i="7"/>
  <c r="J78" i="7" s="1"/>
  <c r="L36" i="5"/>
  <c r="M20" i="5" s="1"/>
  <c r="M19" i="5"/>
  <c r="J54" i="5"/>
  <c r="J56" i="5" s="1"/>
  <c r="J58" i="5" s="1"/>
  <c r="O77" i="7" l="1"/>
  <c r="N78" i="7"/>
  <c r="O78" i="7" s="1"/>
  <c r="N82" i="7" l="1"/>
  <c r="N88" i="7"/>
  <c r="N90" i="7" l="1"/>
  <c r="M92" i="7" s="1"/>
  <c r="O88" i="7"/>
  <c r="O90" i="7" s="1"/>
</calcChain>
</file>

<file path=xl/sharedStrings.xml><?xml version="1.0" encoding="utf-8"?>
<sst xmlns="http://schemas.openxmlformats.org/spreadsheetml/2006/main" count="543" uniqueCount="99">
  <si>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</si>
  <si>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</si>
  <si>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</si>
  <si>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</si>
  <si>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</si>
  <si>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</si>
  <si>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</si>
  <si>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</si>
  <si>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</si>
  <si>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</si>
  <si>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</si>
  <si>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</si>
  <si>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</si>
  <si>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</si>
  <si>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</si>
  <si>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</si>
  <si>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</si>
  <si>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</si>
  <si>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</si>
  <si>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</si>
  <si>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</si>
  <si>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</si>
  <si>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</si>
  <si>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</si>
  <si>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</si>
  <si>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</si>
  <si>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</si>
  <si>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</si>
  <si>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</si>
  <si>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</si>
  <si>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</si>
  <si>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</si>
  <si>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</si>
  <si>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</si>
  <si>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</si>
  <si>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</si>
  <si>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</si>
  <si>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</si>
  <si>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</si>
  <si>
    <t>Demand</t>
  </si>
  <si>
    <t>Procurement total</t>
  </si>
  <si>
    <t>Stock</t>
  </si>
  <si>
    <t>Storage cost</t>
  </si>
  <si>
    <t>h</t>
  </si>
  <si>
    <t>Total cost AI</t>
  </si>
  <si>
    <t>Nominal price</t>
  </si>
  <si>
    <t>% savings</t>
  </si>
  <si>
    <t>Demand-APP</t>
  </si>
  <si>
    <t>Demand-PIDSG</t>
  </si>
  <si>
    <t>Total cost-Man</t>
  </si>
  <si>
    <t>Procurement</t>
  </si>
  <si>
    <t>Total cost- AI</t>
  </si>
  <si>
    <t>Cumulative Man</t>
  </si>
  <si>
    <t>Cumulative AI</t>
  </si>
  <si>
    <t>Time</t>
  </si>
  <si>
    <t xml:space="preserve">Unhedged cost </t>
  </si>
  <si>
    <t>trans mg</t>
  </si>
  <si>
    <t>Storage</t>
  </si>
  <si>
    <t>May</t>
  </si>
  <si>
    <t>AI- Storage</t>
  </si>
  <si>
    <t>Manual storage</t>
  </si>
  <si>
    <t>I0</t>
  </si>
  <si>
    <t>Total cost manual</t>
  </si>
  <si>
    <t>Date</t>
  </si>
  <si>
    <t>Order-Manual-Hedged</t>
  </si>
  <si>
    <t>Order-Manual-Unhedged</t>
  </si>
  <si>
    <t>Order-Manual Total</t>
  </si>
  <si>
    <t>Order-AI-Hedged</t>
  </si>
  <si>
    <t>Order-AI-Unhedged</t>
  </si>
  <si>
    <t>Order-AI-Total</t>
  </si>
  <si>
    <t>AI-Stock</t>
  </si>
  <si>
    <t>Manual-storage-cost</t>
  </si>
  <si>
    <t>AI-storage-cost</t>
  </si>
  <si>
    <t>Manual-stock</t>
  </si>
  <si>
    <t>procurement cost</t>
  </si>
  <si>
    <t>Backlog</t>
  </si>
  <si>
    <t>KUSD</t>
  </si>
  <si>
    <t>Vol</t>
  </si>
  <si>
    <t>Price/Toz</t>
  </si>
  <si>
    <t>Demand in KUSD</t>
  </si>
  <si>
    <t>Hedge quantity</t>
  </si>
  <si>
    <t>Nominal cost</t>
  </si>
  <si>
    <t>Price-SAA</t>
  </si>
  <si>
    <t>Backlog cost</t>
  </si>
  <si>
    <t>Order- Man</t>
  </si>
  <si>
    <t>Stock-Man</t>
  </si>
  <si>
    <t>Order-AI</t>
  </si>
  <si>
    <t>Stock-AI</t>
  </si>
  <si>
    <t>Total Order in KUSD</t>
  </si>
  <si>
    <t>Total Order in toz</t>
  </si>
  <si>
    <t>Total Order</t>
  </si>
  <si>
    <t>Storage-Manual</t>
  </si>
  <si>
    <t>Storage-AI</t>
  </si>
  <si>
    <t>Man-unhedged cost</t>
  </si>
  <si>
    <t>AI-unhedged cost</t>
  </si>
  <si>
    <t>With cap limit</t>
  </si>
  <si>
    <t>AI Storage</t>
  </si>
  <si>
    <t>With storage limit</t>
  </si>
  <si>
    <t>AI storage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</si>
</sst>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_-* #,##0.00_-;\-* #,##0.00_-;_-* \-??_-;_-@_-"/>
    <numFmt numFmtId="166" formatCode="_-* #,##0_-;\-* #,##0_-;_-* \-??_-;_-@_-"/>
    <numFmt numFmtId="167" formatCode="mm/dd/yy"/>
    <numFmt numFmtId="168" formatCode="0.0"/>
  </numFmts>
  <fonts count="5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12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23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4" fontId="0" fillId="0" borderId="0" xfId="0" applyNumberFormat="1"/>
    <xf numFmtId="168" fontId="0" fillId="0" borderId="0" xfId="0" applyNumberFormat="1" applyAlignment="1">
      <alignment horizontal="center"/>
    </xf>
    <xf numFmtId="167" fontId="2" fillId="0" borderId="0" xfId="0" applyNumberFormat="1" applyFont="1"/>
    <xf numFmtId="0" fontId="0" fillId="0" borderId="0" xfId="0" applyAlignment="1">
      <alignment vertical="top" wrapText="1"/>
    </xf>
    <xf numFmtId="17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  <xf numFmtId="0" fontId="4" fillId="0" borderId="0" xfId="0" applyFont="1"/>
    <xf numFmtId="0" fontId="0" fillId="3" borderId="0" xfId="0" applyFill="1"/>
    <xf numFmtId="11" fontId="0" fillId="0" borderId="0" xfId="0" applyNumberFormat="1"/>
    <xf numFmtId="2" fontId="0" fillId="3" borderId="0" xfId="0" applyNumberFormat="1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Eval07!$J$41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Eval07!$J$42:$J$53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10728.398723507267</c:v>
                </c:pt>
                <c:pt idx="4">
                  <c:v>17041.954939826166</c:v>
                </c:pt>
                <c:pt idx="5">
                  <c:v>19660.601599272944</c:v>
                </c:pt>
                <c:pt idx="6">
                  <c:v>15111.978929410579</c:v>
                </c:pt>
                <c:pt idx="7">
                  <c:v>11038.074207174041</c:v>
                </c:pt>
                <c:pt idx="8">
                  <c:v>8897.5273788054092</c:v>
                </c:pt>
                <c:pt idx="9">
                  <c:v>7001.52272719336</c:v>
                </c:pt>
                <c:pt idx="10">
                  <c:v>5617.204276934046</c:v>
                </c:pt>
                <c:pt idx="11">
                  <c:v>4292.8554339669317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C84E-9EDC-F3E90AAE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F149-ABE3-F3558E3DCE49}"/>
            </c:ext>
          </c:extLst>
        </c:ser>
        <c:ser>
          <c:idx val="1"/>
          <c:order val="1"/>
          <c:tx>
            <c:strRef>
              <c:f>Eval07!$T$41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F149-ABE3-F3558E3D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Eval08!$M$136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Eval08!$M$137:$M$148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F-984A-8DF8-C7F5B2F57166}"/>
            </c:ext>
          </c:extLst>
        </c:ser>
        <c:ser>
          <c:idx val="1"/>
          <c:order val="1"/>
          <c:tx>
            <c:strRef>
              <c:f>Eval08!$N$136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Eval08!$N$137:$N$148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415833.15958043491</c:v>
                </c:pt>
                <c:pt idx="4">
                  <c:v>627957.52842254017</c:v>
                </c:pt>
                <c:pt idx="5">
                  <c:v>627957.52842254017</c:v>
                </c:pt>
                <c:pt idx="6">
                  <c:v>627957.52842254017</c:v>
                </c:pt>
                <c:pt idx="7">
                  <c:v>659262.465350062</c:v>
                </c:pt>
                <c:pt idx="8">
                  <c:v>659262.465350062</c:v>
                </c:pt>
                <c:pt idx="9">
                  <c:v>659262.465350062</c:v>
                </c:pt>
                <c:pt idx="10">
                  <c:v>659262.465350062</c:v>
                </c:pt>
                <c:pt idx="11">
                  <c:v>659262.465350062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F-984A-8DF8-C7F5B2F5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Eval08!$H$206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Eval08!$G$207</c:f>
              <c:numCache>
                <c:formatCode>General</c:formatCode>
                <c:ptCount val="1"/>
              </c:numCache>
            </c:numRef>
          </c:cat>
          <c:val>
            <c:numRef>
              <c:f>Eval08!$H$207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4-C34D-99E2-6992F857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Eval08!$K$169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Eval08!$K$170:$K$181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9862.9151844125918</c:v>
                </c:pt>
                <c:pt idx="4">
                  <c:v>16604.069137357037</c:v>
                </c:pt>
                <c:pt idx="5">
                  <c:v>15123.567442894353</c:v>
                </c:pt>
                <c:pt idx="6">
                  <c:v>10574.94477303199</c:v>
                </c:pt>
                <c:pt idx="7">
                  <c:v>7232.2949890670361</c:v>
                </c:pt>
                <c:pt idx="8">
                  <c:v>5091.7481606984029</c:v>
                </c:pt>
                <c:pt idx="9">
                  <c:v>3195.7435090863532</c:v>
                </c:pt>
                <c:pt idx="10">
                  <c:v>1811.4250588270397</c:v>
                </c:pt>
                <c:pt idx="11">
                  <c:v>487.07621585992518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3C43-90FC-B0F3608C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Eval08!$T$169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Eval08!$T$170:$T$181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D-7E4D-B9EE-16688C28E19F}"/>
            </c:ext>
          </c:extLst>
        </c:ser>
        <c:ser>
          <c:idx val="1"/>
          <c:order val="1"/>
          <c:tx>
            <c:strRef>
              <c:f>Eval08!$U$169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Eval08!$U$170:$U$181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D-7E4D-B9EE-16688C28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Eval04!$L$8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Eval04!$L$9:$L$20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Eval04!$M$8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Eval04!$G$63</c:f>
              <c:strCache>
                <c:ptCount val="1"/>
                <c:pt idx="0">
                  <c:v>Demand-APP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Eval04!$G$64:$G$73</c:f>
              <c:numCache>
                <c:formatCode>#,##0.00</c:formatCode>
                <c:ptCount val="10"/>
                <c:pt idx="0">
                  <c:v>185342.5</c:v>
                </c:pt>
                <c:pt idx="1">
                  <c:v>211816.5</c:v>
                </c:pt>
                <c:pt idx="2">
                  <c:v>208414.5</c:v>
                </c:pt>
                <c:pt idx="3">
                  <c:v>204928.5</c:v>
                </c:pt>
                <c:pt idx="4">
                  <c:v>201565</c:v>
                </c:pt>
                <c:pt idx="5">
                  <c:v>198121</c:v>
                </c:pt>
                <c:pt idx="6">
                  <c:v>155050</c:v>
                </c:pt>
                <c:pt idx="7">
                  <c:v>154700</c:v>
                </c:pt>
                <c:pt idx="8">
                  <c:v>133350</c:v>
                </c:pt>
                <c:pt idx="9">
                  <c:v>132650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2-3147-93A6-B3457149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dateAx>
        <c:axId val="3781988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Offset val="100"/>
        <c:baseTimeUnit val="months"/>
      </c:date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Eval04!$J$41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Eval04!$J$42:$J$53</c:f>
              <c:numCache>
                <c:formatCode>General</c:formatCode>
                <c:ptCount val="12"/>
                <c:pt idx="0">
                  <c:v>2641.4609053497929</c:v>
                </c:pt>
                <c:pt idx="1">
                  <c:v>11150.334362139914</c:v>
                </c:pt>
                <c:pt idx="2">
                  <c:v>13631.044238683122</c:v>
                </c:pt>
                <c:pt idx="3">
                  <c:v>18080.954218106992</c:v>
                </c:pt>
                <c:pt idx="4">
                  <c:v>22103.26646090531</c:v>
                </c:pt>
                <c:pt idx="5">
                  <c:v>24514.529012345633</c:v>
                </c:pt>
                <c:pt idx="6">
                  <c:v>21460.259465020532</c:v>
                </c:pt>
                <c:pt idx="7">
                  <c:v>17123.035956790081</c:v>
                </c:pt>
                <c:pt idx="8">
                  <c:v>11459.616460905305</c:v>
                </c:pt>
                <c:pt idx="9">
                  <c:v>10377.601286008185</c:v>
                </c:pt>
                <c:pt idx="10">
                  <c:v>6683.3818930040688</c:v>
                </c:pt>
                <c:pt idx="11">
                  <c:v>3632.1666152262928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C-C347-A492-F695AAD7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E-184D-B080-BA0BA9DA7554}"/>
            </c:ext>
          </c:extLst>
        </c:ser>
        <c:ser>
          <c:idx val="1"/>
          <c:order val="1"/>
          <c:tx>
            <c:strRef>
              <c:f>Eval04!$T$41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184D-B080-BA0BA9DA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Eval04!$H$63</c:f>
              <c:strCache>
                <c:ptCount val="1"/>
                <c:pt idx="0">
                  <c:v>Demand-PIDSG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Eval04!$H$64:$H$73</c:f>
              <c:numCache>
                <c:formatCode>General</c:formatCode>
                <c:ptCount val="10"/>
                <c:pt idx="0">
                  <c:v>9902.2633744855975</c:v>
                </c:pt>
                <c:pt idx="1">
                  <c:v>8326.9032921810704</c:v>
                </c:pt>
                <c:pt idx="2">
                  <c:v>8326.9032921810704</c:v>
                </c:pt>
                <c:pt idx="3">
                  <c:v>6237.1399176954737</c:v>
                </c:pt>
                <c:pt idx="4">
                  <c:v>5208.333333333333</c:v>
                </c:pt>
                <c:pt idx="5">
                  <c:v>6237.1399176954737</c:v>
                </c:pt>
                <c:pt idx="6">
                  <c:v>7298.0967078189306</c:v>
                </c:pt>
                <c:pt idx="7">
                  <c:v>3632.9732510288068</c:v>
                </c:pt>
                <c:pt idx="8">
                  <c:v>5722.7366255144034</c:v>
                </c:pt>
                <c:pt idx="9">
                  <c:v>5208.333333333333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124B-ABC7-86DA19CB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80047"/>
        <c:axId val="1272781759"/>
      </c:lineChart>
      <c:dateAx>
        <c:axId val="1272780047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1759"/>
        <c:crosses val="autoZero"/>
        <c:auto val="1"/>
        <c:lblOffset val="100"/>
        <c:baseTimeUnit val="months"/>
      </c:dateAx>
      <c:valAx>
        <c:axId val="12727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Silver</a:t>
            </a:r>
            <a:r>
              <a:rPr lang="en-GB" baseline="0"/>
              <a:t>/unit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Eval04!$F$76:$F$85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Eval04!$G$76:$G$85</c:f>
              <c:numCache>
                <c:formatCode>General</c:formatCode>
                <c:ptCount val="10"/>
                <c:pt idx="0">
                  <c:v>53.426836124934098</c:v>
                </c:pt>
                <c:pt idx="1">
                  <c:v>39.311872739758563</c:v>
                </c:pt>
                <c:pt idx="2">
                  <c:v>39.953569891639354</c:v>
                </c:pt>
                <c:pt idx="3">
                  <c:v>30.435688143403549</c:v>
                </c:pt>
                <c:pt idx="4">
                  <c:v>25.839472792068729</c:v>
                </c:pt>
                <c:pt idx="5">
                  <c:v>31.481467980150882</c:v>
                </c:pt>
                <c:pt idx="6">
                  <c:v>47.069311240367171</c:v>
                </c:pt>
                <c:pt idx="7">
                  <c:v>23.483989987257964</c:v>
                </c:pt>
                <c:pt idx="8">
                  <c:v>42.915160296320984</c:v>
                </c:pt>
                <c:pt idx="9">
                  <c:v>39.263726598818941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8-7F4A-BFA2-1618266E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489391"/>
        <c:axId val="1279847071"/>
      </c:barChart>
      <c:dateAx>
        <c:axId val="1671489391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7071"/>
        <c:crosses val="autoZero"/>
        <c:auto val="1"/>
        <c:lblOffset val="100"/>
        <c:baseTimeUnit val="months"/>
      </c:dateAx>
      <c:valAx>
        <c:axId val="12798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Eval07!$L$8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Eval07!$L$9:$L$20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2748-8026-CBFDFC9363C6}"/>
            </c:ext>
          </c:extLst>
        </c:ser>
        <c:ser>
          <c:idx val="1"/>
          <c:order val="1"/>
          <c:tx>
            <c:strRef>
              <c:f>Eval07!$M$8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2748-8026-CBFDFC93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Eval07!$G$78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Eval07!$F$79:$F$79</c:f>
              <c:numCache>
                <c:formatCode>General</c:formatCode>
                <c:ptCount val="1"/>
              </c:numCache>
            </c:numRef>
          </c:cat>
          <c:val>
            <c:numRef>
              <c:f>Eval07!$G$79:$G$79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9-064F-91F1-290A5CB1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22</xdr:row>
      <xdr:rowOff>64770</xdr:rowOff>
    </xdr:from>
    <xdr:to>
      <xdr:col>10</xdr:col>
      <xdr:colOff>207010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</xdr:colOff>
      <xdr:row>58</xdr:row>
      <xdr:rowOff>127000</xdr:rowOff>
    </xdr:from>
    <xdr:to>
      <xdr:col>4</xdr:col>
      <xdr:colOff>844550</xdr:colOff>
      <xdr:row>73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C9C8B-78F5-88D9-58B4-3F2A193C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482600</xdr:colOff>
      <xdr:row>38</xdr:row>
      <xdr:rowOff>133350</xdr:rowOff>
    </xdr:from>
    <xdr:to>
      <xdr:col>5</xdr:col>
      <xdr:colOff>939800</xdr:colOff>
      <xdr:row>53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BED4D-12BA-2595-FC91-323B7D27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DF2F7-8347-959E-38E7-6DB658FBE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330200</xdr:colOff>
      <xdr:row>64</xdr:row>
      <xdr:rowOff>95250</xdr:rowOff>
    </xdr:from>
    <xdr:to>
      <xdr:col>16</xdr:col>
      <xdr:colOff>787400</xdr:colOff>
      <xdr:row>78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88233-48E1-9C4B-045A-707290AD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469900</xdr:colOff>
      <xdr:row>76</xdr:row>
      <xdr:rowOff>146050</xdr:rowOff>
    </xdr:from>
    <xdr:to>
      <xdr:col>11</xdr:col>
      <xdr:colOff>927100</xdr:colOff>
      <xdr:row>91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4E3114-A8F1-7CCF-00DB-196F50F3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DC955-A9EA-1F4C-9622-9EE759F8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457200</xdr:colOff>
      <xdr:row>79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AABCD-AB80-6147-8258-7199F646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3</xdr:col>
      <xdr:colOff>965200</xdr:colOff>
      <xdr:row>61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2EED1-9E67-1944-A8CC-97545FCBB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29418-91C3-5E44-9DC9-E33B3746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2</xdr:row>
      <xdr:rowOff>72390</xdr:rowOff>
    </xdr:from>
    <xdr:to>
      <xdr:col>18</xdr:col>
      <xdr:colOff>388620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65F63-B452-C44B-8F8E-4FCE658E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457200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20DAF-C725-B142-AED2-5E4FDB069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3</xdr:col>
      <xdr:colOff>965200</xdr:colOff>
      <xdr:row>62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B1700-C85C-2847-8F92-C17F1308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838200</xdr:colOff>
      <xdr:row>47</xdr:row>
      <xdr:rowOff>69850</xdr:rowOff>
    </xdr:from>
    <xdr:to>
      <xdr:col>19</xdr:col>
      <xdr:colOff>622300</xdr:colOff>
      <xdr:row>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0D748-1B7F-004A-AE16-CC68D1961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2" zoomScale="120" zoomScaleNormal="120" workbookViewId="0">
      <selection activeCell="D17" sqref="D17"/>
    </sheetView>
  </sheetViews>
  <sheetFormatPr baseColWidth="10" defaultColWidth="8.83203125" defaultRowHeight="15" x14ac:dyDescent="0.2"/>
  <cols>
    <col min="3" max="3" width="16.6640625" customWidth="1"/>
    <col min="16" max="16" width="10.5" customWidth="1"/>
  </cols>
  <sheetData>
    <row r="3" spans="2:16" x14ac:dyDescent="0.2">
      <c r="B3" s="21" t="s">
        <v>0</v>
      </c>
      <c r="C3" s="21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2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2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2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2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2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2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2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2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2">
      <c r="B14" s="21" t="s">
        <v>8</v>
      </c>
      <c r="C14" s="21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2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2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2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2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2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2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2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2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2">
      <c r="C24" t="s">
        <v>10</v>
      </c>
    </row>
    <row r="25" spans="2:16" x14ac:dyDescent="0.2">
      <c r="C25" t="s">
        <v>11</v>
      </c>
    </row>
    <row r="26" spans="2:16" x14ac:dyDescent="0.2">
      <c r="C26" t="s">
        <v>12</v>
      </c>
    </row>
    <row r="27" spans="2:16" x14ac:dyDescent="0.2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6D2B-71FC-0A4A-8981-25C5B83CB6E9}">
  <dimension ref="A1:T13"/>
  <sheetViews>
    <sheetView workbookViewId="0">
      <selection activeCell="I23" sqref="I23"/>
    </sheetView>
  </sheetViews>
  <sheetFormatPr baseColWidth="10" defaultRowHeight="15" x14ac:dyDescent="0.2"/>
  <cols>
    <col min="3" max="3" width="12.83203125" customWidth="1"/>
  </cols>
  <sheetData>
    <row r="1" spans="1:20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71</v>
      </c>
      <c r="L1" s="13" t="s">
        <v>72</v>
      </c>
      <c r="M1" s="13" t="s">
        <v>93</v>
      </c>
      <c r="N1" s="13" t="s">
        <v>94</v>
      </c>
      <c r="O1" s="13"/>
      <c r="P1" s="13"/>
      <c r="Q1" s="13"/>
      <c r="R1" s="13"/>
      <c r="S1" s="13"/>
      <c r="T1" s="13"/>
    </row>
    <row r="2" spans="1:20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9513.1687242798362</v>
      </c>
      <c r="F2">
        <f t="shared" ref="F2:F13" si="0">SUM(D2:E2)</f>
        <v>14400</v>
      </c>
      <c r="G2" s="8">
        <v>4886.8312757201647</v>
      </c>
      <c r="H2" s="8">
        <v>9513.1687242798362</v>
      </c>
      <c r="I2">
        <f>SUM(G2:H2)</f>
        <v>14400</v>
      </c>
      <c r="J2">
        <v>10314.285714285714</v>
      </c>
      <c r="K2">
        <v>254.28571428571433</v>
      </c>
      <c r="L2">
        <v>254.28571428571433</v>
      </c>
      <c r="M2">
        <f>C2*E2</f>
        <v>13425.083842321856</v>
      </c>
      <c r="N2">
        <f>C2*H2</f>
        <v>13425.083842321856</v>
      </c>
    </row>
    <row r="3" spans="1:20" x14ac:dyDescent="0.2">
      <c r="A3" s="12">
        <v>45778</v>
      </c>
      <c r="B3">
        <v>1.5806907894736841</v>
      </c>
      <c r="C3">
        <v>0</v>
      </c>
      <c r="D3">
        <v>4886.8312757201647</v>
      </c>
      <c r="E3">
        <v>2570.3115814226921</v>
      </c>
      <c r="F3">
        <f t="shared" si="0"/>
        <v>7457.1428571428569</v>
      </c>
      <c r="G3" s="8">
        <v>4886.8312757201647</v>
      </c>
      <c r="H3" s="8">
        <v>2570.3115814226921</v>
      </c>
      <c r="I3">
        <f t="shared" ref="I3:I13" si="1">SUM(G3:H3)</f>
        <v>7457.1428571428569</v>
      </c>
      <c r="J3">
        <v>12000</v>
      </c>
      <c r="K3">
        <v>27.142857142857157</v>
      </c>
      <c r="L3">
        <v>27.142857142857157</v>
      </c>
      <c r="M3">
        <f t="shared" ref="M3:M13" si="2">C3*E3</f>
        <v>0</v>
      </c>
      <c r="N3">
        <f t="shared" ref="N3:N13" si="3">C3*H3</f>
        <v>0</v>
      </c>
    </row>
    <row r="4" spans="1:20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9627.4544385655499</v>
      </c>
      <c r="F4">
        <f t="shared" si="0"/>
        <v>14514.285714285714</v>
      </c>
      <c r="G4" s="8">
        <v>4886.8312757201647</v>
      </c>
      <c r="H4" s="8">
        <v>9627.4544385655499</v>
      </c>
      <c r="I4">
        <f t="shared" si="1"/>
        <v>14514.285714285714</v>
      </c>
      <c r="J4">
        <v>9828.5714285714294</v>
      </c>
      <c r="K4">
        <v>261.42857142857139</v>
      </c>
      <c r="L4">
        <v>261.42857142857139</v>
      </c>
      <c r="M4">
        <f t="shared" si="2"/>
        <v>14069.511245706859</v>
      </c>
      <c r="N4">
        <f t="shared" si="3"/>
        <v>14069.511245706859</v>
      </c>
    </row>
    <row r="5" spans="1:20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7341.7401528512646</v>
      </c>
      <c r="F5">
        <f t="shared" si="0"/>
        <v>12228.571428571429</v>
      </c>
      <c r="G5" s="8">
        <v>4886.8312757201647</v>
      </c>
      <c r="H5">
        <v>7341.7401528512646</v>
      </c>
      <c r="I5">
        <f t="shared" si="1"/>
        <v>12228.571428571429</v>
      </c>
      <c r="J5">
        <v>12457.142857142857</v>
      </c>
      <c r="K5">
        <v>249.99999999999991</v>
      </c>
      <c r="L5">
        <v>249.99999999999991</v>
      </c>
      <c r="M5">
        <f t="shared" si="2"/>
        <v>7152.7869457594607</v>
      </c>
      <c r="N5">
        <f t="shared" si="3"/>
        <v>7152.7869457594607</v>
      </c>
    </row>
    <row r="6" spans="1:20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7341.7401528512646</v>
      </c>
      <c r="F6">
        <f t="shared" si="0"/>
        <v>12228.571428571429</v>
      </c>
      <c r="G6" s="8">
        <v>4886.8312757201647</v>
      </c>
      <c r="H6">
        <v>15000</v>
      </c>
      <c r="I6">
        <f t="shared" si="1"/>
        <v>19886.831275720164</v>
      </c>
      <c r="J6">
        <v>12657.142857142857</v>
      </c>
      <c r="K6">
        <v>228.57142857142856</v>
      </c>
      <c r="L6">
        <v>611.48442092886535</v>
      </c>
      <c r="M6">
        <f t="shared" si="2"/>
        <v>7152.7869457594607</v>
      </c>
      <c r="N6">
        <f t="shared" si="3"/>
        <v>14613.947368421052</v>
      </c>
    </row>
    <row r="7" spans="1:20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4456.0258671369784</v>
      </c>
      <c r="F7">
        <f t="shared" si="0"/>
        <v>9342.8571428571431</v>
      </c>
      <c r="G7" s="8">
        <v>4886.8312757201647</v>
      </c>
      <c r="H7">
        <v>15000</v>
      </c>
      <c r="I7">
        <f t="shared" si="1"/>
        <v>19886.831275720164</v>
      </c>
      <c r="J7">
        <v>12000</v>
      </c>
      <c r="K7">
        <v>95.714285714285694</v>
      </c>
      <c r="L7">
        <v>1005.8259847148737</v>
      </c>
      <c r="M7">
        <f t="shared" si="2"/>
        <v>1447.123716312386</v>
      </c>
      <c r="N7">
        <f t="shared" si="3"/>
        <v>4871.3486842105267</v>
      </c>
    </row>
    <row r="8" spans="1:20" x14ac:dyDescent="0.2">
      <c r="A8" s="12">
        <v>45931</v>
      </c>
      <c r="B8">
        <v>1.7219534883720931</v>
      </c>
      <c r="C8">
        <v>1.7219534883720931</v>
      </c>
      <c r="D8">
        <v>2767.3611111111113</v>
      </c>
      <c r="E8">
        <v>10546.924603174602</v>
      </c>
      <c r="F8">
        <f t="shared" si="0"/>
        <v>13314.285714285714</v>
      </c>
      <c r="G8" s="8">
        <v>2767.3611111111113</v>
      </c>
      <c r="H8">
        <v>15000</v>
      </c>
      <c r="I8">
        <f t="shared" si="1"/>
        <v>17767.361111111109</v>
      </c>
      <c r="J8">
        <v>11714.285714285714</v>
      </c>
      <c r="K8">
        <v>175.71428571428569</v>
      </c>
      <c r="L8">
        <v>1308.4797545561435</v>
      </c>
      <c r="M8">
        <f t="shared" si="2"/>
        <v>18161.313612033959</v>
      </c>
      <c r="N8">
        <f t="shared" si="3"/>
        <v>25829.302325581397</v>
      </c>
    </row>
    <row r="9" spans="1:20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7346.9246031746025</v>
      </c>
      <c r="F9">
        <f t="shared" si="0"/>
        <v>10114.285714285714</v>
      </c>
      <c r="G9" s="8">
        <v>2767.3611111111113</v>
      </c>
      <c r="H9">
        <v>3088.8718871251899</v>
      </c>
      <c r="I9">
        <f t="shared" si="1"/>
        <v>5856.2329982363008</v>
      </c>
      <c r="J9">
        <v>9342.8571428571431</v>
      </c>
      <c r="K9">
        <v>214.28571428571422</v>
      </c>
      <c r="L9">
        <v>1134.1485473251014</v>
      </c>
      <c r="M9">
        <f t="shared" si="2"/>
        <v>12639.892311851394</v>
      </c>
      <c r="N9">
        <f t="shared" si="3"/>
        <v>5314.1974536525295</v>
      </c>
    </row>
    <row r="10" spans="1:20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6461.210317460318</v>
      </c>
      <c r="F10">
        <f t="shared" si="0"/>
        <v>9228.5714285714294</v>
      </c>
      <c r="G10" s="8">
        <v>2767.3611111111113</v>
      </c>
      <c r="H10">
        <v>0</v>
      </c>
      <c r="I10">
        <f t="shared" si="1"/>
        <v>2767.3611111111113</v>
      </c>
      <c r="J10">
        <v>9085.7142857142862</v>
      </c>
      <c r="K10">
        <v>221.42857142857139</v>
      </c>
      <c r="L10">
        <v>818.2308885949426</v>
      </c>
      <c r="M10">
        <f t="shared" si="2"/>
        <v>14821.390134097073</v>
      </c>
      <c r="N10">
        <f t="shared" si="3"/>
        <v>0</v>
      </c>
    </row>
    <row r="11" spans="1:20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3404.0674603174602</v>
      </c>
      <c r="F11">
        <f t="shared" si="0"/>
        <v>6171.4285714285716</v>
      </c>
      <c r="G11" s="8">
        <v>2767.3611111111113</v>
      </c>
      <c r="H11">
        <v>0</v>
      </c>
      <c r="I11">
        <f t="shared" si="1"/>
        <v>2767.3611111111113</v>
      </c>
      <c r="J11">
        <v>9028.5714285714294</v>
      </c>
      <c r="K11">
        <v>78.571428571428541</v>
      </c>
      <c r="L11">
        <v>505.17037272192675</v>
      </c>
      <c r="M11">
        <f t="shared" si="2"/>
        <v>976.06520967627716</v>
      </c>
      <c r="N11">
        <f t="shared" si="3"/>
        <v>0</v>
      </c>
    </row>
    <row r="12" spans="1:20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4975.4960317460318</v>
      </c>
      <c r="F12">
        <f t="shared" si="0"/>
        <v>7742.8571428571431</v>
      </c>
      <c r="G12" s="8">
        <v>2767.3611111111113</v>
      </c>
      <c r="H12">
        <v>0</v>
      </c>
      <c r="I12">
        <f t="shared" si="1"/>
        <v>2767.3611111111113</v>
      </c>
      <c r="J12">
        <v>7685.7142857142853</v>
      </c>
      <c r="K12">
        <v>81.428571428571431</v>
      </c>
      <c r="L12">
        <v>259.25271399176808</v>
      </c>
      <c r="M12">
        <f t="shared" si="2"/>
        <v>7133.3015392635671</v>
      </c>
      <c r="N12">
        <f t="shared" si="3"/>
        <v>0</v>
      </c>
    </row>
    <row r="13" spans="1:20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4918.353174603174</v>
      </c>
      <c r="F13">
        <f t="shared" si="0"/>
        <v>7685.7142857142853</v>
      </c>
      <c r="G13" s="8">
        <v>2767.3611111111113</v>
      </c>
      <c r="H13">
        <v>0</v>
      </c>
      <c r="I13">
        <f t="shared" si="1"/>
        <v>2767.3611111111113</v>
      </c>
      <c r="J13">
        <v>7571.4285714285716</v>
      </c>
      <c r="K13">
        <v>87.14285714285711</v>
      </c>
      <c r="L13">
        <v>19.049340975895031</v>
      </c>
      <c r="M13">
        <f t="shared" si="2"/>
        <v>5641.1127046179927</v>
      </c>
      <c r="N1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Normal="100" workbookViewId="0">
      <selection activeCell="C11" sqref="C11:N11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2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2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2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2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2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2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2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2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  <row r="11" spans="1:15" x14ac:dyDescent="0.2">
      <c r="C11">
        <v>31.103999999999999</v>
      </c>
      <c r="D11">
        <v>31.103999999999999</v>
      </c>
      <c r="E11">
        <v>31.103999999999999</v>
      </c>
      <c r="F11">
        <v>31.103999999999999</v>
      </c>
      <c r="G11">
        <v>31.103999999999999</v>
      </c>
      <c r="H11">
        <v>31.103999999999999</v>
      </c>
      <c r="I11">
        <v>31.103999999999999</v>
      </c>
      <c r="J11">
        <v>31.103999999999999</v>
      </c>
      <c r="K11">
        <v>31.103999999999999</v>
      </c>
      <c r="L11">
        <v>31.103999999999999</v>
      </c>
      <c r="M11">
        <v>31.103999999999999</v>
      </c>
      <c r="N11">
        <v>31.103999999999999</v>
      </c>
    </row>
    <row r="12" spans="1:15" x14ac:dyDescent="0.2">
      <c r="C12">
        <f>C4/C11</f>
        <v>0</v>
      </c>
      <c r="D12">
        <f t="shared" ref="D12:N12" si="0">D4/D11</f>
        <v>0</v>
      </c>
      <c r="E12">
        <f t="shared" si="0"/>
        <v>0</v>
      </c>
      <c r="F12">
        <f t="shared" si="0"/>
        <v>0</v>
      </c>
      <c r="G12">
        <f t="shared" si="0"/>
        <v>2282.6646090534982</v>
      </c>
      <c r="H12">
        <f t="shared" si="0"/>
        <v>3729.4238683127573</v>
      </c>
      <c r="I12">
        <f t="shared" si="0"/>
        <v>3311.471193415638</v>
      </c>
      <c r="J12">
        <f t="shared" si="0"/>
        <v>2925.6687242798353</v>
      </c>
      <c r="K12">
        <f t="shared" si="0"/>
        <v>3729.4238683127573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5" x14ac:dyDescent="0.2">
      <c r="C13">
        <f>C6/C11</f>
        <v>13888.888888888889</v>
      </c>
      <c r="D13">
        <f t="shared" ref="D13:N13" si="1">D6/D11</f>
        <v>12037.037037037036</v>
      </c>
      <c r="E13">
        <f t="shared" si="1"/>
        <v>15740.740740740741</v>
      </c>
      <c r="F13">
        <f t="shared" si="1"/>
        <v>22222.222222222223</v>
      </c>
      <c r="G13">
        <f t="shared" si="1"/>
        <v>14039.126800411523</v>
      </c>
      <c r="H13">
        <f t="shared" si="1"/>
        <v>8761.3811728395067</v>
      </c>
      <c r="I13">
        <f t="shared" si="1"/>
        <v>12528.870884773663</v>
      </c>
      <c r="J13">
        <f t="shared" si="1"/>
        <v>6960.9375</v>
      </c>
      <c r="K13">
        <f t="shared" si="1"/>
        <v>13391.010802469136</v>
      </c>
      <c r="L13">
        <f t="shared" si="1"/>
        <v>5555.5555555555557</v>
      </c>
      <c r="M13">
        <f t="shared" si="1"/>
        <v>23148.14814814815</v>
      </c>
      <c r="N13">
        <f t="shared" si="1"/>
        <v>10185.185185185186</v>
      </c>
    </row>
    <row r="15" spans="1:15" x14ac:dyDescent="0.2">
      <c r="C15">
        <f>SUM(C12:C13)</f>
        <v>13888.888888888889</v>
      </c>
      <c r="D15">
        <f t="shared" ref="D15:N15" si="2">SUM(D12:D13)</f>
        <v>12037.037037037036</v>
      </c>
      <c r="E15">
        <f t="shared" si="2"/>
        <v>15740.740740740741</v>
      </c>
      <c r="F15">
        <f t="shared" si="2"/>
        <v>22222.222222222223</v>
      </c>
      <c r="G15">
        <f t="shared" si="2"/>
        <v>16321.79140946502</v>
      </c>
      <c r="H15">
        <f t="shared" si="2"/>
        <v>12490.805041152264</v>
      </c>
      <c r="I15">
        <f t="shared" si="2"/>
        <v>15840.342078189302</v>
      </c>
      <c r="J15">
        <f t="shared" si="2"/>
        <v>9886.6062242798362</v>
      </c>
      <c r="K15">
        <f t="shared" si="2"/>
        <v>17120.434670781895</v>
      </c>
      <c r="L15">
        <f t="shared" si="2"/>
        <v>5555.5555555555557</v>
      </c>
      <c r="M15">
        <f t="shared" si="2"/>
        <v>23148.14814814815</v>
      </c>
      <c r="N15">
        <f t="shared" si="2"/>
        <v>10185.185185185186</v>
      </c>
    </row>
    <row r="17" spans="3:14" x14ac:dyDescent="0.2">
      <c r="C17">
        <f>C9*C11/C6</f>
        <v>15.399575999999998</v>
      </c>
      <c r="D17">
        <f>D9*D11/D6</f>
        <v>16.865612307692306</v>
      </c>
      <c r="E17">
        <f t="shared" ref="E17:N17" si="3">E9*E11/E6</f>
        <v>18.138790588235292</v>
      </c>
      <c r="F17">
        <f t="shared" si="3"/>
        <v>18.871335000000002</v>
      </c>
      <c r="G17">
        <f t="shared" si="3"/>
        <v>18.23888363145878</v>
      </c>
      <c r="H17">
        <f t="shared" si="3"/>
        <v>18.308186441797485</v>
      </c>
      <c r="I17">
        <f t="shared" si="3"/>
        <v>18.978565761179169</v>
      </c>
      <c r="J17">
        <f t="shared" si="3"/>
        <v>19.454563411896746</v>
      </c>
      <c r="K17">
        <f t="shared" si="3"/>
        <v>19.538480243161093</v>
      </c>
      <c r="L17">
        <f t="shared" si="3"/>
        <v>19.223279999999999</v>
      </c>
      <c r="M17">
        <f t="shared" si="3"/>
        <v>18.689356799999999</v>
      </c>
      <c r="N17">
        <f t="shared" si="3"/>
        <v>18.908149090909092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Normal="100" workbookViewId="0">
      <selection activeCell="C21" sqref="C21:C32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2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2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2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2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2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2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2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2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2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2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2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  <row r="15" spans="1:15" x14ac:dyDescent="0.2">
      <c r="C15">
        <v>31.103999999999999</v>
      </c>
      <c r="D15">
        <v>31.103999999999999</v>
      </c>
      <c r="E15">
        <v>31.103999999999999</v>
      </c>
      <c r="F15">
        <v>31.103999999999999</v>
      </c>
      <c r="G15">
        <v>31.103999999999999</v>
      </c>
      <c r="H15">
        <v>31.103999999999999</v>
      </c>
      <c r="I15">
        <v>31.103999999999999</v>
      </c>
      <c r="J15">
        <v>31.103999999999999</v>
      </c>
      <c r="K15">
        <v>31.103999999999999</v>
      </c>
      <c r="L15">
        <v>31.103999999999999</v>
      </c>
      <c r="M15">
        <v>31.103999999999999</v>
      </c>
      <c r="N15">
        <v>31.103999999999999</v>
      </c>
    </row>
    <row r="16" spans="1:15" x14ac:dyDescent="0.2">
      <c r="C16">
        <f>C13*C15</f>
        <v>43.894292210526316</v>
      </c>
      <c r="D16">
        <v>43.894292210526316</v>
      </c>
      <c r="E16">
        <f t="shared" ref="E16:N16" si="2">E13*E15</f>
        <v>45.455221894736837</v>
      </c>
      <c r="F16">
        <f t="shared" si="2"/>
        <v>30.303481263157895</v>
      </c>
      <c r="G16">
        <f t="shared" si="2"/>
        <v>30.303481263157895</v>
      </c>
      <c r="H16">
        <f t="shared" si="2"/>
        <v>10.101228631578946</v>
      </c>
      <c r="I16">
        <f t="shared" si="2"/>
        <v>53.559641302325581</v>
      </c>
      <c r="J16">
        <f t="shared" si="2"/>
        <v>53.512351317440405</v>
      </c>
      <c r="K16">
        <v>53.512351317440405</v>
      </c>
      <c r="L16">
        <v>53.512351317440405</v>
      </c>
      <c r="M16">
        <f t="shared" si="2"/>
        <v>44.593385194479296</v>
      </c>
      <c r="N16">
        <f t="shared" si="2"/>
        <v>35.674780426599746</v>
      </c>
    </row>
    <row r="17" spans="3:14" x14ac:dyDescent="0.2">
      <c r="C17">
        <f>C8*C15/C3</f>
        <v>19.305415384615383</v>
      </c>
      <c r="D17">
        <f t="shared" ref="D17:N17" si="3">D8*D15/D3</f>
        <v>19.960476923076921</v>
      </c>
      <c r="E17">
        <f t="shared" si="3"/>
        <v>19.991852999999999</v>
      </c>
      <c r="F17">
        <f t="shared" si="3"/>
        <v>19.991852999999999</v>
      </c>
      <c r="G17">
        <f t="shared" si="3"/>
        <v>19.991852999999999</v>
      </c>
      <c r="H17">
        <f t="shared" si="3"/>
        <v>19.991852999999999</v>
      </c>
      <c r="I17">
        <f>I8*I15/I3</f>
        <v>19.991879999999998</v>
      </c>
      <c r="J17">
        <f t="shared" si="3"/>
        <v>19.991879999999998</v>
      </c>
      <c r="K17">
        <f t="shared" si="3"/>
        <v>19.991879999999998</v>
      </c>
      <c r="L17">
        <f t="shared" si="3"/>
        <v>19.991879999999998</v>
      </c>
      <c r="M17">
        <f t="shared" si="3"/>
        <v>19.991879999999998</v>
      </c>
      <c r="N17">
        <f t="shared" si="3"/>
        <v>19.991879999999998</v>
      </c>
    </row>
    <row r="19" spans="3:14" x14ac:dyDescent="0.2">
      <c r="C19">
        <v>43.894292210526316</v>
      </c>
      <c r="D19">
        <v>43.894292210526316</v>
      </c>
      <c r="E19">
        <v>45.455221894736837</v>
      </c>
      <c r="F19">
        <v>30.303481263157895</v>
      </c>
      <c r="G19">
        <v>30.303481263157895</v>
      </c>
      <c r="H19">
        <v>10.101228631578946</v>
      </c>
      <c r="I19">
        <v>53.559641302325581</v>
      </c>
      <c r="J19">
        <v>53.512351317440405</v>
      </c>
      <c r="K19">
        <v>53.512351317440405</v>
      </c>
      <c r="L19">
        <v>53.512351317440405</v>
      </c>
      <c r="M19">
        <v>44.593385194479296</v>
      </c>
      <c r="N19">
        <v>35.674780426599746</v>
      </c>
    </row>
    <row r="21" spans="3:14" x14ac:dyDescent="0.2">
      <c r="C21">
        <v>43.894292210526316</v>
      </c>
    </row>
    <row r="22" spans="3:14" x14ac:dyDescent="0.2">
      <c r="C22">
        <v>43.894292210526316</v>
      </c>
    </row>
    <row r="23" spans="3:14" x14ac:dyDescent="0.2">
      <c r="C23">
        <v>45.455221894736837</v>
      </c>
    </row>
    <row r="24" spans="3:14" x14ac:dyDescent="0.2">
      <c r="C24">
        <v>30.303481263157895</v>
      </c>
    </row>
    <row r="25" spans="3:14" x14ac:dyDescent="0.2">
      <c r="C25">
        <v>30.303481263157895</v>
      </c>
    </row>
    <row r="26" spans="3:14" x14ac:dyDescent="0.2">
      <c r="C26">
        <v>30.303481263157895</v>
      </c>
    </row>
    <row r="27" spans="3:14" x14ac:dyDescent="0.2">
      <c r="C27">
        <v>53.559641302325581</v>
      </c>
    </row>
    <row r="28" spans="3:14" x14ac:dyDescent="0.2">
      <c r="C28">
        <v>53.512351317440405</v>
      </c>
    </row>
    <row r="29" spans="3:14" x14ac:dyDescent="0.2">
      <c r="C29">
        <v>53.512351317440405</v>
      </c>
    </row>
    <row r="30" spans="3:14" x14ac:dyDescent="0.2">
      <c r="C30">
        <v>53.512351317440405</v>
      </c>
    </row>
    <row r="31" spans="3:14" x14ac:dyDescent="0.2">
      <c r="C31">
        <v>44.593385194479296</v>
      </c>
    </row>
    <row r="32" spans="3:14" x14ac:dyDescent="0.2">
      <c r="C32">
        <v>35.674780426599746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zoomScaleNormal="100" workbookViewId="0">
      <selection activeCell="G5" sqref="G5"/>
    </sheetView>
  </sheetViews>
  <sheetFormatPr baseColWidth="10" defaultColWidth="13.5" defaultRowHeight="15" x14ac:dyDescent="0.2"/>
  <sheetData>
    <row r="3" spans="2:11" x14ac:dyDescent="0.2">
      <c r="B3" t="s">
        <v>27</v>
      </c>
    </row>
    <row r="4" spans="2:11" x14ac:dyDescent="0.2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2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2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2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2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2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2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2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2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2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2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2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2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1:T85"/>
  <sheetViews>
    <sheetView topLeftCell="A5" zoomScaleNormal="100" workbookViewId="0">
      <selection activeCell="G9" sqref="G9:G20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2" t="s">
        <v>58</v>
      </c>
      <c r="I2">
        <v>1316511.5530000001</v>
      </c>
      <c r="J2">
        <v>765195</v>
      </c>
    </row>
    <row r="3" spans="2:13" x14ac:dyDescent="0.2">
      <c r="H3" s="22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4886.8312757201647</v>
      </c>
      <c r="H9">
        <f>C9*E9*F9</f>
        <v>232380</v>
      </c>
      <c r="I9">
        <f>D9*E9*G9</f>
        <v>214504</v>
      </c>
      <c r="J9">
        <f>H9+I9</f>
        <v>446884</v>
      </c>
      <c r="K9" s="7">
        <v>45772</v>
      </c>
      <c r="L9">
        <f>I9</f>
        <v>214504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192.90123456790116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214504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5015.4320987654328</v>
      </c>
      <c r="H11">
        <f t="shared" si="0"/>
        <v>246813</v>
      </c>
      <c r="I11">
        <f t="shared" si="1"/>
        <v>227977.57894736843</v>
      </c>
      <c r="J11">
        <f t="shared" si="2"/>
        <v>474790.57894736843</v>
      </c>
      <c r="K11" s="7">
        <v>45833</v>
      </c>
      <c r="L11">
        <f t="shared" ref="L11:L20" si="4">L10+I11</f>
        <v>442481.57894736843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3440.0720164609056</v>
      </c>
      <c r="H12">
        <f t="shared" si="0"/>
        <v>246813</v>
      </c>
      <c r="I12">
        <f t="shared" si="1"/>
        <v>104246.15789473685</v>
      </c>
      <c r="J12">
        <f t="shared" si="2"/>
        <v>351059.15789473685</v>
      </c>
      <c r="K12" s="7">
        <v>45863</v>
      </c>
      <c r="L12">
        <f t="shared" si="4"/>
        <v>546727.73684210528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3440.0720164609056</v>
      </c>
      <c r="H13">
        <f t="shared" si="0"/>
        <v>246813</v>
      </c>
      <c r="I13">
        <f t="shared" si="1"/>
        <v>104246.15789473685</v>
      </c>
      <c r="J13">
        <f t="shared" si="2"/>
        <v>351059.15789473685</v>
      </c>
      <c r="K13" s="7">
        <v>45894</v>
      </c>
      <c r="L13">
        <f t="shared" si="4"/>
        <v>650973.89473684214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1350.308641975309</v>
      </c>
      <c r="H14">
        <f t="shared" si="0"/>
        <v>246813</v>
      </c>
      <c r="I14">
        <f t="shared" si="1"/>
        <v>13639.776315789475</v>
      </c>
      <c r="J14">
        <f t="shared" si="2"/>
        <v>260452.77631578947</v>
      </c>
      <c r="K14" s="7">
        <v>45925</v>
      </c>
      <c r="L14">
        <f t="shared" si="4"/>
        <v>664613.67105263157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2443.4156378600819</v>
      </c>
      <c r="H15">
        <f t="shared" si="0"/>
        <v>148088</v>
      </c>
      <c r="I15">
        <f t="shared" si="1"/>
        <v>130868.46511627905</v>
      </c>
      <c r="J15">
        <f t="shared" si="2"/>
        <v>278956.46511627908</v>
      </c>
      <c r="K15" s="7">
        <v>45955</v>
      </c>
      <c r="L15">
        <f t="shared" si="4"/>
        <v>795482.13616891066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3469.7788065843624</v>
      </c>
      <c r="H16">
        <f t="shared" si="0"/>
        <v>148088.00000000003</v>
      </c>
      <c r="I16">
        <f t="shared" si="1"/>
        <v>185676.0224917515</v>
      </c>
      <c r="J16">
        <f t="shared" si="2"/>
        <v>333764.02249175153</v>
      </c>
      <c r="K16" s="7">
        <v>45986</v>
      </c>
      <c r="L16">
        <f t="shared" si="4"/>
        <v>981158.15866066213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4530.7355967078192</v>
      </c>
      <c r="H17">
        <f t="shared" si="0"/>
        <v>148088.00000000003</v>
      </c>
      <c r="I17">
        <f t="shared" si="1"/>
        <v>323265.99516706169</v>
      </c>
      <c r="J17">
        <f t="shared" si="2"/>
        <v>471353.99516706169</v>
      </c>
      <c r="K17" s="7">
        <v>46016</v>
      </c>
      <c r="L17">
        <f t="shared" si="4"/>
        <v>1304424.1538277238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865.61213991769546</v>
      </c>
      <c r="H18">
        <f t="shared" si="0"/>
        <v>148088.00000000003</v>
      </c>
      <c r="I18">
        <f t="shared" si="1"/>
        <v>7720.0525582043765</v>
      </c>
      <c r="J18">
        <f t="shared" si="2"/>
        <v>155808.05255820439</v>
      </c>
      <c r="K18" s="7">
        <v>46047</v>
      </c>
      <c r="L18">
        <f t="shared" si="4"/>
        <v>1312144.2063859282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2955.3755144032921</v>
      </c>
      <c r="H19">
        <f t="shared" si="0"/>
        <v>148088.00000000003</v>
      </c>
      <c r="I19">
        <f t="shared" si="1"/>
        <v>131790.19870811841</v>
      </c>
      <c r="J19">
        <f t="shared" si="2"/>
        <v>279878.19870811841</v>
      </c>
      <c r="K19" s="7">
        <v>46078</v>
      </c>
      <c r="L19">
        <f t="shared" si="4"/>
        <v>1443934.4050940466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2440.9722222222217</v>
      </c>
      <c r="H20">
        <f t="shared" si="0"/>
        <v>148088.00000000003</v>
      </c>
      <c r="I20">
        <f t="shared" si="1"/>
        <v>87081.148055206999</v>
      </c>
      <c r="J20">
        <f t="shared" si="2"/>
        <v>235169.14805520704</v>
      </c>
      <c r="K20" s="7">
        <v>46106</v>
      </c>
      <c r="L20">
        <f t="shared" si="4"/>
        <v>1531015.5531492536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35031.507201646091</v>
      </c>
      <c r="H21" s="9">
        <f>SUM(H9:H20)</f>
        <v>2348425</v>
      </c>
      <c r="I21" s="9">
        <f>SUM(I9:I20)</f>
        <v>1531015.5531492536</v>
      </c>
      <c r="J21" s="9">
        <f>SUM(J9:J20)</f>
        <v>3879440.5531492545</v>
      </c>
    </row>
    <row r="22" spans="2:13" x14ac:dyDescent="0.2">
      <c r="I22">
        <f>I21/G21</f>
        <v>43.703958962899343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1" spans="2:20" x14ac:dyDescent="0.2"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E42" s="7">
        <v>45772</v>
      </c>
      <c r="F42">
        <f>SUM(F9:G9)</f>
        <v>9773.6625514403295</v>
      </c>
      <c r="G42">
        <f>SUM(F25:G25)</f>
        <v>11886.831275720164</v>
      </c>
      <c r="H42">
        <f>G42-F42</f>
        <v>2113.1687242798344</v>
      </c>
      <c r="I42">
        <v>0.05</v>
      </c>
      <c r="J42">
        <f t="shared" ref="J42:J53" si="9">H42*I42*K42</f>
        <v>2641.4609053497929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f t="shared" ref="F43:F53" si="10">SUM(F10:G10)</f>
        <v>5079.7325102880659</v>
      </c>
      <c r="G43">
        <f t="shared" ref="G43:G53" si="11">SUM(F26:G26)</f>
        <v>11886.831275720164</v>
      </c>
      <c r="H43">
        <f>H42+G43-F43</f>
        <v>8920.2674897119323</v>
      </c>
      <c r="I43">
        <v>0.05</v>
      </c>
      <c r="J43">
        <f t="shared" si="9"/>
        <v>11150.334362139914</v>
      </c>
      <c r="K43">
        <v>25</v>
      </c>
      <c r="N43">
        <v>240264.99999999997</v>
      </c>
      <c r="O43">
        <f t="shared" ref="O43:O53" si="12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f t="shared" si="10"/>
        <v>9902.2633744855975</v>
      </c>
      <c r="G44">
        <f t="shared" si="11"/>
        <v>11886.831275720164</v>
      </c>
      <c r="H44">
        <f t="shared" ref="H44:H53" si="13">H43+G44-F44</f>
        <v>10904.835390946499</v>
      </c>
      <c r="I44">
        <v>0.05</v>
      </c>
      <c r="J44">
        <f t="shared" si="9"/>
        <v>13631.044238683122</v>
      </c>
      <c r="K44">
        <v>25</v>
      </c>
      <c r="N44">
        <v>474790.57894736843</v>
      </c>
      <c r="O44">
        <f t="shared" si="12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4">N44+S43</f>
        <v>1161939.5789473685</v>
      </c>
      <c r="T44">
        <f t="shared" si="14"/>
        <v>1372327.4382430147</v>
      </c>
    </row>
    <row r="45" spans="2:20" x14ac:dyDescent="0.2">
      <c r="E45" s="7">
        <v>45863</v>
      </c>
      <c r="F45">
        <f t="shared" si="10"/>
        <v>8326.9032921810704</v>
      </c>
      <c r="G45">
        <f t="shared" si="11"/>
        <v>11886.831275720164</v>
      </c>
      <c r="H45">
        <f t="shared" si="13"/>
        <v>14464.763374485594</v>
      </c>
      <c r="I45">
        <v>0.05</v>
      </c>
      <c r="J45">
        <f t="shared" si="9"/>
        <v>18080.954218106992</v>
      </c>
      <c r="K45">
        <v>25</v>
      </c>
      <c r="N45">
        <v>351059.15789473685</v>
      </c>
      <c r="O45">
        <f t="shared" si="12"/>
        <v>477018.32306021225</v>
      </c>
      <c r="P45">
        <v>18080.954218106992</v>
      </c>
      <c r="Q45">
        <v>458937.36884210526</v>
      </c>
      <c r="R45" s="7">
        <v>45863</v>
      </c>
      <c r="S45">
        <f t="shared" si="14"/>
        <v>1512998.7368421054</v>
      </c>
      <c r="T45">
        <f t="shared" si="14"/>
        <v>1849345.7613032269</v>
      </c>
    </row>
    <row r="46" spans="2:20" x14ac:dyDescent="0.2">
      <c r="E46" s="7">
        <v>45894</v>
      </c>
      <c r="F46">
        <f t="shared" si="10"/>
        <v>8326.9032921810704</v>
      </c>
      <c r="G46">
        <f t="shared" si="11"/>
        <v>11544.753086419725</v>
      </c>
      <c r="H46">
        <f t="shared" si="13"/>
        <v>17682.613168724245</v>
      </c>
      <c r="I46">
        <v>0.05</v>
      </c>
      <c r="J46">
        <f t="shared" si="9"/>
        <v>22103.26646090531</v>
      </c>
      <c r="K46">
        <v>25</v>
      </c>
      <c r="N46">
        <v>351059.15789473685</v>
      </c>
      <c r="O46">
        <f t="shared" si="12"/>
        <v>470674.47530300973</v>
      </c>
      <c r="P46">
        <v>22103.26646090531</v>
      </c>
      <c r="Q46">
        <v>448571.20884210442</v>
      </c>
      <c r="R46" s="7">
        <v>45894</v>
      </c>
      <c r="S46">
        <f t="shared" si="14"/>
        <v>1864057.8947368423</v>
      </c>
      <c r="T46">
        <f t="shared" si="14"/>
        <v>2320020.2366062365</v>
      </c>
    </row>
    <row r="47" spans="2:20" x14ac:dyDescent="0.2">
      <c r="E47" s="7">
        <v>45925</v>
      </c>
      <c r="F47">
        <f t="shared" si="10"/>
        <v>6237.1399176954737</v>
      </c>
      <c r="G47">
        <f t="shared" si="11"/>
        <v>8166.1499588477345</v>
      </c>
      <c r="H47">
        <f t="shared" si="13"/>
        <v>19611.623209876507</v>
      </c>
      <c r="I47">
        <v>0.05</v>
      </c>
      <c r="J47">
        <f t="shared" si="9"/>
        <v>24514.529012345633</v>
      </c>
      <c r="K47">
        <v>25</v>
      </c>
      <c r="N47">
        <v>260452.77631578947</v>
      </c>
      <c r="O47">
        <f t="shared" si="12"/>
        <v>304452.67678642564</v>
      </c>
      <c r="P47">
        <v>24514.529012345633</v>
      </c>
      <c r="Q47">
        <v>279938.14777407999</v>
      </c>
      <c r="R47" s="7">
        <v>45925</v>
      </c>
      <c r="S47">
        <f t="shared" si="14"/>
        <v>2124510.6710526319</v>
      </c>
      <c r="T47">
        <f t="shared" si="14"/>
        <v>2624472.9133926621</v>
      </c>
    </row>
    <row r="48" spans="2:20" x14ac:dyDescent="0.2">
      <c r="E48" s="7">
        <v>45955</v>
      </c>
      <c r="F48">
        <f t="shared" si="10"/>
        <v>5208.333333333333</v>
      </c>
      <c r="G48">
        <f t="shared" si="11"/>
        <v>2764.9176954732511</v>
      </c>
      <c r="H48">
        <f t="shared" si="13"/>
        <v>17168.207572016425</v>
      </c>
      <c r="I48">
        <v>0.05</v>
      </c>
      <c r="J48">
        <f t="shared" si="9"/>
        <v>21460.259465020532</v>
      </c>
      <c r="K48">
        <v>25</v>
      </c>
      <c r="N48">
        <v>278956.46511627908</v>
      </c>
      <c r="O48">
        <f t="shared" si="12"/>
        <v>169548.25946502053</v>
      </c>
      <c r="P48">
        <v>21460.259465020532</v>
      </c>
      <c r="Q48">
        <v>148088</v>
      </c>
      <c r="R48" s="7">
        <v>45955</v>
      </c>
      <c r="S48">
        <f t="shared" si="14"/>
        <v>2403467.1361689111</v>
      </c>
      <c r="T48">
        <f t="shared" si="14"/>
        <v>2794021.1728576827</v>
      </c>
    </row>
    <row r="49" spans="5:20" x14ac:dyDescent="0.2">
      <c r="E49" s="7">
        <v>45986</v>
      </c>
      <c r="F49">
        <f t="shared" si="10"/>
        <v>6237.1399176954737</v>
      </c>
      <c r="G49">
        <f t="shared" si="11"/>
        <v>2767.3611111111113</v>
      </c>
      <c r="H49">
        <f t="shared" si="13"/>
        <v>13698.428765432065</v>
      </c>
      <c r="I49">
        <v>0.05</v>
      </c>
      <c r="J49">
        <f t="shared" si="9"/>
        <v>17123.035956790081</v>
      </c>
      <c r="K49">
        <v>25</v>
      </c>
      <c r="N49">
        <v>333764.02249175153</v>
      </c>
      <c r="O49">
        <f t="shared" si="12"/>
        <v>165211.03595679012</v>
      </c>
      <c r="P49">
        <v>17123.035956790081</v>
      </c>
      <c r="Q49">
        <v>148088.00000000003</v>
      </c>
      <c r="R49" s="7">
        <v>45986</v>
      </c>
      <c r="S49">
        <f t="shared" si="14"/>
        <v>2737231.1586606628</v>
      </c>
      <c r="T49">
        <f t="shared" si="14"/>
        <v>2959232.2088144729</v>
      </c>
    </row>
    <row r="50" spans="5:20" x14ac:dyDescent="0.2">
      <c r="E50" s="7">
        <v>46016</v>
      </c>
      <c r="F50">
        <f t="shared" si="10"/>
        <v>7298.0967078189306</v>
      </c>
      <c r="G50">
        <f t="shared" si="11"/>
        <v>2767.3611111111113</v>
      </c>
      <c r="H50">
        <f t="shared" si="13"/>
        <v>9167.6931687242432</v>
      </c>
      <c r="I50">
        <v>0.05</v>
      </c>
      <c r="J50">
        <f t="shared" si="9"/>
        <v>11459.616460905305</v>
      </c>
      <c r="K50">
        <v>25</v>
      </c>
      <c r="N50">
        <v>471353.99516706169</v>
      </c>
      <c r="O50">
        <f t="shared" si="12"/>
        <v>159547.61646090532</v>
      </c>
      <c r="P50">
        <v>11459.616460905305</v>
      </c>
      <c r="Q50">
        <v>148088.00000000003</v>
      </c>
      <c r="R50" s="7">
        <v>46016</v>
      </c>
      <c r="S50">
        <f t="shared" si="14"/>
        <v>3208585.1538277245</v>
      </c>
      <c r="T50">
        <f t="shared" si="14"/>
        <v>3118779.8252753783</v>
      </c>
    </row>
    <row r="51" spans="5:20" x14ac:dyDescent="0.2">
      <c r="E51" s="7">
        <v>46047</v>
      </c>
      <c r="F51">
        <f t="shared" si="10"/>
        <v>3632.9732510288068</v>
      </c>
      <c r="G51">
        <f t="shared" si="11"/>
        <v>2767.3611111111113</v>
      </c>
      <c r="H51">
        <f t="shared" si="13"/>
        <v>8302.0810288065477</v>
      </c>
      <c r="I51">
        <v>0.05</v>
      </c>
      <c r="J51">
        <f t="shared" si="9"/>
        <v>10377.601286008185</v>
      </c>
      <c r="K51">
        <v>25</v>
      </c>
      <c r="N51">
        <v>155808.05255820439</v>
      </c>
      <c r="O51">
        <f t="shared" si="12"/>
        <v>158465.60128600823</v>
      </c>
      <c r="P51">
        <v>10377.601286008185</v>
      </c>
      <c r="Q51">
        <v>148088.00000000003</v>
      </c>
      <c r="R51" s="7">
        <v>46047</v>
      </c>
      <c r="S51">
        <f t="shared" si="14"/>
        <v>3364393.2063859291</v>
      </c>
      <c r="T51">
        <f t="shared" si="14"/>
        <v>3277245.4265613863</v>
      </c>
    </row>
    <row r="52" spans="5:20" x14ac:dyDescent="0.2">
      <c r="E52" s="7">
        <v>46078</v>
      </c>
      <c r="F52">
        <f t="shared" si="10"/>
        <v>5722.7366255144034</v>
      </c>
      <c r="G52">
        <f t="shared" si="11"/>
        <v>2767.3611111111113</v>
      </c>
      <c r="H52">
        <f t="shared" si="13"/>
        <v>5346.7055144032556</v>
      </c>
      <c r="I52">
        <v>0.05</v>
      </c>
      <c r="J52">
        <f t="shared" si="9"/>
        <v>6683.3818930040688</v>
      </c>
      <c r="K52">
        <v>25</v>
      </c>
      <c r="N52">
        <v>279878.19870811841</v>
      </c>
      <c r="O52">
        <f t="shared" si="12"/>
        <v>154771.38189300409</v>
      </c>
      <c r="P52">
        <v>6683.3818930040688</v>
      </c>
      <c r="Q52">
        <v>148088.00000000003</v>
      </c>
      <c r="R52" s="7">
        <v>46078</v>
      </c>
      <c r="S52">
        <f t="shared" si="14"/>
        <v>3644271.4050940475</v>
      </c>
      <c r="T52">
        <f t="shared" si="14"/>
        <v>3432016.8084543906</v>
      </c>
    </row>
    <row r="53" spans="5:20" x14ac:dyDescent="0.2">
      <c r="E53" s="7">
        <v>46106</v>
      </c>
      <c r="F53">
        <f t="shared" si="10"/>
        <v>5208.333333333333</v>
      </c>
      <c r="G53">
        <f t="shared" si="11"/>
        <v>2767.3611111111113</v>
      </c>
      <c r="H53">
        <f t="shared" si="13"/>
        <v>2905.7332921810339</v>
      </c>
      <c r="I53">
        <v>0.05</v>
      </c>
      <c r="J53">
        <f t="shared" si="9"/>
        <v>3632.1666152262928</v>
      </c>
      <c r="K53">
        <v>25</v>
      </c>
      <c r="N53">
        <v>235169.14805520704</v>
      </c>
      <c r="O53">
        <f t="shared" si="12"/>
        <v>151720.16661522634</v>
      </c>
      <c r="P53">
        <v>3632.1666152262928</v>
      </c>
      <c r="Q53">
        <v>148088.00000000003</v>
      </c>
      <c r="R53" s="7">
        <v>46106</v>
      </c>
      <c r="S53">
        <f t="shared" si="14"/>
        <v>3879440.5531492545</v>
      </c>
      <c r="T53">
        <f t="shared" si="14"/>
        <v>3583736.9750696169</v>
      </c>
    </row>
    <row r="54" spans="5:20" x14ac:dyDescent="0.2">
      <c r="I54" t="s">
        <v>42</v>
      </c>
      <c r="J54" s="9">
        <f>SUM(J42:J53)</f>
        <v>162857.65087448523</v>
      </c>
    </row>
    <row r="56" spans="5:20" x14ac:dyDescent="0.2">
      <c r="I56" t="s">
        <v>44</v>
      </c>
      <c r="J56">
        <f>SUM(J37+J54)</f>
        <v>3583736.9750696169</v>
      </c>
    </row>
    <row r="58" spans="5:20" x14ac:dyDescent="0.2">
      <c r="I58" t="s">
        <v>46</v>
      </c>
      <c r="J58">
        <f>(J21-J56)/J21</f>
        <v>7.622325281917032E-2</v>
      </c>
    </row>
    <row r="59" spans="5:20" x14ac:dyDescent="0.2">
      <c r="L59" s="8"/>
      <c r="M59" s="8" t="s">
        <v>33</v>
      </c>
      <c r="N59" s="8" t="s">
        <v>34</v>
      </c>
      <c r="O59" s="8" t="s">
        <v>46</v>
      </c>
    </row>
    <row r="60" spans="5:20" x14ac:dyDescent="0.2">
      <c r="L60" s="8" t="s">
        <v>55</v>
      </c>
      <c r="M60" s="8">
        <v>1531015.5531492536</v>
      </c>
      <c r="N60" s="8">
        <v>1072454.3241951317</v>
      </c>
      <c r="O60" s="8">
        <f>100*(M60-N60)/M60</f>
        <v>29.95144157816523</v>
      </c>
    </row>
    <row r="61" spans="5:20" x14ac:dyDescent="0.2">
      <c r="L61" s="8" t="s">
        <v>21</v>
      </c>
      <c r="M61" s="8">
        <v>2348425</v>
      </c>
      <c r="N61" s="8">
        <v>2348425</v>
      </c>
      <c r="O61" s="8">
        <f t="shared" ref="O61:O63" si="15">100*(M61-N61)/M61</f>
        <v>0</v>
      </c>
    </row>
    <row r="62" spans="5:20" x14ac:dyDescent="0.2">
      <c r="L62" s="8" t="s">
        <v>42</v>
      </c>
      <c r="M62" s="8">
        <v>0</v>
      </c>
      <c r="N62" s="11">
        <v>162857.65087448523</v>
      </c>
      <c r="O62" s="8"/>
    </row>
    <row r="63" spans="5:20" x14ac:dyDescent="0.2">
      <c r="G63" t="s">
        <v>47</v>
      </c>
      <c r="H63" t="s">
        <v>48</v>
      </c>
      <c r="J63" t="s">
        <v>56</v>
      </c>
      <c r="L63" s="8" t="s">
        <v>29</v>
      </c>
      <c r="M63" s="8">
        <f>SUM(M60:M62)</f>
        <v>3879440.5531492536</v>
      </c>
      <c r="N63" s="8">
        <f>SUM(N60:N62)</f>
        <v>3583736.9750696169</v>
      </c>
      <c r="O63" s="8">
        <f t="shared" si="15"/>
        <v>7.6223252819170106</v>
      </c>
    </row>
    <row r="64" spans="5:20" x14ac:dyDescent="0.2">
      <c r="F64" s="7">
        <v>45833</v>
      </c>
      <c r="G64" s="10">
        <v>185342.5</v>
      </c>
      <c r="H64">
        <v>9902.2633744855975</v>
      </c>
      <c r="I64">
        <f t="shared" ref="I64:I73" si="16">H64/G64</f>
        <v>5.3426836124934096E-2</v>
      </c>
      <c r="J64">
        <v>1000</v>
      </c>
      <c r="K64">
        <f>I64*J64</f>
        <v>53.426836124934098</v>
      </c>
    </row>
    <row r="65" spans="6:11" x14ac:dyDescent="0.2">
      <c r="F65" s="7">
        <v>45863</v>
      </c>
      <c r="G65" s="10">
        <v>211816.5</v>
      </c>
      <c r="H65">
        <v>8326.9032921810704</v>
      </c>
      <c r="I65">
        <f t="shared" si="16"/>
        <v>3.9311872739758565E-2</v>
      </c>
      <c r="J65">
        <v>1000</v>
      </c>
      <c r="K65">
        <f t="shared" ref="K65:K73" si="17">I65*J65</f>
        <v>39.311872739758563</v>
      </c>
    </row>
    <row r="66" spans="6:11" x14ac:dyDescent="0.2">
      <c r="F66" s="7">
        <v>45894</v>
      </c>
      <c r="G66" s="10">
        <v>208414.5</v>
      </c>
      <c r="H66">
        <v>8326.9032921810704</v>
      </c>
      <c r="I66">
        <f t="shared" si="16"/>
        <v>3.9953569891639354E-2</v>
      </c>
      <c r="J66">
        <v>1000</v>
      </c>
      <c r="K66">
        <f t="shared" si="17"/>
        <v>39.953569891639354</v>
      </c>
    </row>
    <row r="67" spans="6:11" x14ac:dyDescent="0.2">
      <c r="F67" s="7">
        <v>45925</v>
      </c>
      <c r="G67" s="10">
        <v>204928.5</v>
      </c>
      <c r="H67">
        <v>6237.1399176954737</v>
      </c>
      <c r="I67">
        <f t="shared" si="16"/>
        <v>3.0435688143403548E-2</v>
      </c>
      <c r="J67">
        <v>1000</v>
      </c>
      <c r="K67">
        <f t="shared" si="17"/>
        <v>30.435688143403549</v>
      </c>
    </row>
    <row r="68" spans="6:11" x14ac:dyDescent="0.2">
      <c r="F68" s="7">
        <v>45955</v>
      </c>
      <c r="G68" s="10">
        <v>201565</v>
      </c>
      <c r="H68">
        <v>5208.333333333333</v>
      </c>
      <c r="I68">
        <f t="shared" si="16"/>
        <v>2.5839472792068729E-2</v>
      </c>
      <c r="J68">
        <v>1000</v>
      </c>
      <c r="K68">
        <f t="shared" si="17"/>
        <v>25.839472792068729</v>
      </c>
    </row>
    <row r="69" spans="6:11" x14ac:dyDescent="0.2">
      <c r="F69" s="7">
        <v>45986</v>
      </c>
      <c r="G69" s="10">
        <v>198121</v>
      </c>
      <c r="H69">
        <v>6237.1399176954737</v>
      </c>
      <c r="I69">
        <f t="shared" si="16"/>
        <v>3.1481467980150883E-2</v>
      </c>
      <c r="J69">
        <v>1000</v>
      </c>
      <c r="K69">
        <f t="shared" si="17"/>
        <v>31.481467980150882</v>
      </c>
    </row>
    <row r="70" spans="6:11" x14ac:dyDescent="0.2">
      <c r="F70" s="7">
        <v>46016</v>
      </c>
      <c r="G70" s="10">
        <v>155050</v>
      </c>
      <c r="H70">
        <v>7298.0967078189306</v>
      </c>
      <c r="I70">
        <f t="shared" si="16"/>
        <v>4.7069311240367173E-2</v>
      </c>
      <c r="J70">
        <v>1000</v>
      </c>
      <c r="K70">
        <f t="shared" si="17"/>
        <v>47.069311240367171</v>
      </c>
    </row>
    <row r="71" spans="6:11" x14ac:dyDescent="0.2">
      <c r="F71" s="7">
        <v>46047</v>
      </c>
      <c r="G71" s="10">
        <v>154700</v>
      </c>
      <c r="H71">
        <v>3632.9732510288068</v>
      </c>
      <c r="I71">
        <f t="shared" si="16"/>
        <v>2.3483989987257963E-2</v>
      </c>
      <c r="J71">
        <v>1000</v>
      </c>
      <c r="K71">
        <f t="shared" si="17"/>
        <v>23.483989987257964</v>
      </c>
    </row>
    <row r="72" spans="6:11" x14ac:dyDescent="0.2">
      <c r="F72" s="7">
        <v>46078</v>
      </c>
      <c r="G72" s="10">
        <v>133350</v>
      </c>
      <c r="H72">
        <v>5722.7366255144034</v>
      </c>
      <c r="I72">
        <f t="shared" si="16"/>
        <v>4.2915160296320982E-2</v>
      </c>
      <c r="J72">
        <v>1000</v>
      </c>
      <c r="K72">
        <f t="shared" si="17"/>
        <v>42.915160296320984</v>
      </c>
    </row>
    <row r="73" spans="6:11" x14ac:dyDescent="0.2">
      <c r="F73" s="7">
        <v>46106</v>
      </c>
      <c r="G73" s="10">
        <v>132650</v>
      </c>
      <c r="H73">
        <v>5208.333333333333</v>
      </c>
      <c r="I73">
        <f t="shared" si="16"/>
        <v>3.9263726598818945E-2</v>
      </c>
      <c r="J73">
        <v>1000</v>
      </c>
      <c r="K73">
        <f t="shared" si="17"/>
        <v>39.263726598818941</v>
      </c>
    </row>
    <row r="76" spans="6:11" x14ac:dyDescent="0.2">
      <c r="F76" s="7">
        <v>45833</v>
      </c>
      <c r="G76">
        <f>K64</f>
        <v>53.426836124934098</v>
      </c>
    </row>
    <row r="77" spans="6:11" x14ac:dyDescent="0.2">
      <c r="F77" s="7">
        <v>45863</v>
      </c>
      <c r="G77">
        <f t="shared" ref="G77:G85" si="18">K65</f>
        <v>39.311872739758563</v>
      </c>
    </row>
    <row r="78" spans="6:11" x14ac:dyDescent="0.2">
      <c r="F78" s="7">
        <v>45894</v>
      </c>
      <c r="G78">
        <f t="shared" si="18"/>
        <v>39.953569891639354</v>
      </c>
    </row>
    <row r="79" spans="6:11" x14ac:dyDescent="0.2">
      <c r="F79" s="7">
        <v>45925</v>
      </c>
      <c r="G79">
        <f t="shared" si="18"/>
        <v>30.435688143403549</v>
      </c>
    </row>
    <row r="80" spans="6:11" x14ac:dyDescent="0.2">
      <c r="F80" s="7">
        <v>45955</v>
      </c>
      <c r="G80">
        <f t="shared" si="18"/>
        <v>25.839472792068729</v>
      </c>
    </row>
    <row r="81" spans="6:7" x14ac:dyDescent="0.2">
      <c r="F81" s="7">
        <v>45986</v>
      </c>
      <c r="G81">
        <f t="shared" si="18"/>
        <v>31.481467980150882</v>
      </c>
    </row>
    <row r="82" spans="6:7" x14ac:dyDescent="0.2">
      <c r="F82" s="7">
        <v>46016</v>
      </c>
      <c r="G82">
        <f t="shared" si="18"/>
        <v>47.069311240367171</v>
      </c>
    </row>
    <row r="83" spans="6:7" x14ac:dyDescent="0.2">
      <c r="F83" s="7">
        <v>46047</v>
      </c>
      <c r="G83">
        <f t="shared" si="18"/>
        <v>23.483989987257964</v>
      </c>
    </row>
    <row r="84" spans="6:7" x14ac:dyDescent="0.2">
      <c r="F84" s="7">
        <v>46078</v>
      </c>
      <c r="G84">
        <f t="shared" si="18"/>
        <v>42.915160296320984</v>
      </c>
    </row>
    <row r="85" spans="6:7" x14ac:dyDescent="0.2">
      <c r="F85" s="7">
        <v>46106</v>
      </c>
      <c r="G85">
        <f t="shared" si="18"/>
        <v>39.263726598818941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F181-D253-994B-B671-19E2727FB41B}">
  <dimension ref="B1:T92"/>
  <sheetViews>
    <sheetView topLeftCell="A9" zoomScaleNormal="100" workbookViewId="0">
      <selection activeCell="L44" sqref="L44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2" t="s">
        <v>58</v>
      </c>
      <c r="I2">
        <v>1316511.5530000001</v>
      </c>
      <c r="J2">
        <v>765195</v>
      </c>
    </row>
    <row r="3" spans="2:13" x14ac:dyDescent="0.2">
      <c r="H3" s="22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2483.1669423159556</v>
      </c>
      <c r="H9">
        <f>C9*E9*F9</f>
        <v>232380</v>
      </c>
      <c r="I9">
        <f>D9*E9*G9</f>
        <v>108996.8553735357</v>
      </c>
      <c r="J9">
        <f>H9+I9</f>
        <v>341376.85537353571</v>
      </c>
      <c r="K9" s="7">
        <v>45772</v>
      </c>
      <c r="L9">
        <f>I9</f>
        <v>108996.8553735357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0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108996.8553735357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2545.222790928924</v>
      </c>
      <c r="H11">
        <f t="shared" si="0"/>
        <v>246813</v>
      </c>
      <c r="I11">
        <f t="shared" si="1"/>
        <v>115693.66673321562</v>
      </c>
      <c r="J11">
        <f t="shared" si="2"/>
        <v>362506.66673321562</v>
      </c>
      <c r="K11" s="7">
        <v>45833</v>
      </c>
      <c r="L11">
        <f t="shared" ref="L11:L20" si="4">L10+I11</f>
        <v>224690.52210675133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1371.7405698790662</v>
      </c>
      <c r="H12">
        <f t="shared" si="0"/>
        <v>246813</v>
      </c>
      <c r="I12">
        <f t="shared" si="1"/>
        <v>41568.514657243817</v>
      </c>
      <c r="J12">
        <f t="shared" si="2"/>
        <v>288381.5146572438</v>
      </c>
      <c r="K12" s="7">
        <v>45863</v>
      </c>
      <c r="L12">
        <f t="shared" si="4"/>
        <v>266259.03676399513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1371.7405698790662</v>
      </c>
      <c r="H13">
        <f t="shared" si="0"/>
        <v>246813</v>
      </c>
      <c r="I13">
        <f t="shared" si="1"/>
        <v>41568.514657243817</v>
      </c>
      <c r="J13">
        <f t="shared" si="2"/>
        <v>288381.5146572438</v>
      </c>
      <c r="K13" s="7">
        <v>45894</v>
      </c>
      <c r="L13">
        <f t="shared" si="4"/>
        <v>307827.55142123892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0</v>
      </c>
      <c r="H14">
        <f t="shared" si="0"/>
        <v>246813</v>
      </c>
      <c r="I14">
        <f t="shared" si="1"/>
        <v>0</v>
      </c>
      <c r="J14">
        <f t="shared" si="2"/>
        <v>246813</v>
      </c>
      <c r="K14" s="7">
        <v>45925</v>
      </c>
      <c r="L14">
        <f t="shared" si="4"/>
        <v>307827.55142123892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4045.6197993210399</v>
      </c>
      <c r="H15">
        <f t="shared" si="0"/>
        <v>148088</v>
      </c>
      <c r="I15">
        <f t="shared" si="1"/>
        <v>216681.9452972213</v>
      </c>
      <c r="J15">
        <f t="shared" si="2"/>
        <v>364769.9452972213</v>
      </c>
      <c r="K15" s="7">
        <v>45955</v>
      </c>
      <c r="L15">
        <f t="shared" si="4"/>
        <v>524509.49671846023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2402.5977708842929</v>
      </c>
      <c r="H16">
        <f t="shared" si="0"/>
        <v>148088.00000000003</v>
      </c>
      <c r="I16">
        <f t="shared" si="1"/>
        <v>128568.65599005947</v>
      </c>
      <c r="J16">
        <f t="shared" si="2"/>
        <v>276656.65599005949</v>
      </c>
      <c r="K16" s="7">
        <v>45986</v>
      </c>
      <c r="L16">
        <f t="shared" si="4"/>
        <v>653078.15270851972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1957.8353942526392</v>
      </c>
      <c r="H17">
        <f t="shared" si="0"/>
        <v>148088.00000000003</v>
      </c>
      <c r="I17">
        <f t="shared" si="1"/>
        <v>139690.69560277648</v>
      </c>
      <c r="J17">
        <f t="shared" si="2"/>
        <v>287778.69560277648</v>
      </c>
      <c r="K17" s="7">
        <v>46016</v>
      </c>
      <c r="L17">
        <f t="shared" si="4"/>
        <v>792768.8483112962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384.25882680588074</v>
      </c>
      <c r="H18">
        <f t="shared" si="0"/>
        <v>148088.00000000003</v>
      </c>
      <c r="I18">
        <f t="shared" si="1"/>
        <v>3427.052604850729</v>
      </c>
      <c r="J18">
        <f t="shared" si="2"/>
        <v>151515.05260485076</v>
      </c>
      <c r="K18" s="7">
        <v>46047</v>
      </c>
      <c r="L18">
        <f t="shared" si="4"/>
        <v>796195.90091614693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1188.9143226231608</v>
      </c>
      <c r="H19">
        <f t="shared" si="0"/>
        <v>148088.00000000003</v>
      </c>
      <c r="I19">
        <f t="shared" si="1"/>
        <v>53017.714351968039</v>
      </c>
      <c r="J19">
        <f t="shared" si="2"/>
        <v>201105.71435196808</v>
      </c>
      <c r="K19" s="7">
        <v>46078</v>
      </c>
      <c r="L19">
        <f t="shared" si="4"/>
        <v>849213.61526811495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1166.5803075057843</v>
      </c>
      <c r="H20">
        <f t="shared" si="0"/>
        <v>148088.00000000003</v>
      </c>
      <c r="I20">
        <f t="shared" si="1"/>
        <v>41617.496320264065</v>
      </c>
      <c r="J20">
        <f t="shared" si="2"/>
        <v>189705.49632026409</v>
      </c>
      <c r="K20" s="7">
        <v>46106</v>
      </c>
      <c r="L20">
        <f t="shared" si="4"/>
        <v>890831.11158837902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18917.677294395813</v>
      </c>
      <c r="H21" s="9">
        <f>SUM(H9:H20)</f>
        <v>2348425</v>
      </c>
      <c r="I21" s="9">
        <f>SUM(I9:I20)</f>
        <v>890831.11158837902</v>
      </c>
      <c r="J21" s="9">
        <f>SUM(J9:J20)</f>
        <v>3239256.1115883789</v>
      </c>
    </row>
    <row r="22" spans="2:13" x14ac:dyDescent="0.2">
      <c r="I22">
        <f>I21/G21</f>
        <v>47.08987777544337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0" spans="2:20" x14ac:dyDescent="0.2">
      <c r="F40" t="s">
        <v>59</v>
      </c>
    </row>
    <row r="41" spans="2:20" x14ac:dyDescent="0.2">
      <c r="D41" t="s">
        <v>61</v>
      </c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D42">
        <v>1242</v>
      </c>
      <c r="E42" s="7">
        <v>45772</v>
      </c>
      <c r="F42">
        <v>5195.1035206425595</v>
      </c>
      <c r="G42">
        <v>7369.9982180361203</v>
      </c>
      <c r="H42">
        <f>G42-F42+D42</f>
        <v>3416.8946973935608</v>
      </c>
      <c r="I42">
        <v>0.05</v>
      </c>
      <c r="J42">
        <f t="shared" ref="J42:J53" si="9">H42*I42*K42</f>
        <v>4271.1183717419517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v>5907.1382972953343</v>
      </c>
      <c r="G43">
        <v>3813.8171728011271</v>
      </c>
      <c r="H43">
        <f>H42+G43-F43</f>
        <v>1323.5735728993532</v>
      </c>
      <c r="I43">
        <v>0.05</v>
      </c>
      <c r="J43">
        <f t="shared" si="9"/>
        <v>1654.4669661241915</v>
      </c>
      <c r="K43">
        <v>25</v>
      </c>
      <c r="N43">
        <v>240264.99999999997</v>
      </c>
      <c r="O43">
        <f t="shared" ref="O43:O53" si="10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v>5625.7573205650187</v>
      </c>
      <c r="G44">
        <v>7432.0540666490888</v>
      </c>
      <c r="H44">
        <f t="shared" ref="H44:H53" si="11">H43+G44-F44</f>
        <v>3129.8703189834232</v>
      </c>
      <c r="I44">
        <v>0.05</v>
      </c>
      <c r="J44">
        <f t="shared" si="9"/>
        <v>3912.3378987292795</v>
      </c>
      <c r="K44">
        <v>25</v>
      </c>
      <c r="N44">
        <v>474790.57894736843</v>
      </c>
      <c r="O44">
        <f t="shared" si="10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2">N44+S43</f>
        <v>1161939.5789473685</v>
      </c>
      <c r="T44">
        <f t="shared" si="12"/>
        <v>1372327.4382430147</v>
      </c>
    </row>
    <row r="45" spans="2:20" x14ac:dyDescent="0.2">
      <c r="E45" s="7">
        <v>45863</v>
      </c>
      <c r="F45">
        <v>6433.9826158977739</v>
      </c>
      <c r="G45">
        <f t="shared" ref="G45:G53" si="13">SUM(F28:G28)</f>
        <v>11886.831275720164</v>
      </c>
      <c r="H45">
        <f t="shared" si="11"/>
        <v>8582.7189788058131</v>
      </c>
      <c r="I45">
        <v>0.05</v>
      </c>
      <c r="J45">
        <f t="shared" si="9"/>
        <v>10728.398723507267</v>
      </c>
      <c r="K45">
        <v>25</v>
      </c>
      <c r="N45">
        <v>351059.15789473685</v>
      </c>
      <c r="O45">
        <f t="shared" si="10"/>
        <v>477018.32306021225</v>
      </c>
      <c r="P45">
        <v>18080.954218106992</v>
      </c>
      <c r="Q45">
        <v>458937.36884210526</v>
      </c>
      <c r="R45" s="7">
        <v>45863</v>
      </c>
      <c r="S45">
        <f t="shared" si="12"/>
        <v>1512998.7368421054</v>
      </c>
      <c r="T45">
        <f t="shared" si="12"/>
        <v>1849345.7613032269</v>
      </c>
    </row>
    <row r="46" spans="2:20" x14ac:dyDescent="0.2">
      <c r="E46" s="7">
        <v>45894</v>
      </c>
      <c r="F46">
        <v>6493.9081133646077</v>
      </c>
      <c r="G46">
        <f t="shared" si="13"/>
        <v>11544.753086419725</v>
      </c>
      <c r="H46">
        <f t="shared" si="11"/>
        <v>13633.563951860931</v>
      </c>
      <c r="I46">
        <v>0.05</v>
      </c>
      <c r="J46">
        <f t="shared" si="9"/>
        <v>17041.954939826166</v>
      </c>
      <c r="K46">
        <v>25</v>
      </c>
      <c r="N46">
        <v>351059.15789473685</v>
      </c>
      <c r="O46">
        <f t="shared" si="10"/>
        <v>470674.47530300973</v>
      </c>
      <c r="P46">
        <v>22103.26646090531</v>
      </c>
      <c r="Q46">
        <v>448571.20884210442</v>
      </c>
      <c r="R46" s="7">
        <v>45894</v>
      </c>
      <c r="S46">
        <f t="shared" si="12"/>
        <v>1864057.8947368423</v>
      </c>
      <c r="T46">
        <f t="shared" si="12"/>
        <v>2320020.2366062365</v>
      </c>
    </row>
    <row r="47" spans="2:20" x14ac:dyDescent="0.2">
      <c r="E47" s="7">
        <v>45925</v>
      </c>
      <c r="F47">
        <v>6071.2326312903115</v>
      </c>
      <c r="G47">
        <f t="shared" si="13"/>
        <v>8166.1499588477345</v>
      </c>
      <c r="H47">
        <f t="shared" si="11"/>
        <v>15728.481279418354</v>
      </c>
      <c r="I47">
        <v>0.05</v>
      </c>
      <c r="J47">
        <f t="shared" si="9"/>
        <v>19660.601599272944</v>
      </c>
      <c r="K47">
        <v>25</v>
      </c>
      <c r="N47">
        <v>260452.77631578947</v>
      </c>
      <c r="O47">
        <f t="shared" si="10"/>
        <v>304452.67678642564</v>
      </c>
      <c r="P47">
        <v>24514.529012345633</v>
      </c>
      <c r="Q47">
        <v>279938.14777407999</v>
      </c>
      <c r="R47" s="7">
        <v>45925</v>
      </c>
      <c r="S47">
        <f t="shared" si="12"/>
        <v>2124510.6710526319</v>
      </c>
      <c r="T47">
        <f t="shared" si="12"/>
        <v>2624472.9133926621</v>
      </c>
    </row>
    <row r="48" spans="2:20" x14ac:dyDescent="0.2">
      <c r="E48" s="7">
        <v>45955</v>
      </c>
      <c r="F48">
        <v>6403.8158313631438</v>
      </c>
      <c r="G48">
        <f t="shared" si="13"/>
        <v>2764.9176954732511</v>
      </c>
      <c r="H48">
        <f t="shared" si="11"/>
        <v>12089.583143528464</v>
      </c>
      <c r="I48">
        <v>0.05</v>
      </c>
      <c r="J48">
        <f t="shared" si="9"/>
        <v>15111.978929410579</v>
      </c>
      <c r="K48">
        <v>25</v>
      </c>
      <c r="N48">
        <v>278956.46511627908</v>
      </c>
      <c r="O48">
        <f t="shared" si="10"/>
        <v>169548.25946502053</v>
      </c>
      <c r="P48">
        <v>21460.259465020532</v>
      </c>
      <c r="Q48">
        <v>148088</v>
      </c>
      <c r="R48" s="7">
        <v>45955</v>
      </c>
      <c r="S48">
        <f t="shared" si="12"/>
        <v>2403467.1361689111</v>
      </c>
      <c r="T48">
        <f t="shared" si="12"/>
        <v>2794021.1728576827</v>
      </c>
    </row>
    <row r="49" spans="4:20" x14ac:dyDescent="0.2">
      <c r="E49" s="7">
        <v>45986</v>
      </c>
      <c r="F49">
        <v>6026.4848889003415</v>
      </c>
      <c r="G49">
        <f t="shared" si="13"/>
        <v>2767.3611111111113</v>
      </c>
      <c r="H49">
        <f t="shared" si="11"/>
        <v>8830.4593657392325</v>
      </c>
      <c r="I49">
        <v>0.05</v>
      </c>
      <c r="J49">
        <f t="shared" si="9"/>
        <v>11038.074207174041</v>
      </c>
      <c r="K49">
        <v>25</v>
      </c>
      <c r="N49">
        <v>333764.02249175153</v>
      </c>
      <c r="O49">
        <f t="shared" si="10"/>
        <v>165211.03595679012</v>
      </c>
      <c r="P49">
        <v>17123.035956790081</v>
      </c>
      <c r="Q49">
        <v>148088.00000000003</v>
      </c>
      <c r="R49" s="7">
        <v>45986</v>
      </c>
      <c r="S49">
        <f t="shared" si="12"/>
        <v>2737231.1586606628</v>
      </c>
      <c r="T49">
        <f t="shared" si="12"/>
        <v>2959232.2088144729</v>
      </c>
    </row>
    <row r="50" spans="4:20" x14ac:dyDescent="0.2">
      <c r="E50" s="7">
        <v>46016</v>
      </c>
      <c r="F50">
        <v>4479.7985738060161</v>
      </c>
      <c r="G50">
        <f t="shared" si="13"/>
        <v>2767.3611111111113</v>
      </c>
      <c r="H50">
        <f t="shared" si="11"/>
        <v>7118.0219030443277</v>
      </c>
      <c r="I50">
        <v>0.05</v>
      </c>
      <c r="J50">
        <f t="shared" si="9"/>
        <v>8897.5273788054092</v>
      </c>
      <c r="K50">
        <v>25</v>
      </c>
      <c r="N50">
        <v>471353.99516706169</v>
      </c>
      <c r="O50">
        <f t="shared" si="10"/>
        <v>159547.61646090532</v>
      </c>
      <c r="P50">
        <v>11459.616460905305</v>
      </c>
      <c r="Q50">
        <v>148088.00000000003</v>
      </c>
      <c r="R50" s="7">
        <v>46016</v>
      </c>
      <c r="S50">
        <f t="shared" si="12"/>
        <v>3208585.1538277245</v>
      </c>
      <c r="T50">
        <f t="shared" si="12"/>
        <v>3118779.8252753783</v>
      </c>
    </row>
    <row r="51" spans="4:20" x14ac:dyDescent="0.2">
      <c r="E51" s="7">
        <v>46047</v>
      </c>
      <c r="F51">
        <v>4284.164832400751</v>
      </c>
      <c r="G51">
        <f t="shared" si="13"/>
        <v>2767.3611111111113</v>
      </c>
      <c r="H51">
        <f t="shared" si="11"/>
        <v>5601.218181754688</v>
      </c>
      <c r="I51">
        <v>0.05</v>
      </c>
      <c r="J51">
        <f t="shared" si="9"/>
        <v>7001.52272719336</v>
      </c>
      <c r="K51">
        <v>25</v>
      </c>
      <c r="N51">
        <v>155808.05255820439</v>
      </c>
      <c r="O51">
        <f t="shared" si="10"/>
        <v>158465.60128600823</v>
      </c>
      <c r="P51">
        <v>10377.601286008185</v>
      </c>
      <c r="Q51">
        <v>148088.00000000003</v>
      </c>
      <c r="R51" s="7">
        <v>46047</v>
      </c>
      <c r="S51">
        <f t="shared" si="12"/>
        <v>3364393.2063859291</v>
      </c>
      <c r="T51">
        <f t="shared" si="12"/>
        <v>3277245.4265613863</v>
      </c>
    </row>
    <row r="52" spans="4:20" x14ac:dyDescent="0.2">
      <c r="E52" s="7">
        <v>46078</v>
      </c>
      <c r="F52">
        <v>3874.8158713185621</v>
      </c>
      <c r="G52">
        <f t="shared" si="13"/>
        <v>2767.3611111111113</v>
      </c>
      <c r="H52">
        <f t="shared" si="11"/>
        <v>4493.7634215472372</v>
      </c>
      <c r="I52">
        <v>0.05</v>
      </c>
      <c r="J52">
        <f t="shared" si="9"/>
        <v>5617.204276934046</v>
      </c>
      <c r="K52">
        <v>25</v>
      </c>
      <c r="N52">
        <v>279878.19870811841</v>
      </c>
      <c r="O52">
        <f t="shared" si="10"/>
        <v>154771.38189300409</v>
      </c>
      <c r="P52">
        <v>6683.3818930040688</v>
      </c>
      <c r="Q52">
        <v>148088.00000000003</v>
      </c>
      <c r="R52" s="7">
        <v>46078</v>
      </c>
      <c r="S52">
        <f t="shared" si="12"/>
        <v>3644271.4050940475</v>
      </c>
      <c r="T52">
        <f t="shared" si="12"/>
        <v>3432016.8084543906</v>
      </c>
    </row>
    <row r="53" spans="4:20" x14ac:dyDescent="0.2">
      <c r="E53" s="7">
        <v>46106</v>
      </c>
      <c r="F53">
        <v>3826.840185484803</v>
      </c>
      <c r="G53">
        <f t="shared" si="13"/>
        <v>2767.3611111111113</v>
      </c>
      <c r="H53">
        <f t="shared" si="11"/>
        <v>3434.2843471735455</v>
      </c>
      <c r="I53">
        <v>0.05</v>
      </c>
      <c r="J53">
        <f t="shared" si="9"/>
        <v>4292.8554339669317</v>
      </c>
      <c r="K53">
        <v>25</v>
      </c>
      <c r="N53">
        <v>235169.14805520704</v>
      </c>
      <c r="O53">
        <f t="shared" si="10"/>
        <v>151720.16661522634</v>
      </c>
      <c r="P53">
        <v>3632.1666152262928</v>
      </c>
      <c r="Q53">
        <v>148088.00000000003</v>
      </c>
      <c r="R53" s="7">
        <v>46106</v>
      </c>
      <c r="S53">
        <f t="shared" si="12"/>
        <v>3879440.5531492545</v>
      </c>
      <c r="T53">
        <f t="shared" si="12"/>
        <v>3583736.9750696169</v>
      </c>
    </row>
    <row r="54" spans="4:20" x14ac:dyDescent="0.2">
      <c r="I54" t="s">
        <v>42</v>
      </c>
      <c r="J54" s="9">
        <f>SUM(J42:J53)</f>
        <v>109228.04145268616</v>
      </c>
    </row>
    <row r="56" spans="4:20" x14ac:dyDescent="0.2">
      <c r="I56" t="s">
        <v>44</v>
      </c>
      <c r="J56">
        <f>SUM(J37+J54)</f>
        <v>3530107.365647818</v>
      </c>
    </row>
    <row r="58" spans="4:20" x14ac:dyDescent="0.2">
      <c r="I58" t="s">
        <v>46</v>
      </c>
      <c r="J58">
        <f>(J21-J56)/J21</f>
        <v>-8.9789520815882415E-2</v>
      </c>
    </row>
    <row r="62" spans="4:20" x14ac:dyDescent="0.2">
      <c r="F62" t="s">
        <v>60</v>
      </c>
    </row>
    <row r="63" spans="4:20" x14ac:dyDescent="0.2">
      <c r="F63" t="s">
        <v>39</v>
      </c>
      <c r="G63" t="s">
        <v>40</v>
      </c>
      <c r="H63" t="s">
        <v>41</v>
      </c>
      <c r="I63" t="s">
        <v>43</v>
      </c>
      <c r="J63" t="s">
        <v>42</v>
      </c>
      <c r="K63" t="s">
        <v>45</v>
      </c>
    </row>
    <row r="64" spans="4:20" x14ac:dyDescent="0.2">
      <c r="D64">
        <v>1242</v>
      </c>
      <c r="E64" s="7">
        <v>45772</v>
      </c>
      <c r="F64">
        <v>5195.1035206425595</v>
      </c>
      <c r="G64">
        <v>7369.9982180361203</v>
      </c>
      <c r="H64">
        <f>G64-F64+D64</f>
        <v>3416.8946973935608</v>
      </c>
      <c r="I64">
        <v>0.05</v>
      </c>
      <c r="J64">
        <f>H64*I64*K64</f>
        <v>4271.1183717419517</v>
      </c>
      <c r="K64">
        <v>25</v>
      </c>
    </row>
    <row r="65" spans="5:15" x14ac:dyDescent="0.2">
      <c r="E65" s="7">
        <v>45802</v>
      </c>
      <c r="F65">
        <v>5907.1382972953343</v>
      </c>
      <c r="G65">
        <v>3813.8171728011271</v>
      </c>
      <c r="H65">
        <f>H64+G65-F65</f>
        <v>1323.5735728993532</v>
      </c>
      <c r="I65">
        <v>0.05</v>
      </c>
      <c r="J65">
        <f t="shared" ref="J65:J75" si="14">H65*I65*K65</f>
        <v>1654.4669661241915</v>
      </c>
      <c r="K65">
        <v>25</v>
      </c>
    </row>
    <row r="66" spans="5:15" x14ac:dyDescent="0.2">
      <c r="E66" s="7">
        <v>45833</v>
      </c>
      <c r="F66">
        <v>5625.7573205650187</v>
      </c>
      <c r="G66">
        <v>7432.0540666490888</v>
      </c>
      <c r="H66">
        <f t="shared" ref="H66:H75" si="15">H65+G66-F66</f>
        <v>3129.8703189834232</v>
      </c>
      <c r="I66">
        <v>0.05</v>
      </c>
      <c r="J66">
        <f t="shared" si="14"/>
        <v>3912.3378987292795</v>
      </c>
      <c r="K66">
        <v>25</v>
      </c>
    </row>
    <row r="67" spans="5:15" x14ac:dyDescent="0.2">
      <c r="E67" s="7">
        <v>45863</v>
      </c>
      <c r="F67">
        <v>6433.9826158977739</v>
      </c>
      <c r="G67">
        <v>6258.571845599231</v>
      </c>
      <c r="H67">
        <f t="shared" si="15"/>
        <v>2954.4595486848812</v>
      </c>
      <c r="I67">
        <v>0.05</v>
      </c>
      <c r="J67">
        <f t="shared" si="14"/>
        <v>3693.0744358561014</v>
      </c>
      <c r="K67">
        <v>25</v>
      </c>
    </row>
    <row r="68" spans="5:15" x14ac:dyDescent="0.2">
      <c r="E68" s="7">
        <v>45894</v>
      </c>
      <c r="F68">
        <v>6493.9081133646077</v>
      </c>
      <c r="G68">
        <v>6258.571845599231</v>
      </c>
      <c r="H68">
        <f t="shared" si="15"/>
        <v>2719.1232809195053</v>
      </c>
      <c r="I68">
        <v>0.05</v>
      </c>
      <c r="J68">
        <f t="shared" si="14"/>
        <v>3398.9041011493819</v>
      </c>
      <c r="K68">
        <v>25</v>
      </c>
    </row>
    <row r="69" spans="5:15" x14ac:dyDescent="0.2">
      <c r="E69" s="7">
        <v>45925</v>
      </c>
      <c r="F69">
        <v>6071.2326312903115</v>
      </c>
      <c r="G69">
        <v>4778.7981416454531</v>
      </c>
      <c r="H69">
        <f t="shared" si="15"/>
        <v>1426.688791274647</v>
      </c>
      <c r="I69">
        <v>0.05</v>
      </c>
      <c r="J69">
        <f t="shared" si="14"/>
        <v>1783.3609890933087</v>
      </c>
      <c r="K69">
        <v>25</v>
      </c>
    </row>
    <row r="70" spans="5:15" x14ac:dyDescent="0.2">
      <c r="E70" s="7">
        <v>45955</v>
      </c>
      <c r="F70">
        <v>6403.8158313631438</v>
      </c>
      <c r="G70">
        <v>6810.537494794291</v>
      </c>
      <c r="H70">
        <f t="shared" si="15"/>
        <v>1833.4104547057932</v>
      </c>
      <c r="I70">
        <v>0.05</v>
      </c>
      <c r="J70">
        <f t="shared" si="14"/>
        <v>2291.7630683822417</v>
      </c>
      <c r="K70">
        <v>25</v>
      </c>
    </row>
    <row r="71" spans="5:15" x14ac:dyDescent="0.2">
      <c r="E71" s="7">
        <v>45986</v>
      </c>
      <c r="F71">
        <v>6026.4848889003415</v>
      </c>
      <c r="G71">
        <v>5169.9588819954042</v>
      </c>
      <c r="H71">
        <f t="shared" si="15"/>
        <v>976.88444780085592</v>
      </c>
      <c r="I71">
        <v>0.05</v>
      </c>
      <c r="J71">
        <f t="shared" si="14"/>
        <v>1221.1055597510701</v>
      </c>
      <c r="K71">
        <v>25</v>
      </c>
    </row>
    <row r="72" spans="5:15" x14ac:dyDescent="0.2">
      <c r="E72" s="7">
        <v>46016</v>
      </c>
      <c r="F72">
        <v>4479.7985738060161</v>
      </c>
      <c r="G72">
        <v>4725.1965053637505</v>
      </c>
      <c r="H72">
        <f t="shared" si="15"/>
        <v>1222.2823793585903</v>
      </c>
      <c r="I72">
        <v>0.05</v>
      </c>
      <c r="J72">
        <f t="shared" si="14"/>
        <v>1527.8529741982379</v>
      </c>
      <c r="K72">
        <v>25</v>
      </c>
    </row>
    <row r="73" spans="5:15" x14ac:dyDescent="0.2">
      <c r="E73" s="7">
        <v>46047</v>
      </c>
      <c r="F73">
        <v>4284.164832400751</v>
      </c>
      <c r="G73">
        <v>3151.6199379169921</v>
      </c>
      <c r="H73">
        <f t="shared" si="15"/>
        <v>89.737484874831352</v>
      </c>
      <c r="I73">
        <v>0.05</v>
      </c>
      <c r="J73">
        <f t="shared" si="14"/>
        <v>112.17185609353919</v>
      </c>
      <c r="K73">
        <v>25</v>
      </c>
    </row>
    <row r="74" spans="5:15" x14ac:dyDescent="0.2">
      <c r="E74" s="7">
        <v>46078</v>
      </c>
      <c r="F74">
        <v>3874.8158713185621</v>
      </c>
      <c r="G74">
        <v>3956.2754337342722</v>
      </c>
      <c r="H74">
        <f t="shared" si="15"/>
        <v>171.19704729054138</v>
      </c>
      <c r="I74">
        <v>0.05</v>
      </c>
      <c r="J74">
        <f t="shared" si="14"/>
        <v>213.99630911317672</v>
      </c>
      <c r="K74">
        <v>25</v>
      </c>
      <c r="L74" s="8"/>
      <c r="M74" s="8" t="s">
        <v>33</v>
      </c>
      <c r="N74" s="8" t="s">
        <v>34</v>
      </c>
      <c r="O74" s="8" t="s">
        <v>46</v>
      </c>
    </row>
    <row r="75" spans="5:15" x14ac:dyDescent="0.2">
      <c r="E75" s="7">
        <v>46106</v>
      </c>
      <c r="F75">
        <v>3826.840185484803</v>
      </c>
      <c r="G75">
        <v>3933.9414186168956</v>
      </c>
      <c r="H75">
        <f t="shared" si="15"/>
        <v>278.29828042263443</v>
      </c>
      <c r="I75">
        <v>0.05</v>
      </c>
      <c r="J75">
        <f t="shared" si="14"/>
        <v>347.87285052829304</v>
      </c>
      <c r="K75">
        <v>25</v>
      </c>
      <c r="L75" s="8" t="s">
        <v>55</v>
      </c>
      <c r="M75" s="8">
        <v>890831.11158837902</v>
      </c>
      <c r="N75" s="8">
        <v>659262.465350062</v>
      </c>
      <c r="O75" s="8">
        <f>100*(M75-N75)/M75</f>
        <v>25.994674324454504</v>
      </c>
    </row>
    <row r="76" spans="5:15" x14ac:dyDescent="0.2">
      <c r="I76" t="s">
        <v>42</v>
      </c>
      <c r="J76" s="9">
        <f>SUM(J64:J75)</f>
        <v>24428.025380760777</v>
      </c>
      <c r="L76" s="8" t="s">
        <v>21</v>
      </c>
      <c r="M76" s="8">
        <v>2348425</v>
      </c>
      <c r="N76" s="8">
        <v>2348425</v>
      </c>
      <c r="O76" s="8">
        <f t="shared" ref="O76:O77" si="16">100*(M76-N76)/M76</f>
        <v>0</v>
      </c>
    </row>
    <row r="77" spans="5:15" x14ac:dyDescent="0.2">
      <c r="L77" s="8" t="s">
        <v>42</v>
      </c>
      <c r="M77" s="8">
        <v>24428.025380760777</v>
      </c>
      <c r="N77" s="11">
        <f>J54</f>
        <v>109228.04145268616</v>
      </c>
      <c r="O77" s="8">
        <f t="shared" si="16"/>
        <v>-347.14232833044645</v>
      </c>
    </row>
    <row r="78" spans="5:15" x14ac:dyDescent="0.2">
      <c r="I78" t="s">
        <v>62</v>
      </c>
      <c r="J78">
        <f>J76+J21</f>
        <v>3263684.1369691398</v>
      </c>
      <c r="L78" s="8" t="s">
        <v>29</v>
      </c>
      <c r="M78" s="8">
        <f>SUM(M75:M77)</f>
        <v>3263684.1369691398</v>
      </c>
      <c r="N78" s="8">
        <f>SUM(N75:N77)</f>
        <v>3116915.5068027484</v>
      </c>
      <c r="O78" s="8">
        <f t="shared" ref="O78" si="17">100*(M78-N78)/M78</f>
        <v>4.4970231188698877</v>
      </c>
    </row>
    <row r="80" spans="5:15" x14ac:dyDescent="0.2">
      <c r="M80" t="s">
        <v>33</v>
      </c>
      <c r="N80" t="s">
        <v>34</v>
      </c>
    </row>
    <row r="81" spans="12:16" x14ac:dyDescent="0.2">
      <c r="L81" s="8" t="s">
        <v>74</v>
      </c>
      <c r="M81">
        <f>SUM(M75:M76)</f>
        <v>3239256.1115883789</v>
      </c>
      <c r="N81">
        <f>SUM(N75:N76)</f>
        <v>3007687.4653500621</v>
      </c>
      <c r="O81">
        <f>100*(M81-N81)/M81</f>
        <v>7.1488217745390443</v>
      </c>
      <c r="P81">
        <f>M81-N81</f>
        <v>231568.64623831678</v>
      </c>
    </row>
    <row r="82" spans="12:16" x14ac:dyDescent="0.2">
      <c r="L82" s="8" t="s">
        <v>42</v>
      </c>
      <c r="M82">
        <f>100*M77/M81</f>
        <v>0.75412454400780371</v>
      </c>
      <c r="N82">
        <f>ABS(O77)*M82</f>
        <v>261.78855005800523</v>
      </c>
    </row>
    <row r="86" spans="12:16" x14ac:dyDescent="0.2">
      <c r="M86" t="s">
        <v>33</v>
      </c>
      <c r="N86" t="s">
        <v>34</v>
      </c>
    </row>
    <row r="87" spans="12:16" x14ac:dyDescent="0.2">
      <c r="L87" t="s">
        <v>50</v>
      </c>
      <c r="M87">
        <v>3276</v>
      </c>
      <c r="N87">
        <f>M87*(100-O81)/100</f>
        <v>3041.8045986661004</v>
      </c>
      <c r="O87">
        <f>M87-N87</f>
        <v>234.19540133389955</v>
      </c>
    </row>
    <row r="88" spans="12:16" x14ac:dyDescent="0.2">
      <c r="L88" t="s">
        <v>57</v>
      </c>
      <c r="M88">
        <f>M87*M82/100</f>
        <v>24.705120061695649</v>
      </c>
      <c r="N88">
        <f>M88*(100+ABS(O77))/100</f>
        <v>110.46704906069816</v>
      </c>
      <c r="O88">
        <f>M88-N88</f>
        <v>-85.761928999002507</v>
      </c>
    </row>
    <row r="89" spans="12:16" x14ac:dyDescent="0.2">
      <c r="L89" t="s">
        <v>75</v>
      </c>
      <c r="M89">
        <v>0</v>
      </c>
      <c r="N89">
        <v>0</v>
      </c>
    </row>
    <row r="90" spans="12:16" x14ac:dyDescent="0.2">
      <c r="M90">
        <f>SUM(M87:M88)</f>
        <v>3300.7051200616957</v>
      </c>
      <c r="N90">
        <f>SUM(N87:N88)</f>
        <v>3152.2716477267986</v>
      </c>
      <c r="O90">
        <f>SUM(O87:O89)</f>
        <v>148.43347233489703</v>
      </c>
    </row>
    <row r="92" spans="12:16" x14ac:dyDescent="0.2">
      <c r="M92">
        <f>M90-N90</f>
        <v>148.43347233489703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9EF5-E5D7-1E46-A94E-F3C5D2281BB2}">
  <dimension ref="B2:U220"/>
  <sheetViews>
    <sheetView topLeftCell="A26" zoomScaleNormal="100" workbookViewId="0">
      <selection activeCell="I64" sqref="I64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J15" si="2">F5*H5</f>
        <v>7724.5691872427979</v>
      </c>
      <c r="K5">
        <f t="shared" ref="K5:K15" si="3">G5*I5</f>
        <v>0</v>
      </c>
      <c r="L5">
        <f t="shared" ref="L5:L16" si="4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3"/>
        <v>14069.511245706859</v>
      </c>
      <c r="L6">
        <f t="shared" si="4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3"/>
        <v>7152.7869457594607</v>
      </c>
      <c r="L7">
        <f t="shared" si="4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3"/>
        <v>7152.7869457594607</v>
      </c>
      <c r="L8">
        <f t="shared" si="4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3"/>
        <v>1447.123716312386</v>
      </c>
      <c r="L9">
        <f t="shared" si="4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3"/>
        <v>18161.313612033959</v>
      </c>
      <c r="L10">
        <f t="shared" si="4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3"/>
        <v>12639.892311851394</v>
      </c>
      <c r="L11">
        <f t="shared" si="4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3"/>
        <v>14821.390134097073</v>
      </c>
      <c r="L12">
        <f t="shared" si="4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3"/>
        <v>976.06520967627716</v>
      </c>
      <c r="L13">
        <f t="shared" si="4"/>
        <v>5737.1248804581701</v>
      </c>
      <c r="O13" t="s">
        <v>22</v>
      </c>
      <c r="P13">
        <f>K16</f>
        <v>102620.3682074003</v>
      </c>
      <c r="Q13">
        <f>K34</f>
        <v>85276.177865653677</v>
      </c>
      <c r="R13">
        <f t="shared" ref="R13:R16" si="5">100*(P13- Q13)/P13</f>
        <v>16.901313691150715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3"/>
        <v>7133.3015392635671</v>
      </c>
      <c r="L14">
        <f t="shared" si="4"/>
        <v>11894.361210045459</v>
      </c>
      <c r="O14" t="s">
        <v>42</v>
      </c>
      <c r="P14">
        <f>L51</f>
        <v>1975.7142857142853</v>
      </c>
      <c r="Q14">
        <f>M51</f>
        <v>6454.4991666666583</v>
      </c>
      <c r="R14">
        <f t="shared" si="5"/>
        <v>-226.69193179079261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3"/>
        <v>5641.1127046179927</v>
      </c>
      <c r="L15">
        <f t="shared" si="4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4"/>
        <v>178126.92262050201</v>
      </c>
      <c r="O16" s="9" t="s">
        <v>29</v>
      </c>
      <c r="P16">
        <f>SUM(P12:P15)</f>
        <v>180102.6369062163</v>
      </c>
      <c r="Q16">
        <f>SUM(Q12:Q15)</f>
        <v>167237.23144542205</v>
      </c>
      <c r="R16">
        <f t="shared" si="5"/>
        <v>7.1433742902351689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160782.7322787554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8">
        <f>E22-H22</f>
        <v>9513.1687242798362</v>
      </c>
      <c r="J22">
        <f>F22*H22</f>
        <v>7471.0648148148148</v>
      </c>
      <c r="K22">
        <f>G22*I22</f>
        <v>13425.083842321856</v>
      </c>
      <c r="L22">
        <f>SUM(J22:K22)</f>
        <v>20896.148657136669</v>
      </c>
      <c r="M22" s="16">
        <f>SUM(H22:I22)</f>
        <v>14400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 s="18">
        <f t="shared" ref="I23:I25" si="7">E23-H23</f>
        <v>2570.3115814226921</v>
      </c>
      <c r="J23">
        <f t="shared" ref="J23:J33" si="8">F23*H23</f>
        <v>7724.5691872427979</v>
      </c>
      <c r="K23">
        <f t="shared" ref="K23:K33" si="9">G23*I23</f>
        <v>0</v>
      </c>
      <c r="L23">
        <f t="shared" ref="L23:L34" si="10">SUM(J23:K23)</f>
        <v>7724.5691872427979</v>
      </c>
      <c r="M23" s="16">
        <f t="shared" ref="M23:M33" si="11">SUM(H23:I23)</f>
        <v>7457.1428571428569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 s="18">
        <f t="shared" si="7"/>
        <v>9627.4544385655499</v>
      </c>
      <c r="J24">
        <f t="shared" si="8"/>
        <v>7935.0887345679021</v>
      </c>
      <c r="K24">
        <f t="shared" si="9"/>
        <v>14069.511245706859</v>
      </c>
      <c r="L24">
        <f t="shared" si="10"/>
        <v>22004.599980274761</v>
      </c>
      <c r="M24" s="16">
        <f t="shared" si="11"/>
        <v>14514.285714285714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 s="18">
        <f t="shared" si="7"/>
        <v>7341.7401528512646</v>
      </c>
      <c r="J25">
        <f t="shared" si="8"/>
        <v>7935.0887345679021</v>
      </c>
      <c r="K25">
        <f t="shared" si="9"/>
        <v>7152.7869457594607</v>
      </c>
      <c r="L25">
        <f t="shared" si="10"/>
        <v>15087.875680327363</v>
      </c>
      <c r="M25" s="16">
        <f t="shared" si="11"/>
        <v>12228.571428571429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 s="18">
        <v>15000</v>
      </c>
      <c r="J26">
        <f t="shared" si="8"/>
        <v>7935.0887345679021</v>
      </c>
      <c r="K26">
        <f t="shared" si="9"/>
        <v>14613.947368421052</v>
      </c>
      <c r="L26">
        <f t="shared" si="10"/>
        <v>22549.036102988954</v>
      </c>
      <c r="M26" s="16">
        <f t="shared" si="11"/>
        <v>19886.831275720164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 s="18">
        <v>15000</v>
      </c>
      <c r="J27">
        <f t="shared" si="8"/>
        <v>7935.0887345679021</v>
      </c>
      <c r="K27">
        <f t="shared" si="9"/>
        <v>4871.3486842105267</v>
      </c>
      <c r="L27">
        <f t="shared" si="10"/>
        <v>12806.437418778429</v>
      </c>
      <c r="M27" s="16">
        <f t="shared" si="11"/>
        <v>19886.831275720164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 s="18">
        <v>15000</v>
      </c>
      <c r="J28">
        <f t="shared" si="8"/>
        <v>4765.2671188630493</v>
      </c>
      <c r="K28">
        <f t="shared" si="9"/>
        <v>25829.302325581397</v>
      </c>
      <c r="L28">
        <f t="shared" si="10"/>
        <v>30594.569444444445</v>
      </c>
      <c r="M28" s="16">
        <f t="shared" si="11"/>
        <v>17767.361111111109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 s="18">
        <v>3088.8718871251899</v>
      </c>
      <c r="J29">
        <f>F29*H29</f>
        <v>4761.0596707818931</v>
      </c>
      <c r="K29">
        <f t="shared" si="9"/>
        <v>5314.1974536525295</v>
      </c>
      <c r="L29">
        <f t="shared" si="10"/>
        <v>10075.257124434422</v>
      </c>
      <c r="M29" s="16">
        <f t="shared" si="11"/>
        <v>5856.2329982363008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 s="18">
        <v>0</v>
      </c>
      <c r="J30">
        <f t="shared" si="8"/>
        <v>4761.0596707818931</v>
      </c>
      <c r="K30">
        <f t="shared" si="9"/>
        <v>0</v>
      </c>
      <c r="L30">
        <f t="shared" si="10"/>
        <v>4761.0596707818931</v>
      </c>
      <c r="M30" s="16">
        <f t="shared" si="11"/>
        <v>2767.3611111111113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 s="18">
        <v>0</v>
      </c>
      <c r="J31">
        <f t="shared" si="8"/>
        <v>4761.0596707818931</v>
      </c>
      <c r="K31">
        <f t="shared" si="9"/>
        <v>0</v>
      </c>
      <c r="L31">
        <f t="shared" si="10"/>
        <v>4761.0596707818931</v>
      </c>
      <c r="M31" s="16">
        <f t="shared" si="11"/>
        <v>2767.3611111111113</v>
      </c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 s="18">
        <v>0</v>
      </c>
      <c r="J32">
        <f t="shared" si="8"/>
        <v>4761.0596707818931</v>
      </c>
      <c r="K32">
        <f t="shared" si="9"/>
        <v>0</v>
      </c>
      <c r="L32">
        <f t="shared" si="10"/>
        <v>4761.0596707818931</v>
      </c>
      <c r="M32" s="16">
        <f t="shared" si="11"/>
        <v>2767.3611111111113</v>
      </c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 s="18">
        <v>0</v>
      </c>
      <c r="J33">
        <f t="shared" si="8"/>
        <v>4761.0596707818931</v>
      </c>
      <c r="K33">
        <f t="shared" si="9"/>
        <v>0</v>
      </c>
      <c r="L33">
        <f t="shared" si="10"/>
        <v>4761.0596707818931</v>
      </c>
      <c r="M33" s="16">
        <f t="shared" si="11"/>
        <v>2767.3611111111113</v>
      </c>
    </row>
    <row r="34" spans="2:18" x14ac:dyDescent="0.2">
      <c r="I34" t="s">
        <v>16</v>
      </c>
      <c r="J34">
        <f>SUM(J22:J33)</f>
        <v>75506.554413101723</v>
      </c>
      <c r="K34">
        <f>SUM(K22:K33)</f>
        <v>85276.177865653677</v>
      </c>
      <c r="L34">
        <f t="shared" si="10"/>
        <v>160782.7322787554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18">
        <v>14400</v>
      </c>
      <c r="K39">
        <f>E39+J39-G39</f>
        <v>5085.7142857142862</v>
      </c>
      <c r="L39">
        <f>I39*0.05</f>
        <v>254.28571428571433</v>
      </c>
      <c r="M39">
        <f>K39*0.05</f>
        <v>254.28571428571433</v>
      </c>
      <c r="O39" t="s">
        <v>21</v>
      </c>
      <c r="P39">
        <v>75506.554413101723</v>
      </c>
      <c r="Q39">
        <f>J70</f>
        <v>75506.554413101723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2">B40*1000/C40</f>
        <v>12000</v>
      </c>
      <c r="H40" s="16">
        <f t="shared" ref="H40:H50" si="13">SUM(H5:I5)</f>
        <v>7457.1428571428569</v>
      </c>
      <c r="I40" s="16">
        <f>I39+H40-G40</f>
        <v>542.85714285714312</v>
      </c>
      <c r="J40" s="18">
        <v>7457.1428571428569</v>
      </c>
      <c r="K40">
        <f>K39+J40-G40</f>
        <v>542.85714285714312</v>
      </c>
      <c r="L40">
        <f t="shared" ref="L40:L50" si="14">I40*0.05</f>
        <v>27.142857142857157</v>
      </c>
      <c r="M40">
        <f t="shared" ref="M40:M50" si="15">K40*0.05</f>
        <v>27.142857142857157</v>
      </c>
      <c r="O40" t="s">
        <v>22</v>
      </c>
      <c r="P40">
        <v>102620.3682074003</v>
      </c>
      <c r="Q40">
        <f>K70</f>
        <v>91022.239842391078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2"/>
        <v>9828.5714285714294</v>
      </c>
      <c r="H41" s="16">
        <f t="shared" si="13"/>
        <v>14514.285714285714</v>
      </c>
      <c r="I41" s="16">
        <f t="shared" ref="I41:I50" si="16">I40+H41-G41</f>
        <v>5228.5714285714275</v>
      </c>
      <c r="J41" s="18">
        <v>14514.285714285714</v>
      </c>
      <c r="K41">
        <f>K40+J41-G41</f>
        <v>5228.5714285714275</v>
      </c>
      <c r="L41">
        <f t="shared" si="14"/>
        <v>261.42857142857139</v>
      </c>
      <c r="M41">
        <f t="shared" si="15"/>
        <v>261.42857142857139</v>
      </c>
      <c r="O41" t="s">
        <v>42</v>
      </c>
      <c r="P41">
        <v>1975.7142857142853</v>
      </c>
      <c r="Q41">
        <f>P70</f>
        <v>5582.7642808240898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2"/>
        <v>12457.142857142857</v>
      </c>
      <c r="H42" s="16">
        <f t="shared" si="13"/>
        <v>12228.571428571429</v>
      </c>
      <c r="I42" s="16">
        <f t="shared" si="16"/>
        <v>4999.9999999999982</v>
      </c>
      <c r="J42" s="18">
        <v>12228.571428571429</v>
      </c>
      <c r="K42">
        <f t="shared" ref="K42:K50" si="17">K41+J42-G42</f>
        <v>4999.9999999999982</v>
      </c>
      <c r="L42">
        <f t="shared" si="14"/>
        <v>249.99999999999991</v>
      </c>
      <c r="M42">
        <f t="shared" si="15"/>
        <v>249.99999999999991</v>
      </c>
      <c r="O42" t="s">
        <v>83</v>
      </c>
      <c r="P42">
        <v>0</v>
      </c>
      <c r="Q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2"/>
        <v>12657.142857142857</v>
      </c>
      <c r="H43" s="16">
        <f t="shared" si="13"/>
        <v>12228.571428571429</v>
      </c>
      <c r="I43" s="16">
        <f t="shared" si="16"/>
        <v>4571.4285714285706</v>
      </c>
      <c r="J43" s="18">
        <v>19886.831275720164</v>
      </c>
      <c r="K43">
        <f t="shared" si="17"/>
        <v>12229.688418577307</v>
      </c>
      <c r="L43">
        <f t="shared" si="14"/>
        <v>228.57142857142856</v>
      </c>
      <c r="M43">
        <f t="shared" si="15"/>
        <v>611.48442092886535</v>
      </c>
      <c r="O43" t="s">
        <v>29</v>
      </c>
      <c r="P43">
        <v>180102.6369062163</v>
      </c>
      <c r="Q43">
        <f>SUM(Q39:Q42)</f>
        <v>172111.55853631688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2"/>
        <v>12000</v>
      </c>
      <c r="H44" s="16">
        <f t="shared" si="13"/>
        <v>9342.8571428571431</v>
      </c>
      <c r="I44" s="16">
        <f t="shared" si="16"/>
        <v>1914.2857142857138</v>
      </c>
      <c r="J44" s="18">
        <v>19886.831275720164</v>
      </c>
      <c r="K44">
        <f t="shared" si="17"/>
        <v>20116.519694297473</v>
      </c>
      <c r="L44">
        <f t="shared" si="14"/>
        <v>95.714285714285694</v>
      </c>
      <c r="M44">
        <f t="shared" si="15"/>
        <v>1005.8259847148737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2"/>
        <v>11714.285714285714</v>
      </c>
      <c r="H45" s="16">
        <f t="shared" si="13"/>
        <v>13314.285714285714</v>
      </c>
      <c r="I45" s="16">
        <f t="shared" si="16"/>
        <v>3514.2857142857138</v>
      </c>
      <c r="J45" s="18">
        <v>17767.361111111109</v>
      </c>
      <c r="K45">
        <f t="shared" si="17"/>
        <v>26169.595091122868</v>
      </c>
      <c r="L45">
        <f t="shared" si="14"/>
        <v>175.71428571428569</v>
      </c>
      <c r="M45">
        <f t="shared" si="15"/>
        <v>1308.4797545561435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2"/>
        <v>9342.8571428571431</v>
      </c>
      <c r="H46" s="16">
        <f t="shared" si="13"/>
        <v>10114.285714285714</v>
      </c>
      <c r="I46" s="16">
        <f t="shared" si="16"/>
        <v>4285.7142857142844</v>
      </c>
      <c r="J46" s="18">
        <v>5856.2329982363008</v>
      </c>
      <c r="K46">
        <f t="shared" si="17"/>
        <v>22682.970946502028</v>
      </c>
      <c r="L46">
        <f t="shared" si="14"/>
        <v>214.28571428571422</v>
      </c>
      <c r="M46">
        <f t="shared" si="15"/>
        <v>1134.1485473251014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2"/>
        <v>9085.7142857142862</v>
      </c>
      <c r="H47" s="16">
        <f t="shared" si="13"/>
        <v>9228.5714285714294</v>
      </c>
      <c r="I47" s="16">
        <f t="shared" si="16"/>
        <v>4428.5714285714275</v>
      </c>
      <c r="J47" s="18">
        <v>2767.3611111111113</v>
      </c>
      <c r="K47">
        <f t="shared" si="17"/>
        <v>16364.617771898851</v>
      </c>
      <c r="L47">
        <f t="shared" si="14"/>
        <v>221.42857142857139</v>
      </c>
      <c r="M47">
        <f t="shared" si="15"/>
        <v>818.2308885949426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2"/>
        <v>9028.5714285714294</v>
      </c>
      <c r="H48" s="16">
        <f t="shared" si="13"/>
        <v>6171.4285714285716</v>
      </c>
      <c r="I48" s="16">
        <f t="shared" si="16"/>
        <v>1571.4285714285706</v>
      </c>
      <c r="J48" s="18">
        <v>2767.3611111111113</v>
      </c>
      <c r="K48">
        <f t="shared" si="17"/>
        <v>10103.407454438535</v>
      </c>
      <c r="L48">
        <f t="shared" si="14"/>
        <v>78.571428571428541</v>
      </c>
      <c r="M48">
        <f t="shared" si="15"/>
        <v>505.17037272192675</v>
      </c>
    </row>
    <row r="49" spans="2:16" ht="16" x14ac:dyDescent="0.2">
      <c r="B49" s="17">
        <v>269</v>
      </c>
      <c r="C49" s="8">
        <v>35</v>
      </c>
      <c r="F49" s="14">
        <v>46054</v>
      </c>
      <c r="G49">
        <f t="shared" si="12"/>
        <v>7685.7142857142853</v>
      </c>
      <c r="H49" s="16">
        <f t="shared" si="13"/>
        <v>7742.8571428571431</v>
      </c>
      <c r="I49" s="16">
        <f t="shared" si="16"/>
        <v>1628.5714285714284</v>
      </c>
      <c r="J49" s="18">
        <v>2767.3611111111113</v>
      </c>
      <c r="K49">
        <f t="shared" si="17"/>
        <v>5185.0542798353608</v>
      </c>
      <c r="L49">
        <f t="shared" si="14"/>
        <v>81.428571428571431</v>
      </c>
      <c r="M49">
        <f t="shared" si="15"/>
        <v>259.25271399176808</v>
      </c>
    </row>
    <row r="50" spans="2:16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3"/>
        <v>7685.7142857142853</v>
      </c>
      <c r="I50" s="16">
        <f t="shared" si="16"/>
        <v>1742.8571428571422</v>
      </c>
      <c r="J50" s="18">
        <v>2767.3611111111113</v>
      </c>
      <c r="K50">
        <f t="shared" si="17"/>
        <v>380.98681951790059</v>
      </c>
      <c r="L50">
        <f t="shared" si="14"/>
        <v>87.14285714285711</v>
      </c>
      <c r="M50">
        <f t="shared" si="15"/>
        <v>19.049340975895031</v>
      </c>
    </row>
    <row r="51" spans="2:16" x14ac:dyDescent="0.2">
      <c r="K51" t="s">
        <v>16</v>
      </c>
      <c r="L51">
        <f>SUM(L39:L50)</f>
        <v>1975.7142857142853</v>
      </c>
      <c r="M51">
        <f>SUM(M39:M50)</f>
        <v>6454.4991666666583</v>
      </c>
    </row>
    <row r="56" spans="2:16" x14ac:dyDescent="0.2">
      <c r="B56" s="9" t="s">
        <v>95</v>
      </c>
    </row>
    <row r="57" spans="2:16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2:16" x14ac:dyDescent="0.2"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 s="18">
        <f>E58-H58</f>
        <v>9513.1687242798362</v>
      </c>
      <c r="J58">
        <f>F58*H58</f>
        <v>7471.0648148148148</v>
      </c>
      <c r="K58">
        <f>G58*I58</f>
        <v>13425.083842321856</v>
      </c>
      <c r="L58">
        <f>SUM(J58:K58)</f>
        <v>20896.148657136669</v>
      </c>
      <c r="M58" s="16">
        <f>SUM(H58:I58)</f>
        <v>14400</v>
      </c>
      <c r="O58">
        <v>5085.7142857142862</v>
      </c>
      <c r="P58">
        <f>O58*0.05</f>
        <v>254.28571428571433</v>
      </c>
    </row>
    <row r="59" spans="2:16" x14ac:dyDescent="0.2">
      <c r="B59" s="14">
        <v>45778</v>
      </c>
      <c r="C59">
        <v>261</v>
      </c>
      <c r="D59" s="8">
        <v>35</v>
      </c>
      <c r="E59">
        <f t="shared" ref="E59:E69" si="18">C59*1000/D59</f>
        <v>7457.1428571428569</v>
      </c>
      <c r="F59">
        <v>1.5806907894736841</v>
      </c>
      <c r="G59">
        <v>0</v>
      </c>
      <c r="H59" s="16">
        <v>4886.8312757201647</v>
      </c>
      <c r="I59" s="18">
        <f t="shared" ref="I59:I61" si="19">E59-H59</f>
        <v>2570.3115814226921</v>
      </c>
      <c r="J59">
        <f t="shared" ref="J59:J64" si="20">F59*H59</f>
        <v>7724.5691872427979</v>
      </c>
      <c r="K59">
        <f t="shared" ref="K59:K61" si="21">G59*I59</f>
        <v>0</v>
      </c>
      <c r="L59">
        <f t="shared" ref="L59:L70" si="22">SUM(J59:K59)</f>
        <v>7724.5691872427979</v>
      </c>
      <c r="M59" s="16">
        <f t="shared" ref="M59:M61" si="23">SUM(H59:I59)</f>
        <v>7457.1428571428569</v>
      </c>
      <c r="O59" s="16">
        <f>O58+M59-G40</f>
        <v>542.85714285714312</v>
      </c>
      <c r="P59">
        <f t="shared" ref="P59:P69" si="24">O59*0.05</f>
        <v>27.142857142857157</v>
      </c>
    </row>
    <row r="60" spans="2:16" x14ac:dyDescent="0.2">
      <c r="B60" s="14">
        <v>45809</v>
      </c>
      <c r="C60">
        <v>508</v>
      </c>
      <c r="D60" s="8">
        <v>35</v>
      </c>
      <c r="E60">
        <f t="shared" si="18"/>
        <v>14514.285714285714</v>
      </c>
      <c r="F60">
        <v>1.6237697368421053</v>
      </c>
      <c r="G60">
        <v>1.4613947368421052</v>
      </c>
      <c r="H60" s="16">
        <v>4886.8312757201647</v>
      </c>
      <c r="I60" s="18">
        <f t="shared" si="19"/>
        <v>9627.4544385655499</v>
      </c>
      <c r="J60">
        <f t="shared" si="20"/>
        <v>7935.0887345679021</v>
      </c>
      <c r="K60">
        <f t="shared" si="21"/>
        <v>14069.511245706859</v>
      </c>
      <c r="L60">
        <f t="shared" si="22"/>
        <v>22004.599980274761</v>
      </c>
      <c r="M60" s="16">
        <f t="shared" si="23"/>
        <v>14514.285714285714</v>
      </c>
      <c r="O60" s="16">
        <f t="shared" ref="O60:O69" si="25">O59+M60-G41</f>
        <v>5228.5714285714275</v>
      </c>
      <c r="P60">
        <f t="shared" si="24"/>
        <v>261.42857142857139</v>
      </c>
    </row>
    <row r="61" spans="2:16" x14ac:dyDescent="0.2">
      <c r="B61" s="14">
        <v>45839</v>
      </c>
      <c r="C61">
        <v>428</v>
      </c>
      <c r="D61" s="8">
        <v>35</v>
      </c>
      <c r="E61">
        <f t="shared" si="18"/>
        <v>12228.571428571429</v>
      </c>
      <c r="F61">
        <v>1.6237697368421053</v>
      </c>
      <c r="G61">
        <v>0.97426315789473683</v>
      </c>
      <c r="H61" s="16">
        <v>4886.8312757201647</v>
      </c>
      <c r="I61" s="18">
        <f t="shared" si="19"/>
        <v>7341.7401528512646</v>
      </c>
      <c r="J61">
        <f t="shared" si="20"/>
        <v>7935.0887345679021</v>
      </c>
      <c r="K61">
        <f t="shared" si="21"/>
        <v>7152.7869457594607</v>
      </c>
      <c r="L61">
        <f t="shared" si="22"/>
        <v>15087.875680327363</v>
      </c>
      <c r="M61" s="16">
        <f t="shared" si="23"/>
        <v>12228.571428571429</v>
      </c>
      <c r="O61" s="16">
        <f t="shared" si="25"/>
        <v>4999.9999999999982</v>
      </c>
      <c r="P61">
        <f t="shared" si="24"/>
        <v>249.99999999999991</v>
      </c>
    </row>
    <row r="62" spans="2:16" x14ac:dyDescent="0.2">
      <c r="B62" s="14">
        <v>45870</v>
      </c>
      <c r="C62">
        <v>428</v>
      </c>
      <c r="D62" s="8">
        <v>35</v>
      </c>
      <c r="E62">
        <f t="shared" si="18"/>
        <v>12228.571428571429</v>
      </c>
      <c r="F62">
        <v>1.6237697368421053</v>
      </c>
      <c r="G62">
        <v>0.97426315789473683</v>
      </c>
      <c r="H62" s="16">
        <v>4886.8312757201647</v>
      </c>
      <c r="I62" s="18">
        <v>15000</v>
      </c>
      <c r="J62">
        <f t="shared" si="20"/>
        <v>7935.0887345679021</v>
      </c>
      <c r="K62">
        <f t="shared" ref="K62:K69" si="26">G62*I62</f>
        <v>14613.947368421052</v>
      </c>
      <c r="L62">
        <f t="shared" si="22"/>
        <v>22549.036102988954</v>
      </c>
      <c r="M62" s="16">
        <f t="shared" ref="M62:M69" si="27">SUM(H62:I62)</f>
        <v>19886.831275720164</v>
      </c>
      <c r="O62" s="16">
        <f t="shared" si="25"/>
        <v>12229.688418577307</v>
      </c>
      <c r="P62">
        <f t="shared" si="24"/>
        <v>611.48442092886535</v>
      </c>
    </row>
    <row r="63" spans="2:16" x14ac:dyDescent="0.2">
      <c r="B63" s="14">
        <v>45901</v>
      </c>
      <c r="C63">
        <v>327</v>
      </c>
      <c r="D63" s="8">
        <v>35</v>
      </c>
      <c r="E63">
        <f t="shared" si="18"/>
        <v>9342.8571428571431</v>
      </c>
      <c r="F63">
        <v>1.6237697368421053</v>
      </c>
      <c r="G63">
        <v>0.32475657894736842</v>
      </c>
      <c r="H63" s="16">
        <v>4886.8312757201647</v>
      </c>
      <c r="I63" s="18">
        <v>12085.714287908901</v>
      </c>
      <c r="J63">
        <f t="shared" si="20"/>
        <v>7935.0887345679021</v>
      </c>
      <c r="K63">
        <f t="shared" si="26"/>
        <v>3924.9152262766256</v>
      </c>
      <c r="L63">
        <f t="shared" si="22"/>
        <v>11860.003960844528</v>
      </c>
      <c r="M63" s="16">
        <f t="shared" si="27"/>
        <v>16972.545563629064</v>
      </c>
      <c r="O63" s="16">
        <f t="shared" si="25"/>
        <v>17202.233982206373</v>
      </c>
      <c r="P63">
        <f t="shared" si="24"/>
        <v>860.11169911031868</v>
      </c>
    </row>
    <row r="64" spans="2:16" x14ac:dyDescent="0.2">
      <c r="B64" s="14">
        <v>45931</v>
      </c>
      <c r="C64">
        <v>466</v>
      </c>
      <c r="D64" s="8">
        <v>35</v>
      </c>
      <c r="E64">
        <f t="shared" si="18"/>
        <v>13314.285714285714</v>
      </c>
      <c r="F64">
        <v>1.7219534883720931</v>
      </c>
      <c r="G64">
        <v>1.7219534883720931</v>
      </c>
      <c r="H64" s="16">
        <v>2767.3611111111113</v>
      </c>
      <c r="I64" s="18">
        <v>9028.5714272812929</v>
      </c>
      <c r="J64">
        <f t="shared" si="20"/>
        <v>4765.2671188630493</v>
      </c>
      <c r="K64">
        <f t="shared" si="26"/>
        <v>15546.780064223629</v>
      </c>
      <c r="L64">
        <f t="shared" si="22"/>
        <v>20312.047183086677</v>
      </c>
      <c r="M64" s="16">
        <f t="shared" si="27"/>
        <v>11795.932538392404</v>
      </c>
      <c r="O64" s="16">
        <f t="shared" si="25"/>
        <v>17283.880806313064</v>
      </c>
      <c r="P64">
        <f t="shared" si="24"/>
        <v>864.19404031565318</v>
      </c>
    </row>
    <row r="65" spans="2:16" x14ac:dyDescent="0.2">
      <c r="B65" s="14">
        <v>45962</v>
      </c>
      <c r="C65">
        <v>354</v>
      </c>
      <c r="D65" s="8">
        <v>35</v>
      </c>
      <c r="E65">
        <f t="shared" si="18"/>
        <v>10114.285714285714</v>
      </c>
      <c r="F65">
        <v>1.720433105627585</v>
      </c>
      <c r="G65">
        <v>1.720433105627585</v>
      </c>
      <c r="H65" s="16">
        <v>2767.3611111111113</v>
      </c>
      <c r="I65" s="18">
        <v>7685.7142870883363</v>
      </c>
      <c r="J65">
        <f>F65*H65</f>
        <v>4761.0596707818931</v>
      </c>
      <c r="K65">
        <f t="shared" si="26"/>
        <v>13222.757299901687</v>
      </c>
      <c r="L65">
        <f t="shared" si="22"/>
        <v>17983.81697068358</v>
      </c>
      <c r="M65" s="16">
        <f t="shared" si="27"/>
        <v>10453.075398199448</v>
      </c>
      <c r="O65" s="16">
        <f t="shared" si="25"/>
        <v>18394.099061655368</v>
      </c>
      <c r="P65">
        <f t="shared" si="24"/>
        <v>919.7049530827685</v>
      </c>
    </row>
    <row r="66" spans="2:16" x14ac:dyDescent="0.2">
      <c r="B66" s="14">
        <v>45992</v>
      </c>
      <c r="C66">
        <v>323</v>
      </c>
      <c r="D66" s="8">
        <v>35</v>
      </c>
      <c r="E66">
        <f t="shared" si="18"/>
        <v>9228.5714285714294</v>
      </c>
      <c r="F66">
        <v>1.720433105627585</v>
      </c>
      <c r="G66">
        <v>2.2939030624099632</v>
      </c>
      <c r="H66" s="16">
        <v>2767.3611111111113</v>
      </c>
      <c r="I66" s="18">
        <v>3952.41542607051</v>
      </c>
      <c r="J66">
        <f t="shared" ref="J66:J69" si="28">F66*H66</f>
        <v>4761.0596707818931</v>
      </c>
      <c r="K66">
        <f t="shared" si="26"/>
        <v>9066.4578497795228</v>
      </c>
      <c r="L66">
        <f t="shared" si="22"/>
        <v>13827.517520561416</v>
      </c>
      <c r="M66" s="16">
        <f t="shared" si="27"/>
        <v>6719.7765371816213</v>
      </c>
      <c r="O66" s="16">
        <f t="shared" si="25"/>
        <v>16028.161313122702</v>
      </c>
      <c r="P66">
        <f t="shared" si="24"/>
        <v>801.40806565613514</v>
      </c>
    </row>
    <row r="67" spans="2:16" x14ac:dyDescent="0.2">
      <c r="B67" s="14">
        <v>46023</v>
      </c>
      <c r="C67">
        <v>216</v>
      </c>
      <c r="D67" s="8">
        <v>35</v>
      </c>
      <c r="E67">
        <f t="shared" si="18"/>
        <v>6171.4285714285716</v>
      </c>
      <c r="F67">
        <v>1.720433105627585</v>
      </c>
      <c r="G67">
        <v>0.28673497839118917</v>
      </c>
      <c r="H67" s="16">
        <v>2767.3611111111113</v>
      </c>
      <c r="I67" s="18">
        <v>1.3155370726505289E-10</v>
      </c>
      <c r="J67">
        <f t="shared" si="28"/>
        <v>4761.0596707818931</v>
      </c>
      <c r="K67">
        <f t="shared" si="26"/>
        <v>3.7721049409925765E-11</v>
      </c>
      <c r="L67">
        <f t="shared" si="22"/>
        <v>4761.0596707819304</v>
      </c>
      <c r="M67" s="16">
        <f t="shared" si="27"/>
        <v>2767.3611111112427</v>
      </c>
      <c r="O67" s="16">
        <f t="shared" si="25"/>
        <v>9766.950995662517</v>
      </c>
      <c r="P67">
        <f t="shared" si="24"/>
        <v>488.34754978312588</v>
      </c>
    </row>
    <row r="68" spans="2:16" x14ac:dyDescent="0.2">
      <c r="B68" s="14">
        <v>46054</v>
      </c>
      <c r="C68">
        <v>271</v>
      </c>
      <c r="D68" s="8">
        <v>35</v>
      </c>
      <c r="E68">
        <f t="shared" si="18"/>
        <v>7742.8571428571431</v>
      </c>
      <c r="F68">
        <v>1.720433105627585</v>
      </c>
      <c r="G68">
        <v>1.4336865095961708</v>
      </c>
      <c r="H68" s="16">
        <v>2767.3611111111113</v>
      </c>
      <c r="I68" s="18">
        <v>1.317006470571584E-10</v>
      </c>
      <c r="J68">
        <f t="shared" si="28"/>
        <v>4761.0596707818931</v>
      </c>
      <c r="K68">
        <f t="shared" si="26"/>
        <v>1.8881744099093463E-10</v>
      </c>
      <c r="L68">
        <f t="shared" si="22"/>
        <v>4761.0596707820823</v>
      </c>
      <c r="M68" s="16">
        <f t="shared" si="27"/>
        <v>2767.3611111112432</v>
      </c>
      <c r="O68" s="16">
        <f t="shared" si="25"/>
        <v>4848.597821059474</v>
      </c>
      <c r="P68">
        <f t="shared" si="24"/>
        <v>242.42989105297372</v>
      </c>
    </row>
    <row r="69" spans="2:16" x14ac:dyDescent="0.2">
      <c r="B69" s="14">
        <v>46082</v>
      </c>
      <c r="C69">
        <v>269</v>
      </c>
      <c r="D69" s="8">
        <v>35</v>
      </c>
      <c r="E69">
        <f t="shared" si="18"/>
        <v>7685.7142857142853</v>
      </c>
      <c r="F69">
        <v>1.720433105627585</v>
      </c>
      <c r="G69">
        <v>1.1469515312049816</v>
      </c>
      <c r="H69" s="16">
        <v>2767.3611111111113</v>
      </c>
      <c r="I69" s="18">
        <v>1.316639124810246E-10</v>
      </c>
      <c r="J69">
        <f t="shared" si="28"/>
        <v>4761.0596707818931</v>
      </c>
      <c r="K69">
        <f t="shared" si="26"/>
        <v>1.5101212602454984E-10</v>
      </c>
      <c r="L69">
        <f t="shared" si="22"/>
        <v>4761.0596707820441</v>
      </c>
      <c r="M69" s="16">
        <f t="shared" si="27"/>
        <v>2767.3611111112432</v>
      </c>
      <c r="O69" s="16">
        <f t="shared" si="25"/>
        <v>44.530360742145604</v>
      </c>
      <c r="P69">
        <f t="shared" si="24"/>
        <v>2.2265180371072804</v>
      </c>
    </row>
    <row r="70" spans="2:16" x14ac:dyDescent="0.2">
      <c r="I70" t="s">
        <v>16</v>
      </c>
      <c r="J70">
        <f>SUM(J58:J69)</f>
        <v>75506.554413101723</v>
      </c>
      <c r="K70">
        <f>SUM(K58:K69)</f>
        <v>91022.239842391078</v>
      </c>
      <c r="L70">
        <f t="shared" si="22"/>
        <v>166528.7942554928</v>
      </c>
      <c r="P70" s="18">
        <f>SUM(P58:P69)</f>
        <v>5582.7642808240898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2" t="s">
        <v>58</v>
      </c>
      <c r="J130">
        <v>1316511.5530000001</v>
      </c>
      <c r="K130">
        <v>765195</v>
      </c>
    </row>
    <row r="131" spans="2:14" x14ac:dyDescent="0.2">
      <c r="I131" s="22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9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9"/>
        <v>240264.99999999997</v>
      </c>
      <c r="J138">
        <f t="shared" ref="J138:J148" si="30">E138*F138*H138</f>
        <v>0</v>
      </c>
      <c r="K138">
        <f t="shared" ref="K138:K148" si="31">I138+J138</f>
        <v>240264.99999999997</v>
      </c>
      <c r="L138" s="7">
        <v>45802</v>
      </c>
      <c r="M138">
        <f>M137+J138</f>
        <v>108996.8553735357</v>
      </c>
      <c r="N138">
        <f t="shared" ref="N138:N148" si="32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9"/>
        <v>246813</v>
      </c>
      <c r="J139">
        <f t="shared" si="30"/>
        <v>115693.66673321562</v>
      </c>
      <c r="K139">
        <f t="shared" si="31"/>
        <v>362506.66673321562</v>
      </c>
      <c r="L139" s="7">
        <v>45833</v>
      </c>
      <c r="M139">
        <f t="shared" ref="M139:M148" si="33">M138+J139</f>
        <v>224690.52210675133</v>
      </c>
      <c r="N139">
        <f t="shared" si="32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9"/>
        <v>246813</v>
      </c>
      <c r="J140">
        <f t="shared" si="30"/>
        <v>41568.514657243817</v>
      </c>
      <c r="K140">
        <f t="shared" si="31"/>
        <v>288381.5146572438</v>
      </c>
      <c r="L140" s="7">
        <v>45863</v>
      </c>
      <c r="M140">
        <f t="shared" si="33"/>
        <v>266259.03676399513</v>
      </c>
      <c r="N140">
        <f t="shared" si="32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9"/>
        <v>246813</v>
      </c>
      <c r="J141">
        <f t="shared" si="30"/>
        <v>41568.514657243817</v>
      </c>
      <c r="K141">
        <f t="shared" si="31"/>
        <v>288381.5146572438</v>
      </c>
      <c r="L141" s="7">
        <v>45894</v>
      </c>
      <c r="M141">
        <f t="shared" si="33"/>
        <v>307827.55142123892</v>
      </c>
      <c r="N141">
        <f t="shared" si="32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9"/>
        <v>246813</v>
      </c>
      <c r="J142">
        <f t="shared" si="30"/>
        <v>0</v>
      </c>
      <c r="K142">
        <f t="shared" si="31"/>
        <v>246813</v>
      </c>
      <c r="L142" s="7">
        <v>45925</v>
      </c>
      <c r="M142">
        <f t="shared" si="33"/>
        <v>307827.55142123892</v>
      </c>
      <c r="N142">
        <f t="shared" si="32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9"/>
        <v>148088</v>
      </c>
      <c r="J143">
        <f t="shared" si="30"/>
        <v>216681.9452972213</v>
      </c>
      <c r="K143">
        <f t="shared" si="31"/>
        <v>364769.9452972213</v>
      </c>
      <c r="L143" s="7">
        <v>45955</v>
      </c>
      <c r="M143">
        <f t="shared" si="33"/>
        <v>524509.49671846023</v>
      </c>
      <c r="N143">
        <f t="shared" si="32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9"/>
        <v>148088.00000000003</v>
      </c>
      <c r="J144">
        <f t="shared" si="30"/>
        <v>128568.65599005947</v>
      </c>
      <c r="K144">
        <f t="shared" si="31"/>
        <v>276656.65599005949</v>
      </c>
      <c r="L144" s="7">
        <v>45986</v>
      </c>
      <c r="M144">
        <f t="shared" si="33"/>
        <v>653078.15270851972</v>
      </c>
      <c r="N144">
        <f t="shared" si="32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9"/>
        <v>148088.00000000003</v>
      </c>
      <c r="J145">
        <f t="shared" si="30"/>
        <v>139690.69560277648</v>
      </c>
      <c r="K145">
        <f t="shared" si="31"/>
        <v>287778.69560277648</v>
      </c>
      <c r="L145" s="7">
        <v>46016</v>
      </c>
      <c r="M145">
        <f t="shared" si="33"/>
        <v>792768.8483112962</v>
      </c>
      <c r="N145">
        <f t="shared" si="32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9"/>
        <v>148088.00000000003</v>
      </c>
      <c r="J146">
        <f t="shared" si="30"/>
        <v>3427.052604850729</v>
      </c>
      <c r="K146">
        <f t="shared" si="31"/>
        <v>151515.05260485076</v>
      </c>
      <c r="L146" s="7">
        <v>46047</v>
      </c>
      <c r="M146">
        <f t="shared" si="33"/>
        <v>796195.90091614693</v>
      </c>
      <c r="N146">
        <f t="shared" si="32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9"/>
        <v>148088.00000000003</v>
      </c>
      <c r="J147">
        <f t="shared" si="30"/>
        <v>53017.714351968039</v>
      </c>
      <c r="K147">
        <f t="shared" si="31"/>
        <v>201105.71435196808</v>
      </c>
      <c r="L147" s="7">
        <v>46078</v>
      </c>
      <c r="M147">
        <f t="shared" si="33"/>
        <v>849213.61526811495</v>
      </c>
      <c r="N147">
        <f t="shared" si="32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9"/>
        <v>148088.00000000003</v>
      </c>
      <c r="J148">
        <f t="shared" si="30"/>
        <v>41617.496320264065</v>
      </c>
      <c r="K148">
        <f t="shared" si="31"/>
        <v>189705.49632026409</v>
      </c>
      <c r="L148" s="7">
        <v>46106</v>
      </c>
      <c r="M148">
        <f t="shared" si="33"/>
        <v>890831.11158837902</v>
      </c>
      <c r="N148">
        <f t="shared" si="32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4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4"/>
        <v>240264.99999999997</v>
      </c>
      <c r="J154">
        <f t="shared" ref="J154:J164" si="35">E154*F154*H154</f>
        <v>0</v>
      </c>
      <c r="K154">
        <f t="shared" ref="K154:K164" si="36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4"/>
        <v>246813</v>
      </c>
      <c r="J155">
        <f t="shared" si="35"/>
        <v>115693.66673321562</v>
      </c>
      <c r="K155">
        <f t="shared" si="36"/>
        <v>362506.66673321562</v>
      </c>
      <c r="M155">
        <f t="shared" ref="M155:M164" si="37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4"/>
        <v>246813</v>
      </c>
      <c r="J156">
        <f t="shared" si="35"/>
        <v>191142.6374736836</v>
      </c>
      <c r="K156">
        <f t="shared" si="36"/>
        <v>437955.63747368357</v>
      </c>
      <c r="M156">
        <f t="shared" si="37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4"/>
        <v>246813</v>
      </c>
      <c r="J157">
        <f t="shared" si="35"/>
        <v>212124.36884210526</v>
      </c>
      <c r="K157">
        <f t="shared" si="36"/>
        <v>458937.36884210526</v>
      </c>
      <c r="M157">
        <f t="shared" si="37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4"/>
        <v>246813</v>
      </c>
      <c r="J158">
        <f t="shared" si="35"/>
        <v>0</v>
      </c>
      <c r="K158">
        <f t="shared" si="36"/>
        <v>246813</v>
      </c>
      <c r="M158">
        <f t="shared" si="37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4"/>
        <v>148088</v>
      </c>
      <c r="J159">
        <f t="shared" si="35"/>
        <v>0</v>
      </c>
      <c r="K159">
        <f t="shared" si="36"/>
        <v>148088</v>
      </c>
      <c r="M159">
        <f t="shared" si="37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4"/>
        <v>148088.00000000003</v>
      </c>
      <c r="J160">
        <f t="shared" si="35"/>
        <v>31304.936927521801</v>
      </c>
      <c r="K160">
        <f t="shared" si="36"/>
        <v>179392.93692752183</v>
      </c>
      <c r="M160">
        <f t="shared" si="37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4"/>
        <v>148088.00000000003</v>
      </c>
      <c r="J161">
        <f t="shared" si="35"/>
        <v>0</v>
      </c>
      <c r="K161">
        <f t="shared" si="36"/>
        <v>148088.00000000003</v>
      </c>
      <c r="M161">
        <f t="shared" si="37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4"/>
        <v>148088.00000000003</v>
      </c>
      <c r="J162">
        <f t="shared" si="35"/>
        <v>0</v>
      </c>
      <c r="K162">
        <f t="shared" si="36"/>
        <v>148088.00000000003</v>
      </c>
      <c r="M162">
        <f t="shared" si="37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4"/>
        <v>148088.00000000003</v>
      </c>
      <c r="J163">
        <f t="shared" si="35"/>
        <v>0</v>
      </c>
      <c r="K163">
        <f t="shared" si="36"/>
        <v>148088.00000000003</v>
      </c>
      <c r="M163">
        <f t="shared" si="37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4"/>
        <v>148088.00000000003</v>
      </c>
      <c r="J164">
        <f t="shared" si="35"/>
        <v>0</v>
      </c>
      <c r="K164">
        <f t="shared" si="36"/>
        <v>148088.00000000003</v>
      </c>
      <c r="M164">
        <f t="shared" si="37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8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8"/>
        <v>1654.4669661241915</v>
      </c>
      <c r="L171">
        <v>25</v>
      </c>
      <c r="O171">
        <v>240264.99999999997</v>
      </c>
      <c r="P171">
        <f t="shared" ref="P171:P181" si="39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40">I171+H172-G172</f>
        <v>3129.8703189834232</v>
      </c>
      <c r="J172">
        <v>0.05</v>
      </c>
      <c r="K172">
        <f t="shared" si="38"/>
        <v>3912.3378987292795</v>
      </c>
      <c r="L172">
        <v>25</v>
      </c>
      <c r="O172">
        <v>474790.57894736843</v>
      </c>
      <c r="P172">
        <f t="shared" si="39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41">O172+T171</f>
        <v>1161939.5789473685</v>
      </c>
      <c r="U172">
        <f t="shared" si="41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42">SUM(G156:H156)</f>
        <v>11194.444444444423</v>
      </c>
      <c r="I173">
        <f t="shared" si="40"/>
        <v>7890.3321475300727</v>
      </c>
      <c r="J173">
        <v>0.05</v>
      </c>
      <c r="K173">
        <f t="shared" si="38"/>
        <v>9862.9151844125918</v>
      </c>
      <c r="L173">
        <v>25</v>
      </c>
      <c r="O173">
        <v>351059.15789473685</v>
      </c>
      <c r="P173">
        <f t="shared" si="39"/>
        <v>477018.32306021225</v>
      </c>
      <c r="Q173">
        <v>18080.954218106992</v>
      </c>
      <c r="R173">
        <v>458937.36884210526</v>
      </c>
      <c r="S173" s="7">
        <v>45863</v>
      </c>
      <c r="T173">
        <f t="shared" si="41"/>
        <v>1512998.7368421054</v>
      </c>
      <c r="U173">
        <f t="shared" si="41"/>
        <v>1849345.7613032269</v>
      </c>
    </row>
    <row r="174" spans="2:21" x14ac:dyDescent="0.2">
      <c r="F174" s="7">
        <v>45894</v>
      </c>
      <c r="G174">
        <v>6493.9081133646077</v>
      </c>
      <c r="H174">
        <f t="shared" si="42"/>
        <v>11886.831275720164</v>
      </c>
      <c r="I174">
        <f t="shared" si="40"/>
        <v>13283.25530988563</v>
      </c>
      <c r="J174">
        <v>0.05</v>
      </c>
      <c r="K174">
        <f t="shared" si="38"/>
        <v>16604.069137357037</v>
      </c>
      <c r="L174">
        <v>25</v>
      </c>
      <c r="O174">
        <v>351059.15789473685</v>
      </c>
      <c r="P174">
        <f t="shared" si="39"/>
        <v>470674.47530300973</v>
      </c>
      <c r="Q174">
        <v>22103.26646090531</v>
      </c>
      <c r="R174">
        <v>448571.20884210442</v>
      </c>
      <c r="S174" s="7">
        <v>45894</v>
      </c>
      <c r="T174">
        <f t="shared" si="41"/>
        <v>1864057.8947368423</v>
      </c>
      <c r="U174">
        <f t="shared" si="41"/>
        <v>2320020.2366062365</v>
      </c>
    </row>
    <row r="175" spans="2:21" x14ac:dyDescent="0.2">
      <c r="F175" s="7">
        <v>45925</v>
      </c>
      <c r="G175">
        <v>6071.2326312903115</v>
      </c>
      <c r="H175">
        <f t="shared" si="42"/>
        <v>4886.8312757201647</v>
      </c>
      <c r="I175">
        <f t="shared" si="40"/>
        <v>12098.853954315482</v>
      </c>
      <c r="J175">
        <v>0.05</v>
      </c>
      <c r="K175">
        <f t="shared" si="38"/>
        <v>15123.567442894353</v>
      </c>
      <c r="L175">
        <v>25</v>
      </c>
      <c r="O175">
        <v>260452.77631578947</v>
      </c>
      <c r="P175">
        <f t="shared" si="39"/>
        <v>304452.67678642564</v>
      </c>
      <c r="Q175">
        <v>24514.529012345633</v>
      </c>
      <c r="R175">
        <v>279938.14777407999</v>
      </c>
      <c r="S175" s="7">
        <v>45925</v>
      </c>
      <c r="T175">
        <f t="shared" si="41"/>
        <v>2124510.6710526319</v>
      </c>
      <c r="U175">
        <f t="shared" si="41"/>
        <v>2624472.9133926621</v>
      </c>
    </row>
    <row r="176" spans="2:21" x14ac:dyDescent="0.2">
      <c r="F176" s="7">
        <v>45955</v>
      </c>
      <c r="G176">
        <v>6403.8158313631438</v>
      </c>
      <c r="H176">
        <f t="shared" si="42"/>
        <v>2764.9176954732511</v>
      </c>
      <c r="I176">
        <f t="shared" si="40"/>
        <v>8459.9558184255911</v>
      </c>
      <c r="J176">
        <v>0.05</v>
      </c>
      <c r="K176">
        <f t="shared" si="38"/>
        <v>10574.94477303199</v>
      </c>
      <c r="L176">
        <v>25</v>
      </c>
      <c r="O176">
        <v>278956.46511627908</v>
      </c>
      <c r="P176">
        <f t="shared" si="39"/>
        <v>169548.25946502053</v>
      </c>
      <c r="Q176">
        <v>21460.259465020532</v>
      </c>
      <c r="R176">
        <v>148088</v>
      </c>
      <c r="S176" s="7">
        <v>45955</v>
      </c>
      <c r="T176">
        <f t="shared" si="41"/>
        <v>2403467.1361689111</v>
      </c>
      <c r="U176">
        <f t="shared" si="41"/>
        <v>2794021.1728576827</v>
      </c>
    </row>
    <row r="177" spans="5:21" x14ac:dyDescent="0.2">
      <c r="F177" s="7">
        <v>45986</v>
      </c>
      <c r="G177">
        <v>6026.4848889003415</v>
      </c>
      <c r="H177">
        <f t="shared" si="42"/>
        <v>3352.3650617283793</v>
      </c>
      <c r="I177">
        <f t="shared" si="40"/>
        <v>5785.835991253628</v>
      </c>
      <c r="J177">
        <v>0.05</v>
      </c>
      <c r="K177">
        <f t="shared" si="38"/>
        <v>7232.2949890670361</v>
      </c>
      <c r="L177">
        <v>25</v>
      </c>
      <c r="O177">
        <v>333764.02249175153</v>
      </c>
      <c r="P177">
        <f t="shared" si="39"/>
        <v>165211.03595679012</v>
      </c>
      <c r="Q177">
        <v>17123.035956790081</v>
      </c>
      <c r="R177">
        <v>148088.00000000003</v>
      </c>
      <c r="S177" s="7">
        <v>45986</v>
      </c>
      <c r="T177">
        <f t="shared" si="41"/>
        <v>2737231.1586606628</v>
      </c>
      <c r="U177">
        <f t="shared" si="41"/>
        <v>2959232.2088144729</v>
      </c>
    </row>
    <row r="178" spans="5:21" x14ac:dyDescent="0.2">
      <c r="F178" s="7">
        <v>46016</v>
      </c>
      <c r="G178">
        <v>4479.7985738060161</v>
      </c>
      <c r="H178">
        <f t="shared" si="42"/>
        <v>2767.3611111111113</v>
      </c>
      <c r="I178">
        <f t="shared" si="40"/>
        <v>4073.3985285587223</v>
      </c>
      <c r="J178">
        <v>0.05</v>
      </c>
      <c r="K178">
        <f t="shared" si="38"/>
        <v>5091.7481606984029</v>
      </c>
      <c r="L178">
        <v>25</v>
      </c>
      <c r="O178">
        <v>471353.99516706169</v>
      </c>
      <c r="P178">
        <f t="shared" si="39"/>
        <v>159547.61646090532</v>
      </c>
      <c r="Q178">
        <v>11459.616460905305</v>
      </c>
      <c r="R178">
        <v>148088.00000000003</v>
      </c>
      <c r="S178" s="7">
        <v>46016</v>
      </c>
      <c r="T178">
        <f t="shared" si="41"/>
        <v>3208585.1538277245</v>
      </c>
      <c r="U178">
        <f t="shared" si="41"/>
        <v>3118779.8252753783</v>
      </c>
    </row>
    <row r="179" spans="5:21" x14ac:dyDescent="0.2">
      <c r="F179" s="7">
        <v>46047</v>
      </c>
      <c r="G179">
        <v>4284.164832400751</v>
      </c>
      <c r="H179">
        <f t="shared" si="42"/>
        <v>2767.3611111111113</v>
      </c>
      <c r="I179">
        <f t="shared" si="40"/>
        <v>2556.5948072690826</v>
      </c>
      <c r="J179">
        <v>0.05</v>
      </c>
      <c r="K179">
        <f t="shared" si="38"/>
        <v>3195.7435090863532</v>
      </c>
      <c r="L179">
        <v>25</v>
      </c>
      <c r="O179">
        <v>155808.05255820439</v>
      </c>
      <c r="P179">
        <f t="shared" si="39"/>
        <v>158465.60128600823</v>
      </c>
      <c r="Q179">
        <v>10377.601286008185</v>
      </c>
      <c r="R179">
        <v>148088.00000000003</v>
      </c>
      <c r="S179" s="7">
        <v>46047</v>
      </c>
      <c r="T179">
        <f t="shared" si="41"/>
        <v>3364393.2063859291</v>
      </c>
      <c r="U179">
        <f t="shared" si="41"/>
        <v>3277245.4265613863</v>
      </c>
    </row>
    <row r="180" spans="5:21" x14ac:dyDescent="0.2">
      <c r="F180" s="7">
        <v>46078</v>
      </c>
      <c r="G180">
        <v>3874.8158713185621</v>
      </c>
      <c r="H180">
        <f t="shared" si="42"/>
        <v>2767.3611111111113</v>
      </c>
      <c r="I180">
        <f t="shared" si="40"/>
        <v>1449.1400470616318</v>
      </c>
      <c r="J180">
        <v>0.05</v>
      </c>
      <c r="K180">
        <f t="shared" si="38"/>
        <v>1811.4250588270397</v>
      </c>
      <c r="L180">
        <v>25</v>
      </c>
      <c r="O180">
        <v>279878.19870811841</v>
      </c>
      <c r="P180">
        <f t="shared" si="39"/>
        <v>154771.38189300409</v>
      </c>
      <c r="Q180">
        <v>6683.3818930040688</v>
      </c>
      <c r="R180">
        <v>148088.00000000003</v>
      </c>
      <c r="S180" s="7">
        <v>46078</v>
      </c>
      <c r="T180">
        <f t="shared" si="41"/>
        <v>3644271.4050940475</v>
      </c>
      <c r="U180">
        <f t="shared" si="41"/>
        <v>3432016.8084543906</v>
      </c>
    </row>
    <row r="181" spans="5:21" x14ac:dyDescent="0.2">
      <c r="F181" s="7">
        <v>46106</v>
      </c>
      <c r="G181">
        <v>3826.840185484803</v>
      </c>
      <c r="H181">
        <f t="shared" si="42"/>
        <v>2767.3611111111113</v>
      </c>
      <c r="I181">
        <f t="shared" si="40"/>
        <v>389.6609726879401</v>
      </c>
      <c r="J181">
        <v>0.05</v>
      </c>
      <c r="K181">
        <f t="shared" si="38"/>
        <v>487.07621585992518</v>
      </c>
      <c r="L181">
        <v>25</v>
      </c>
      <c r="O181">
        <v>235169.14805520704</v>
      </c>
      <c r="P181">
        <f t="shared" si="39"/>
        <v>151720.16661522634</v>
      </c>
      <c r="Q181">
        <v>3632.1666152262928</v>
      </c>
      <c r="R181">
        <v>148088.00000000003</v>
      </c>
      <c r="S181" s="7">
        <v>46106</v>
      </c>
      <c r="T181">
        <f t="shared" si="41"/>
        <v>3879440.5531492545</v>
      </c>
      <c r="U181">
        <f t="shared" si="41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3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4">I193+H194-G194</f>
        <v>3129.8703189834232</v>
      </c>
      <c r="J194">
        <v>0.05</v>
      </c>
      <c r="K194">
        <f t="shared" si="43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4"/>
        <v>2954.4595486848812</v>
      </c>
      <c r="J195">
        <v>0.05</v>
      </c>
      <c r="K195">
        <f t="shared" si="43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4"/>
        <v>2719.1232809195053</v>
      </c>
      <c r="J196">
        <v>0.05</v>
      </c>
      <c r="K196">
        <f t="shared" si="43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4"/>
        <v>1426.688791274647</v>
      </c>
      <c r="J197">
        <v>0.05</v>
      </c>
      <c r="K197">
        <f t="shared" si="43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4"/>
        <v>1833.4104547057932</v>
      </c>
      <c r="J198">
        <v>0.05</v>
      </c>
      <c r="K198">
        <f t="shared" si="43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4"/>
        <v>976.88444780085592</v>
      </c>
      <c r="J199">
        <v>0.05</v>
      </c>
      <c r="K199">
        <f t="shared" si="43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4"/>
        <v>1222.2823793585903</v>
      </c>
      <c r="J200">
        <v>0.05</v>
      </c>
      <c r="K200">
        <f t="shared" si="43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4"/>
        <v>89.737484874831352</v>
      </c>
      <c r="J201">
        <v>0.05</v>
      </c>
      <c r="K201">
        <f t="shared" si="43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4"/>
        <v>171.19704729054138</v>
      </c>
      <c r="J202">
        <v>0.05</v>
      </c>
      <c r="K202">
        <f t="shared" si="43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4"/>
        <v>278.29828042263443</v>
      </c>
      <c r="J203">
        <v>0.05</v>
      </c>
      <c r="K203">
        <f t="shared" si="43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5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5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5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FA8C-1640-AC43-9301-03E3B0E9069F}">
  <dimension ref="A2:U220"/>
  <sheetViews>
    <sheetView tabSelected="1" topLeftCell="E38" zoomScaleNormal="100" workbookViewId="0">
      <selection activeCell="R42" sqref="R42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K15" si="2">F5*H5</f>
        <v>7724.5691872427979</v>
      </c>
      <c r="K5">
        <f t="shared" si="2"/>
        <v>0</v>
      </c>
      <c r="L5">
        <f t="shared" ref="L5:L16" si="3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2"/>
        <v>14069.511245706859</v>
      </c>
      <c r="L6">
        <f t="shared" si="3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2"/>
        <v>7152.7869457594607</v>
      </c>
      <c r="L7">
        <f t="shared" si="3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2"/>
        <v>7152.7869457594607</v>
      </c>
      <c r="L8">
        <f t="shared" si="3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2"/>
        <v>1447.123716312386</v>
      </c>
      <c r="L9">
        <f t="shared" si="3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2"/>
        <v>18161.313612033959</v>
      </c>
      <c r="L10">
        <f t="shared" si="3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2"/>
        <v>12639.892311851394</v>
      </c>
      <c r="L11">
        <f t="shared" si="3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2"/>
        <v>14821.390134097073</v>
      </c>
      <c r="L12">
        <f t="shared" si="3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2"/>
        <v>976.06520967627716</v>
      </c>
      <c r="L13">
        <f t="shared" si="3"/>
        <v>5737.1248804581701</v>
      </c>
      <c r="O13" t="s">
        <v>22</v>
      </c>
      <c r="P13">
        <f>K16</f>
        <v>102620.3682074003</v>
      </c>
      <c r="Q13">
        <f>K34</f>
        <v>80046.981272059056</v>
      </c>
      <c r="R13">
        <f t="shared" ref="R13:R16" si="4">100*(P13- Q13)/P13</f>
        <v>21.996984935504649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2"/>
        <v>7133.3015392635671</v>
      </c>
      <c r="L14">
        <f t="shared" si="3"/>
        <v>11894.361210045459</v>
      </c>
      <c r="O14" t="s">
        <v>42</v>
      </c>
      <c r="P14">
        <f>L51</f>
        <v>1975.7142857142853</v>
      </c>
      <c r="Q14">
        <f>M51</f>
        <v>-6271.3727227715071</v>
      </c>
      <c r="R14">
        <f t="shared" si="4"/>
        <v>417.42305899783486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2"/>
        <v>5641.1127046179927</v>
      </c>
      <c r="L15">
        <f t="shared" si="3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3"/>
        <v>178126.92262050201</v>
      </c>
      <c r="O16" s="9" t="s">
        <v>29</v>
      </c>
      <c r="P16">
        <f>SUM(P12:P15)</f>
        <v>180102.6369062163</v>
      </c>
      <c r="Q16">
        <f>SUM(Q12:Q15)</f>
        <v>149282.16296238927</v>
      </c>
      <c r="R16">
        <f t="shared" si="4"/>
        <v>17.112727760824502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155553.53568516078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9">
        <v>1.5315918917635199E-7</v>
      </c>
      <c r="J22">
        <f>F22*H22</f>
        <v>7471.0648148148148</v>
      </c>
      <c r="K22">
        <f>G22*I22</f>
        <v>2.1613985996765927E-7</v>
      </c>
      <c r="L22">
        <f>SUM(J22:K22)</f>
        <v>7471.0648150309544</v>
      </c>
      <c r="M22" s="16">
        <f t="shared" ref="M22:M33" si="5">SUM(H22:I22)</f>
        <v>4886.8312758733236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>
        <v>540.62315869746203</v>
      </c>
      <c r="J23">
        <f t="shared" ref="J23:J33" si="7">F23*H23</f>
        <v>7724.5691872427979</v>
      </c>
      <c r="K23">
        <f t="shared" ref="K23:K33" si="8">G23*I23</f>
        <v>0</v>
      </c>
      <c r="L23">
        <f t="shared" ref="L23:L34" si="9">SUM(J23:K23)</f>
        <v>7724.5691872427979</v>
      </c>
      <c r="M23" s="16">
        <f t="shared" si="5"/>
        <v>5427.4544344176265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>
        <v>4941.7401532788099</v>
      </c>
      <c r="J24">
        <f t="shared" si="7"/>
        <v>7935.0887345679021</v>
      </c>
      <c r="K24">
        <f t="shared" si="8"/>
        <v>7221.8330508429508</v>
      </c>
      <c r="L24">
        <f t="shared" si="9"/>
        <v>15156.921785410854</v>
      </c>
      <c r="M24" s="16">
        <f t="shared" si="5"/>
        <v>9828.5714289989737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>
        <v>7570.3115841096997</v>
      </c>
      <c r="J25">
        <f t="shared" si="7"/>
        <v>7935.0887345679021</v>
      </c>
      <c r="K25">
        <f t="shared" si="8"/>
        <v>7375.4756701818233</v>
      </c>
      <c r="L25">
        <f t="shared" si="9"/>
        <v>15310.564404749726</v>
      </c>
      <c r="M25" s="16">
        <f t="shared" si="5"/>
        <v>12457.142859829864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>
        <v>7770.31158376848</v>
      </c>
      <c r="J26">
        <f t="shared" si="7"/>
        <v>7935.0887345679021</v>
      </c>
      <c r="K26">
        <f t="shared" si="8"/>
        <v>7570.3283014283334</v>
      </c>
      <c r="L26">
        <f t="shared" si="9"/>
        <v>15505.417035996235</v>
      </c>
      <c r="M26" s="16">
        <f t="shared" si="5"/>
        <v>12657.142859488646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>
        <v>7113.1687245564199</v>
      </c>
      <c r="J27">
        <f t="shared" si="7"/>
        <v>7935.0887345679021</v>
      </c>
      <c r="K27">
        <f t="shared" si="8"/>
        <v>2310.0483404623587</v>
      </c>
      <c r="L27">
        <f t="shared" si="9"/>
        <v>10245.137075030261</v>
      </c>
      <c r="M27" s="16">
        <f t="shared" si="5"/>
        <v>12000.000000276585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>
        <v>8946.9245984865192</v>
      </c>
      <c r="J28">
        <f t="shared" si="7"/>
        <v>4765.2671188630493</v>
      </c>
      <c r="K28">
        <f t="shared" si="8"/>
        <v>15406.18802256595</v>
      </c>
      <c r="L28">
        <f t="shared" si="9"/>
        <v>20171.455141429</v>
      </c>
      <c r="M28" s="16">
        <f t="shared" si="5"/>
        <v>11714.285709597631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>
        <v>6575.4960321840599</v>
      </c>
      <c r="J29">
        <f>F29*H29</f>
        <v>4761.0596707818931</v>
      </c>
      <c r="K29">
        <f t="shared" si="8"/>
        <v>11312.701059692285</v>
      </c>
      <c r="L29">
        <f t="shared" si="9"/>
        <v>16073.760730474178</v>
      </c>
      <c r="M29" s="16">
        <f t="shared" si="5"/>
        <v>9342.8571432951721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>
        <v>6318.3531745293103</v>
      </c>
      <c r="J30">
        <f t="shared" si="7"/>
        <v>4761.0596707818931</v>
      </c>
      <c r="K30">
        <f t="shared" si="8"/>
        <v>14493.689696440499</v>
      </c>
      <c r="L30">
        <f t="shared" si="9"/>
        <v>19254.749367222394</v>
      </c>
      <c r="M30" s="16">
        <f t="shared" si="5"/>
        <v>9085.7142856404207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>
        <v>6261.21031907623</v>
      </c>
      <c r="J31">
        <f t="shared" si="7"/>
        <v>4761.0596707818931</v>
      </c>
      <c r="K31">
        <f t="shared" si="8"/>
        <v>1795.3080055430135</v>
      </c>
      <c r="L31">
        <f t="shared" si="9"/>
        <v>6556.3676763249068</v>
      </c>
      <c r="M31" s="16">
        <f t="shared" si="5"/>
        <v>9028.5714301873413</v>
      </c>
      <c r="N31" s="19"/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>
        <v>4918.3531743943704</v>
      </c>
      <c r="J32">
        <f t="shared" si="7"/>
        <v>4761.0596707818931</v>
      </c>
      <c r="K32">
        <f t="shared" si="8"/>
        <v>7051.3765955587114</v>
      </c>
      <c r="L32">
        <f t="shared" si="9"/>
        <v>11812.436266340605</v>
      </c>
      <c r="M32" s="16">
        <f t="shared" si="5"/>
        <v>7685.7142855054817</v>
      </c>
      <c r="N32" s="19"/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>
        <v>4804.06745988488</v>
      </c>
      <c r="J33">
        <f t="shared" si="7"/>
        <v>4761.0596707818931</v>
      </c>
      <c r="K33">
        <f t="shared" si="8"/>
        <v>5510.0325291269901</v>
      </c>
      <c r="L33">
        <f t="shared" si="9"/>
        <v>10271.092199908882</v>
      </c>
      <c r="M33" s="16">
        <f t="shared" si="5"/>
        <v>7571.4285709959913</v>
      </c>
      <c r="N33" s="19"/>
    </row>
    <row r="34" spans="2:18" x14ac:dyDescent="0.2">
      <c r="I34" t="s">
        <v>16</v>
      </c>
      <c r="J34">
        <f>SUM(J22:J33)</f>
        <v>75506.554413101723</v>
      </c>
      <c r="K34">
        <f>SUM(K22:K33)</f>
        <v>80046.981272059056</v>
      </c>
      <c r="L34">
        <f t="shared" si="9"/>
        <v>155553.53568516078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20">
        <f>M22</f>
        <v>4886.8312758733236</v>
      </c>
      <c r="K39">
        <f>E39+J39-G39</f>
        <v>-4427.4544384123901</v>
      </c>
      <c r="L39">
        <f>I39*0.05</f>
        <v>254.28571428571433</v>
      </c>
      <c r="M39">
        <f>K39*0.05</f>
        <v>-221.37272192061951</v>
      </c>
      <c r="O39" t="s">
        <v>21</v>
      </c>
      <c r="P39">
        <v>75506.554413101723</v>
      </c>
      <c r="Q39">
        <f>J70</f>
        <v>75506.554413101723</v>
      </c>
      <c r="R39">
        <f>100*(P39-Q39)/P39</f>
        <v>0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0">B40*1000/C40</f>
        <v>12000</v>
      </c>
      <c r="H40" s="16">
        <f t="shared" ref="H40:H50" si="11">SUM(H5:I5)</f>
        <v>7457.1428571428569</v>
      </c>
      <c r="I40" s="16">
        <f>I39+H40-G40</f>
        <v>542.85714285714312</v>
      </c>
      <c r="J40" s="20">
        <f t="shared" ref="J40:J50" si="12">M23</f>
        <v>5427.4544344176265</v>
      </c>
      <c r="K40">
        <f>K39+J40-G40</f>
        <v>-11000.000003994763</v>
      </c>
      <c r="L40">
        <f t="shared" ref="L40:L50" si="13">I40*0.05</f>
        <v>27.142857142857157</v>
      </c>
      <c r="M40">
        <f t="shared" ref="M40:M50" si="14">K40*0.05</f>
        <v>-550.00000019973811</v>
      </c>
      <c r="O40" t="s">
        <v>22</v>
      </c>
      <c r="P40">
        <v>102620.3682074003</v>
      </c>
      <c r="Q40">
        <f>K70</f>
        <v>95225.738794344288</v>
      </c>
      <c r="R40">
        <f t="shared" ref="R40:R43" si="15">100*(P40-Q40)/P40</f>
        <v>7.2058106419099373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0"/>
        <v>9828.5714285714294</v>
      </c>
      <c r="H41" s="16">
        <f t="shared" si="11"/>
        <v>14514.285714285714</v>
      </c>
      <c r="I41" s="16">
        <f t="shared" ref="I41:I50" si="16">I40+H41-G41</f>
        <v>5228.5714285714275</v>
      </c>
      <c r="J41" s="20">
        <f t="shared" si="12"/>
        <v>9828.5714289989737</v>
      </c>
      <c r="K41">
        <f>K40+J41-G41</f>
        <v>-11000.000003567218</v>
      </c>
      <c r="L41">
        <f t="shared" si="13"/>
        <v>261.42857142857139</v>
      </c>
      <c r="M41">
        <f t="shared" si="14"/>
        <v>-550.00000017836089</v>
      </c>
      <c r="O41" t="s">
        <v>42</v>
      </c>
      <c r="P41">
        <v>1975.7142857142853</v>
      </c>
      <c r="Q41">
        <f>P70</f>
        <v>792.8571422707995</v>
      </c>
      <c r="R41">
        <f t="shared" si="15"/>
        <v>59.869848185859738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0"/>
        <v>12457.142857142857</v>
      </c>
      <c r="H42" s="16">
        <f t="shared" si="11"/>
        <v>12228.571428571429</v>
      </c>
      <c r="I42" s="16">
        <f t="shared" si="16"/>
        <v>4999.9999999999982</v>
      </c>
      <c r="J42" s="20">
        <f t="shared" si="12"/>
        <v>12457.142859829864</v>
      </c>
      <c r="K42">
        <f t="shared" ref="K42:K50" si="17">K41+J42-G42</f>
        <v>-11000.000000880211</v>
      </c>
      <c r="L42">
        <f t="shared" si="13"/>
        <v>249.99999999999991</v>
      </c>
      <c r="M42">
        <f t="shared" si="14"/>
        <v>-550.00000004401056</v>
      </c>
      <c r="O42" t="s">
        <v>83</v>
      </c>
      <c r="P42">
        <v>0</v>
      </c>
      <c r="Q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0"/>
        <v>12657.142857142857</v>
      </c>
      <c r="H43" s="16">
        <f t="shared" si="11"/>
        <v>12228.571428571429</v>
      </c>
      <c r="I43" s="16">
        <f t="shared" si="16"/>
        <v>4571.4285714285706</v>
      </c>
      <c r="J43" s="20">
        <f t="shared" si="12"/>
        <v>12657.142859488646</v>
      </c>
      <c r="K43">
        <f t="shared" si="17"/>
        <v>-10999.999998534422</v>
      </c>
      <c r="L43">
        <f t="shared" si="13"/>
        <v>228.57142857142856</v>
      </c>
      <c r="M43">
        <f t="shared" si="14"/>
        <v>-549.9999999267211</v>
      </c>
      <c r="O43" t="s">
        <v>29</v>
      </c>
      <c r="P43">
        <v>180102.6369062163</v>
      </c>
      <c r="Q43">
        <f>SUM(Q39:Q42)</f>
        <v>171525.1503497168</v>
      </c>
      <c r="R43">
        <f t="shared" si="15"/>
        <v>4.7625546765125923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0"/>
        <v>12000</v>
      </c>
      <c r="H44" s="16">
        <f t="shared" si="11"/>
        <v>9342.8571428571431</v>
      </c>
      <c r="I44" s="16">
        <f t="shared" si="16"/>
        <v>1914.2857142857138</v>
      </c>
      <c r="J44" s="20">
        <f t="shared" si="12"/>
        <v>12000.000000276585</v>
      </c>
      <c r="K44">
        <f t="shared" si="17"/>
        <v>-10999.999998257837</v>
      </c>
      <c r="L44">
        <f t="shared" si="13"/>
        <v>95.714285714285694</v>
      </c>
      <c r="M44">
        <f t="shared" si="14"/>
        <v>-549.99999991289189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0"/>
        <v>11714.285714285714</v>
      </c>
      <c r="H45" s="16">
        <f t="shared" si="11"/>
        <v>13314.285714285714</v>
      </c>
      <c r="I45" s="16">
        <f t="shared" si="16"/>
        <v>3514.2857142857138</v>
      </c>
      <c r="J45" s="20">
        <f t="shared" si="12"/>
        <v>11714.285709597631</v>
      </c>
      <c r="K45">
        <f t="shared" si="17"/>
        <v>-11000.000002945921</v>
      </c>
      <c r="L45">
        <f t="shared" si="13"/>
        <v>175.71428571428569</v>
      </c>
      <c r="M45">
        <f t="shared" si="14"/>
        <v>-550.00000014729608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0"/>
        <v>9342.8571428571431</v>
      </c>
      <c r="H46" s="16">
        <f t="shared" si="11"/>
        <v>10114.285714285714</v>
      </c>
      <c r="I46" s="16">
        <f t="shared" si="16"/>
        <v>4285.7142857142844</v>
      </c>
      <c r="J46" s="20">
        <f t="shared" si="12"/>
        <v>9342.8571432951721</v>
      </c>
      <c r="K46">
        <f t="shared" si="17"/>
        <v>-11000.000002507892</v>
      </c>
      <c r="L46">
        <f t="shared" si="13"/>
        <v>214.28571428571422</v>
      </c>
      <c r="M46">
        <f t="shared" si="14"/>
        <v>-550.00000012539465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0"/>
        <v>9085.7142857142862</v>
      </c>
      <c r="H47" s="16">
        <f t="shared" si="11"/>
        <v>9228.5714285714294</v>
      </c>
      <c r="I47" s="16">
        <f t="shared" si="16"/>
        <v>4428.5714285714275</v>
      </c>
      <c r="J47" s="20">
        <f t="shared" si="12"/>
        <v>9085.7142856404207</v>
      </c>
      <c r="K47">
        <f t="shared" si="17"/>
        <v>-11000.000002581757</v>
      </c>
      <c r="L47">
        <f t="shared" si="13"/>
        <v>221.42857142857139</v>
      </c>
      <c r="M47">
        <f t="shared" si="14"/>
        <v>-550.00000012908788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0"/>
        <v>9028.5714285714294</v>
      </c>
      <c r="H48" s="16">
        <f t="shared" si="11"/>
        <v>6171.4285714285716</v>
      </c>
      <c r="I48" s="16">
        <f t="shared" si="16"/>
        <v>1571.4285714285706</v>
      </c>
      <c r="J48" s="20">
        <f t="shared" si="12"/>
        <v>9028.5714301873413</v>
      </c>
      <c r="K48">
        <f t="shared" si="17"/>
        <v>-11000.000000965845</v>
      </c>
      <c r="L48">
        <f t="shared" si="13"/>
        <v>78.571428571428541</v>
      </c>
      <c r="M48">
        <f t="shared" si="14"/>
        <v>-550.00000004829224</v>
      </c>
    </row>
    <row r="49" spans="1:19" ht="16" x14ac:dyDescent="0.2">
      <c r="B49" s="17">
        <v>269</v>
      </c>
      <c r="C49" s="8">
        <v>35</v>
      </c>
      <c r="F49" s="14">
        <v>46054</v>
      </c>
      <c r="G49">
        <f t="shared" si="10"/>
        <v>7685.7142857142853</v>
      </c>
      <c r="H49" s="16">
        <f t="shared" si="11"/>
        <v>7742.8571428571431</v>
      </c>
      <c r="I49" s="16">
        <f t="shared" si="16"/>
        <v>1628.5714285714284</v>
      </c>
      <c r="J49" s="20">
        <f t="shared" si="12"/>
        <v>7685.7142855054817</v>
      </c>
      <c r="K49">
        <f t="shared" si="17"/>
        <v>-11000.000001174649</v>
      </c>
      <c r="L49">
        <f t="shared" si="13"/>
        <v>81.428571428571431</v>
      </c>
      <c r="M49">
        <f t="shared" si="14"/>
        <v>-550.00000005873244</v>
      </c>
    </row>
    <row r="50" spans="1:19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1"/>
        <v>7685.7142857142853</v>
      </c>
      <c r="I50" s="16">
        <f t="shared" si="16"/>
        <v>1742.8571428571422</v>
      </c>
      <c r="J50" s="20">
        <f t="shared" si="12"/>
        <v>7571.4285709959913</v>
      </c>
      <c r="K50">
        <f t="shared" si="17"/>
        <v>-11000.00000160723</v>
      </c>
      <c r="L50">
        <f t="shared" si="13"/>
        <v>87.14285714285711</v>
      </c>
      <c r="M50">
        <f t="shared" si="14"/>
        <v>-550.00000008036147</v>
      </c>
    </row>
    <row r="51" spans="1:19" x14ac:dyDescent="0.2">
      <c r="K51" t="s">
        <v>16</v>
      </c>
      <c r="L51">
        <f>SUM(L39:L50)</f>
        <v>1975.7142857142853</v>
      </c>
      <c r="M51">
        <f>SUM(M39:M50)</f>
        <v>-6271.3727227715071</v>
      </c>
    </row>
    <row r="56" spans="1:19" x14ac:dyDescent="0.2">
      <c r="B56" s="9" t="s">
        <v>95</v>
      </c>
    </row>
    <row r="57" spans="1:19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1:19" x14ac:dyDescent="0.2">
      <c r="A58">
        <v>1000</v>
      </c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>
        <v>9513.1687239999901</v>
      </c>
      <c r="J58">
        <f>F58*H58</f>
        <v>7471.0648148148148</v>
      </c>
      <c r="K58">
        <f>G58*I58</f>
        <v>13425.083841926933</v>
      </c>
      <c r="L58">
        <f>SUM(J58:K58)</f>
        <v>20896.148656741749</v>
      </c>
      <c r="M58" s="16">
        <f>SUM(H58:I58)</f>
        <v>14399.999999720156</v>
      </c>
      <c r="O58" s="16">
        <f>A58+M58-G39</f>
        <v>5085.714285434442</v>
      </c>
      <c r="P58">
        <f>O58*0.05</f>
        <v>254.2857142717221</v>
      </c>
      <c r="R58" s="19">
        <v>2.4889492989708898E-7</v>
      </c>
      <c r="S58" s="19">
        <v>2.4889492989708898E-7</v>
      </c>
    </row>
    <row r="59" spans="1:19" x14ac:dyDescent="0.2">
      <c r="B59" s="14">
        <v>45778</v>
      </c>
      <c r="C59">
        <v>261</v>
      </c>
      <c r="D59" s="8">
        <v>35</v>
      </c>
      <c r="E59">
        <f t="shared" ref="E59:E69" si="18">C59*1000/D59</f>
        <v>7457.1428571428569</v>
      </c>
      <c r="F59">
        <v>1.5806907894736841</v>
      </c>
      <c r="G59">
        <v>0</v>
      </c>
      <c r="H59" s="16">
        <v>4886.8312757201647</v>
      </c>
      <c r="I59">
        <v>2570.3115809999999</v>
      </c>
      <c r="J59">
        <f t="shared" ref="J59:K69" si="19">F59*H59</f>
        <v>7724.5691872427979</v>
      </c>
      <c r="K59">
        <f t="shared" si="19"/>
        <v>0</v>
      </c>
      <c r="L59">
        <f t="shared" ref="L59:L70" si="20">SUM(J59:K59)</f>
        <v>7724.5691872427979</v>
      </c>
      <c r="M59" s="16">
        <f t="shared" ref="M59:M61" si="21">SUM(H59:I59)</f>
        <v>7457.1428567201647</v>
      </c>
      <c r="O59" s="16">
        <f>O58+M59-G40</f>
        <v>542.85714215460757</v>
      </c>
      <c r="P59">
        <f t="shared" ref="P59:P69" si="22">O59*0.05</f>
        <v>27.142857107730379</v>
      </c>
      <c r="R59">
        <v>1040.6231586454401</v>
      </c>
      <c r="S59">
        <v>1040.6231586454401</v>
      </c>
    </row>
    <row r="60" spans="1:19" x14ac:dyDescent="0.2">
      <c r="B60" s="14">
        <v>45809</v>
      </c>
      <c r="C60">
        <v>508</v>
      </c>
      <c r="D60" s="8">
        <v>35</v>
      </c>
      <c r="E60">
        <f t="shared" si="18"/>
        <v>14514.285714285714</v>
      </c>
      <c r="F60">
        <v>1.6237697368421053</v>
      </c>
      <c r="G60">
        <v>1.4613947368421052</v>
      </c>
      <c r="H60" s="16">
        <v>4886.8312757201647</v>
      </c>
      <c r="I60">
        <v>9627.4544389999992</v>
      </c>
      <c r="J60">
        <f t="shared" si="19"/>
        <v>7935.0887345679021</v>
      </c>
      <c r="K60">
        <f t="shared" si="19"/>
        <v>14069.511246341761</v>
      </c>
      <c r="L60">
        <f t="shared" si="20"/>
        <v>22004.599980909661</v>
      </c>
      <c r="M60" s="16">
        <f t="shared" si="21"/>
        <v>14514.285714720165</v>
      </c>
      <c r="O60" s="16">
        <f t="shared" ref="O60:O69" si="23">O59+M60-G41</f>
        <v>5228.5714283033431</v>
      </c>
      <c r="P60">
        <f t="shared" si="22"/>
        <v>261.42857141516714</v>
      </c>
      <c r="R60">
        <v>4941.7401525896903</v>
      </c>
      <c r="S60">
        <v>4941.7401525896903</v>
      </c>
    </row>
    <row r="61" spans="1:19" x14ac:dyDescent="0.2">
      <c r="B61" s="14">
        <v>45839</v>
      </c>
      <c r="C61">
        <v>428</v>
      </c>
      <c r="D61" s="8">
        <v>35</v>
      </c>
      <c r="E61">
        <f t="shared" si="18"/>
        <v>12228.571428571429</v>
      </c>
      <c r="F61">
        <v>1.6237697368421053</v>
      </c>
      <c r="G61">
        <v>0.97426315789473683</v>
      </c>
      <c r="H61" s="16">
        <v>4886.8312757201647</v>
      </c>
      <c r="I61">
        <v>7341.7401529999997</v>
      </c>
      <c r="J61">
        <f t="shared" si="19"/>
        <v>7935.0887345679021</v>
      </c>
      <c r="K61">
        <f t="shared" si="19"/>
        <v>7152.7869459043677</v>
      </c>
      <c r="L61">
        <f t="shared" si="20"/>
        <v>15087.875680472269</v>
      </c>
      <c r="M61" s="16">
        <f t="shared" si="21"/>
        <v>12228.571428720164</v>
      </c>
      <c r="O61" s="16">
        <f t="shared" si="23"/>
        <v>4999.9999998806506</v>
      </c>
      <c r="P61">
        <f t="shared" si="22"/>
        <v>249.99999999403255</v>
      </c>
      <c r="R61">
        <v>7570.3115839435704</v>
      </c>
      <c r="S61">
        <v>7570.3115839435704</v>
      </c>
    </row>
    <row r="62" spans="1:19" x14ac:dyDescent="0.2">
      <c r="B62" s="14">
        <v>45870</v>
      </c>
      <c r="C62">
        <v>428</v>
      </c>
      <c r="D62" s="8">
        <v>35</v>
      </c>
      <c r="E62">
        <f t="shared" si="18"/>
        <v>12228.571428571429</v>
      </c>
      <c r="F62">
        <v>1.6237697368421053</v>
      </c>
      <c r="G62">
        <v>0.97426315789473683</v>
      </c>
      <c r="H62" s="16">
        <v>4886.8312757201647</v>
      </c>
      <c r="I62">
        <v>2770.3115821323399</v>
      </c>
      <c r="J62">
        <f t="shared" si="19"/>
        <v>7935.0887345679021</v>
      </c>
      <c r="K62">
        <f t="shared" si="19"/>
        <v>2699.0125103606183</v>
      </c>
      <c r="L62">
        <f t="shared" si="20"/>
        <v>10634.101244928521</v>
      </c>
      <c r="M62" s="16">
        <f t="shared" ref="M62:M69" si="24">SUM(H62:I62)</f>
        <v>7657.1428578525047</v>
      </c>
      <c r="O62" s="16">
        <f t="shared" si="23"/>
        <v>5.9029844123870134E-7</v>
      </c>
      <c r="P62">
        <f t="shared" si="22"/>
        <v>2.9514922061935067E-8</v>
      </c>
      <c r="R62">
        <v>7770.3115839225802</v>
      </c>
      <c r="S62">
        <v>7770.3115839225802</v>
      </c>
    </row>
    <row r="63" spans="1:19" x14ac:dyDescent="0.2">
      <c r="B63" s="14">
        <v>45901</v>
      </c>
      <c r="C63">
        <v>327</v>
      </c>
      <c r="D63" s="8">
        <v>35</v>
      </c>
      <c r="E63">
        <f t="shared" si="18"/>
        <v>9342.8571428571431</v>
      </c>
      <c r="F63">
        <v>1.6237697368421053</v>
      </c>
      <c r="G63">
        <v>0.32475657894736842</v>
      </c>
      <c r="H63" s="16">
        <v>4886.8312757201647</v>
      </c>
      <c r="I63">
        <v>7113.1687252683996</v>
      </c>
      <c r="J63">
        <f t="shared" si="19"/>
        <v>7935.0887345679021</v>
      </c>
      <c r="K63">
        <f t="shared" si="19"/>
        <v>2310.0483406935791</v>
      </c>
      <c r="L63">
        <f t="shared" si="20"/>
        <v>10245.137075261482</v>
      </c>
      <c r="M63" s="16">
        <f t="shared" si="24"/>
        <v>12000.000000988564</v>
      </c>
      <c r="O63" s="16">
        <f t="shared" si="23"/>
        <v>1.5788627933943644E-6</v>
      </c>
      <c r="P63">
        <f t="shared" si="22"/>
        <v>7.8943139669718229E-8</v>
      </c>
      <c r="R63">
        <v>7113.1687240479496</v>
      </c>
      <c r="S63">
        <v>7113.1687240479496</v>
      </c>
    </row>
    <row r="64" spans="1:19" x14ac:dyDescent="0.2">
      <c r="B64" s="14">
        <v>45931</v>
      </c>
      <c r="C64">
        <v>466</v>
      </c>
      <c r="D64" s="8">
        <v>35</v>
      </c>
      <c r="E64">
        <f t="shared" si="18"/>
        <v>13314.285714285714</v>
      </c>
      <c r="F64">
        <v>1.7219534883720931</v>
      </c>
      <c r="G64">
        <v>1.7219534883720931</v>
      </c>
      <c r="H64" s="16">
        <v>2767.3611111111113</v>
      </c>
      <c r="I64">
        <v>8946.9245985163598</v>
      </c>
      <c r="J64">
        <f t="shared" si="19"/>
        <v>4765.2671188630493</v>
      </c>
      <c r="K64">
        <f t="shared" si="19"/>
        <v>15406.188022617334</v>
      </c>
      <c r="L64">
        <f t="shared" si="20"/>
        <v>20171.455141480383</v>
      </c>
      <c r="M64" s="16">
        <f t="shared" si="24"/>
        <v>11714.285709627471</v>
      </c>
      <c r="O64" s="16">
        <f t="shared" si="23"/>
        <v>-3.0793798941886052E-6</v>
      </c>
      <c r="P64">
        <f t="shared" si="22"/>
        <v>-1.5396899470943027E-7</v>
      </c>
      <c r="R64">
        <v>8946.9245989600804</v>
      </c>
      <c r="S64">
        <v>8946.9245989600804</v>
      </c>
    </row>
    <row r="65" spans="2:19" x14ac:dyDescent="0.2">
      <c r="B65" s="14">
        <v>45962</v>
      </c>
      <c r="C65">
        <v>354</v>
      </c>
      <c r="D65" s="8">
        <v>35</v>
      </c>
      <c r="E65">
        <f t="shared" si="18"/>
        <v>10114.285714285714</v>
      </c>
      <c r="F65">
        <v>1.720433105627585</v>
      </c>
      <c r="G65">
        <v>1.720433105627585</v>
      </c>
      <c r="H65" s="16">
        <v>2767.3611111111113</v>
      </c>
      <c r="I65">
        <v>6575.4960321757098</v>
      </c>
      <c r="J65">
        <f>F65*H65</f>
        <v>4761.0596707818931</v>
      </c>
      <c r="K65">
        <f t="shared" si="19"/>
        <v>11312.701059677918</v>
      </c>
      <c r="L65">
        <f t="shared" si="20"/>
        <v>16073.760730459811</v>
      </c>
      <c r="M65" s="16">
        <f t="shared" si="24"/>
        <v>9342.8571432868212</v>
      </c>
      <c r="O65" s="16">
        <f t="shared" si="23"/>
        <v>-2.6497018552618101E-6</v>
      </c>
      <c r="P65">
        <f t="shared" si="22"/>
        <v>-1.324850927630905E-7</v>
      </c>
      <c r="R65">
        <v>6575.4960320465498</v>
      </c>
      <c r="S65">
        <v>6575.4960320465498</v>
      </c>
    </row>
    <row r="66" spans="2:19" x14ac:dyDescent="0.2">
      <c r="B66" s="14">
        <v>45992</v>
      </c>
      <c r="C66">
        <v>323</v>
      </c>
      <c r="D66" s="8">
        <v>35</v>
      </c>
      <c r="E66">
        <f t="shared" si="18"/>
        <v>9228.5714285714294</v>
      </c>
      <c r="F66">
        <v>1.720433105627585</v>
      </c>
      <c r="G66">
        <v>2.2939030624099632</v>
      </c>
      <c r="H66" s="16">
        <v>2767.3611111111113</v>
      </c>
      <c r="I66">
        <v>6318.3531745687897</v>
      </c>
      <c r="J66">
        <f t="shared" ref="J66:J69" si="25">F66*H66</f>
        <v>4761.0596707818931</v>
      </c>
      <c r="K66">
        <f t="shared" si="19"/>
        <v>14493.689696531059</v>
      </c>
      <c r="L66">
        <f t="shared" si="20"/>
        <v>19254.74936731295</v>
      </c>
      <c r="M66" s="16">
        <f t="shared" si="24"/>
        <v>9085.7142856799001</v>
      </c>
      <c r="O66" s="16">
        <f t="shared" si="23"/>
        <v>-2.684088030946441E-6</v>
      </c>
      <c r="P66">
        <f t="shared" si="22"/>
        <v>-1.3420440154732207E-7</v>
      </c>
      <c r="R66">
        <v>6318.3531747647503</v>
      </c>
      <c r="S66">
        <v>6318.3531747647503</v>
      </c>
    </row>
    <row r="67" spans="2:19" x14ac:dyDescent="0.2">
      <c r="B67" s="14">
        <v>46023</v>
      </c>
      <c r="C67">
        <v>216</v>
      </c>
      <c r="D67" s="8">
        <v>35</v>
      </c>
      <c r="E67">
        <f t="shared" si="18"/>
        <v>6171.4285714285716</v>
      </c>
      <c r="F67">
        <v>1.720433105627585</v>
      </c>
      <c r="G67">
        <v>0.28673497839118917</v>
      </c>
      <c r="H67" s="16">
        <v>2767.3611111111113</v>
      </c>
      <c r="I67">
        <v>6261.2103190224898</v>
      </c>
      <c r="J67">
        <f t="shared" si="25"/>
        <v>4761.0596707818931</v>
      </c>
      <c r="K67">
        <f t="shared" si="19"/>
        <v>1795.3080055276043</v>
      </c>
      <c r="L67">
        <f t="shared" si="20"/>
        <v>6556.3676763094973</v>
      </c>
      <c r="M67" s="16">
        <f t="shared" si="24"/>
        <v>9028.5714301336011</v>
      </c>
      <c r="O67" s="16">
        <f t="shared" si="23"/>
        <v>-1.1219162843190134E-6</v>
      </c>
      <c r="P67">
        <f t="shared" si="22"/>
        <v>-5.6095814215950668E-8</v>
      </c>
      <c r="R67">
        <v>6261.2103181756202</v>
      </c>
      <c r="S67">
        <v>6261.2103181756202</v>
      </c>
    </row>
    <row r="68" spans="2:19" x14ac:dyDescent="0.2">
      <c r="B68" s="14">
        <v>46054</v>
      </c>
      <c r="C68">
        <v>271</v>
      </c>
      <c r="D68" s="8">
        <v>35</v>
      </c>
      <c r="E68">
        <f t="shared" si="18"/>
        <v>7742.8571428571431</v>
      </c>
      <c r="F68">
        <v>1.720433105627585</v>
      </c>
      <c r="G68">
        <v>1.4336865095961708</v>
      </c>
      <c r="H68" s="16">
        <v>2767.3611111111113</v>
      </c>
      <c r="I68">
        <v>4918.3531744415704</v>
      </c>
      <c r="J68">
        <f t="shared" si="25"/>
        <v>4761.0596707818931</v>
      </c>
      <c r="K68">
        <f t="shared" si="19"/>
        <v>7051.3765956263815</v>
      </c>
      <c r="L68">
        <f t="shared" si="20"/>
        <v>11812.436266408275</v>
      </c>
      <c r="M68" s="16">
        <f t="shared" si="24"/>
        <v>7685.7142855526818</v>
      </c>
      <c r="O68" s="16">
        <f t="shared" si="23"/>
        <v>-1.2835198504035361E-6</v>
      </c>
      <c r="P68">
        <f t="shared" si="22"/>
        <v>-6.4175992520176806E-8</v>
      </c>
      <c r="R68">
        <v>4918.3531750745196</v>
      </c>
      <c r="S68">
        <v>4918.3531750745196</v>
      </c>
    </row>
    <row r="69" spans="2:19" x14ac:dyDescent="0.2">
      <c r="B69" s="14">
        <v>46082</v>
      </c>
      <c r="C69">
        <v>269</v>
      </c>
      <c r="D69" s="8">
        <v>35</v>
      </c>
      <c r="E69">
        <f t="shared" si="18"/>
        <v>7685.7142857142853</v>
      </c>
      <c r="F69">
        <v>1.720433105627585</v>
      </c>
      <c r="G69">
        <v>1.1469515312049816</v>
      </c>
      <c r="H69" s="16">
        <v>2767.3611111111113</v>
      </c>
      <c r="I69">
        <v>4804.0674598933701</v>
      </c>
      <c r="J69">
        <f t="shared" si="25"/>
        <v>4761.0596707818931</v>
      </c>
      <c r="K69">
        <f t="shared" si="19"/>
        <v>5510.0325291367271</v>
      </c>
      <c r="L69">
        <f t="shared" si="20"/>
        <v>10271.092199918621</v>
      </c>
      <c r="M69" s="16">
        <f t="shared" si="24"/>
        <v>7571.4285710044815</v>
      </c>
      <c r="O69" s="16">
        <f t="shared" si="23"/>
        <v>-1.7076099538826384E-6</v>
      </c>
      <c r="P69">
        <f t="shared" si="22"/>
        <v>-8.5380497694131924E-8</v>
      </c>
      <c r="R69">
        <v>4804.0674600945304</v>
      </c>
      <c r="S69">
        <v>4804.0674600945304</v>
      </c>
    </row>
    <row r="70" spans="2:19" x14ac:dyDescent="0.2">
      <c r="I70" t="s">
        <v>16</v>
      </c>
      <c r="J70">
        <f>SUM(J58:J69)</f>
        <v>75506.554413101723</v>
      </c>
      <c r="K70">
        <f>SUM(K58:K69)</f>
        <v>95225.738794344288</v>
      </c>
      <c r="L70">
        <f t="shared" si="20"/>
        <v>170732.293207446</v>
      </c>
      <c r="P70" s="18">
        <f>SUM(P58:P69)</f>
        <v>792.8571422707995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2" t="s">
        <v>58</v>
      </c>
      <c r="J130">
        <v>1316511.5530000001</v>
      </c>
      <c r="K130">
        <v>765195</v>
      </c>
    </row>
    <row r="131" spans="2:14" x14ac:dyDescent="0.2">
      <c r="I131" s="22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6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6"/>
        <v>240264.99999999997</v>
      </c>
      <c r="J138">
        <f t="shared" ref="J138:J148" si="27">E138*F138*H138</f>
        <v>0</v>
      </c>
      <c r="K138">
        <f t="shared" ref="K138:K148" si="28">I138+J138</f>
        <v>240264.99999999997</v>
      </c>
      <c r="L138" s="7">
        <v>45802</v>
      </c>
      <c r="M138">
        <f>M137+J138</f>
        <v>108996.8553735357</v>
      </c>
      <c r="N138">
        <f t="shared" ref="N138:N148" si="29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6"/>
        <v>246813</v>
      </c>
      <c r="J139">
        <f t="shared" si="27"/>
        <v>115693.66673321562</v>
      </c>
      <c r="K139">
        <f t="shared" si="28"/>
        <v>362506.66673321562</v>
      </c>
      <c r="L139" s="7">
        <v>45833</v>
      </c>
      <c r="M139">
        <f t="shared" ref="M139:M148" si="30">M138+J139</f>
        <v>224690.52210675133</v>
      </c>
      <c r="N139">
        <f t="shared" si="29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6"/>
        <v>246813</v>
      </c>
      <c r="J140">
        <f t="shared" si="27"/>
        <v>41568.514657243817</v>
      </c>
      <c r="K140">
        <f t="shared" si="28"/>
        <v>288381.5146572438</v>
      </c>
      <c r="L140" s="7">
        <v>45863</v>
      </c>
      <c r="M140">
        <f t="shared" si="30"/>
        <v>266259.03676399513</v>
      </c>
      <c r="N140">
        <f t="shared" si="29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6"/>
        <v>246813</v>
      </c>
      <c r="J141">
        <f t="shared" si="27"/>
        <v>41568.514657243817</v>
      </c>
      <c r="K141">
        <f t="shared" si="28"/>
        <v>288381.5146572438</v>
      </c>
      <c r="L141" s="7">
        <v>45894</v>
      </c>
      <c r="M141">
        <f t="shared" si="30"/>
        <v>307827.55142123892</v>
      </c>
      <c r="N141">
        <f t="shared" si="29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6"/>
        <v>246813</v>
      </c>
      <c r="J142">
        <f t="shared" si="27"/>
        <v>0</v>
      </c>
      <c r="K142">
        <f t="shared" si="28"/>
        <v>246813</v>
      </c>
      <c r="L142" s="7">
        <v>45925</v>
      </c>
      <c r="M142">
        <f t="shared" si="30"/>
        <v>307827.55142123892</v>
      </c>
      <c r="N142">
        <f t="shared" si="29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6"/>
        <v>148088</v>
      </c>
      <c r="J143">
        <f t="shared" si="27"/>
        <v>216681.9452972213</v>
      </c>
      <c r="K143">
        <f t="shared" si="28"/>
        <v>364769.9452972213</v>
      </c>
      <c r="L143" s="7">
        <v>45955</v>
      </c>
      <c r="M143">
        <f t="shared" si="30"/>
        <v>524509.49671846023</v>
      </c>
      <c r="N143">
        <f t="shared" si="29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6"/>
        <v>148088.00000000003</v>
      </c>
      <c r="J144">
        <f t="shared" si="27"/>
        <v>128568.65599005947</v>
      </c>
      <c r="K144">
        <f t="shared" si="28"/>
        <v>276656.65599005949</v>
      </c>
      <c r="L144" s="7">
        <v>45986</v>
      </c>
      <c r="M144">
        <f t="shared" si="30"/>
        <v>653078.15270851972</v>
      </c>
      <c r="N144">
        <f t="shared" si="29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6"/>
        <v>148088.00000000003</v>
      </c>
      <c r="J145">
        <f t="shared" si="27"/>
        <v>139690.69560277648</v>
      </c>
      <c r="K145">
        <f t="shared" si="28"/>
        <v>287778.69560277648</v>
      </c>
      <c r="L145" s="7">
        <v>46016</v>
      </c>
      <c r="M145">
        <f t="shared" si="30"/>
        <v>792768.8483112962</v>
      </c>
      <c r="N145">
        <f t="shared" si="29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6"/>
        <v>148088.00000000003</v>
      </c>
      <c r="J146">
        <f t="shared" si="27"/>
        <v>3427.052604850729</v>
      </c>
      <c r="K146">
        <f t="shared" si="28"/>
        <v>151515.05260485076</v>
      </c>
      <c r="L146" s="7">
        <v>46047</v>
      </c>
      <c r="M146">
        <f t="shared" si="30"/>
        <v>796195.90091614693</v>
      </c>
      <c r="N146">
        <f t="shared" si="29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6"/>
        <v>148088.00000000003</v>
      </c>
      <c r="J147">
        <f t="shared" si="27"/>
        <v>53017.714351968039</v>
      </c>
      <c r="K147">
        <f t="shared" si="28"/>
        <v>201105.71435196808</v>
      </c>
      <c r="L147" s="7">
        <v>46078</v>
      </c>
      <c r="M147">
        <f t="shared" si="30"/>
        <v>849213.61526811495</v>
      </c>
      <c r="N147">
        <f t="shared" si="29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6"/>
        <v>148088.00000000003</v>
      </c>
      <c r="J148">
        <f t="shared" si="27"/>
        <v>41617.496320264065</v>
      </c>
      <c r="K148">
        <f t="shared" si="28"/>
        <v>189705.49632026409</v>
      </c>
      <c r="L148" s="7">
        <v>46106</v>
      </c>
      <c r="M148">
        <f t="shared" si="30"/>
        <v>890831.11158837902</v>
      </c>
      <c r="N148">
        <f t="shared" si="29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1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1"/>
        <v>240264.99999999997</v>
      </c>
      <c r="J154">
        <f t="shared" ref="J154:J164" si="32">E154*F154*H154</f>
        <v>0</v>
      </c>
      <c r="K154">
        <f t="shared" ref="K154:K164" si="33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1"/>
        <v>246813</v>
      </c>
      <c r="J155">
        <f t="shared" si="32"/>
        <v>115693.66673321562</v>
      </c>
      <c r="K155">
        <f t="shared" si="33"/>
        <v>362506.66673321562</v>
      </c>
      <c r="M155">
        <f t="shared" ref="M155:M164" si="34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1"/>
        <v>246813</v>
      </c>
      <c r="J156">
        <f t="shared" si="32"/>
        <v>191142.6374736836</v>
      </c>
      <c r="K156">
        <f t="shared" si="33"/>
        <v>437955.63747368357</v>
      </c>
      <c r="M156">
        <f t="shared" si="34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1"/>
        <v>246813</v>
      </c>
      <c r="J157">
        <f t="shared" si="32"/>
        <v>212124.36884210526</v>
      </c>
      <c r="K157">
        <f t="shared" si="33"/>
        <v>458937.36884210526</v>
      </c>
      <c r="M157">
        <f t="shared" si="34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1"/>
        <v>246813</v>
      </c>
      <c r="J158">
        <f t="shared" si="32"/>
        <v>0</v>
      </c>
      <c r="K158">
        <f t="shared" si="33"/>
        <v>246813</v>
      </c>
      <c r="M158">
        <f t="shared" si="34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1"/>
        <v>148088</v>
      </c>
      <c r="J159">
        <f t="shared" si="32"/>
        <v>0</v>
      </c>
      <c r="K159">
        <f t="shared" si="33"/>
        <v>148088</v>
      </c>
      <c r="M159">
        <f t="shared" si="34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1"/>
        <v>148088.00000000003</v>
      </c>
      <c r="J160">
        <f t="shared" si="32"/>
        <v>31304.936927521801</v>
      </c>
      <c r="K160">
        <f t="shared" si="33"/>
        <v>179392.93692752183</v>
      </c>
      <c r="M160">
        <f t="shared" si="34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1"/>
        <v>148088.00000000003</v>
      </c>
      <c r="J161">
        <f t="shared" si="32"/>
        <v>0</v>
      </c>
      <c r="K161">
        <f t="shared" si="33"/>
        <v>148088.00000000003</v>
      </c>
      <c r="M161">
        <f t="shared" si="34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1"/>
        <v>148088.00000000003</v>
      </c>
      <c r="J162">
        <f t="shared" si="32"/>
        <v>0</v>
      </c>
      <c r="K162">
        <f t="shared" si="33"/>
        <v>148088.00000000003</v>
      </c>
      <c r="M162">
        <f t="shared" si="34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1"/>
        <v>148088.00000000003</v>
      </c>
      <c r="J163">
        <f t="shared" si="32"/>
        <v>0</v>
      </c>
      <c r="K163">
        <f t="shared" si="33"/>
        <v>148088.00000000003</v>
      </c>
      <c r="M163">
        <f t="shared" si="34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1"/>
        <v>148088.00000000003</v>
      </c>
      <c r="J164">
        <f t="shared" si="32"/>
        <v>0</v>
      </c>
      <c r="K164">
        <f t="shared" si="33"/>
        <v>148088.00000000003</v>
      </c>
      <c r="M164">
        <f t="shared" si="34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5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5"/>
        <v>1654.4669661241915</v>
      </c>
      <c r="L171">
        <v>25</v>
      </c>
      <c r="O171">
        <v>240264.99999999997</v>
      </c>
      <c r="P171">
        <f t="shared" ref="P171:P181" si="36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37">I171+H172-G172</f>
        <v>3129.8703189834232</v>
      </c>
      <c r="J172">
        <v>0.05</v>
      </c>
      <c r="K172">
        <f t="shared" si="35"/>
        <v>3912.3378987292795</v>
      </c>
      <c r="L172">
        <v>25</v>
      </c>
      <c r="O172">
        <v>474790.57894736843</v>
      </c>
      <c r="P172">
        <f t="shared" si="36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38">O172+T171</f>
        <v>1161939.5789473685</v>
      </c>
      <c r="U172">
        <f t="shared" si="38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39">SUM(G156:H156)</f>
        <v>11194.444444444423</v>
      </c>
      <c r="I173">
        <f t="shared" si="37"/>
        <v>7890.3321475300727</v>
      </c>
      <c r="J173">
        <v>0.05</v>
      </c>
      <c r="K173">
        <f t="shared" si="35"/>
        <v>9862.9151844125918</v>
      </c>
      <c r="L173">
        <v>25</v>
      </c>
      <c r="O173">
        <v>351059.15789473685</v>
      </c>
      <c r="P173">
        <f t="shared" si="36"/>
        <v>477018.32306021225</v>
      </c>
      <c r="Q173">
        <v>18080.954218106992</v>
      </c>
      <c r="R173">
        <v>458937.36884210526</v>
      </c>
      <c r="S173" s="7">
        <v>45863</v>
      </c>
      <c r="T173">
        <f t="shared" si="38"/>
        <v>1512998.7368421054</v>
      </c>
      <c r="U173">
        <f t="shared" si="38"/>
        <v>1849345.7613032269</v>
      </c>
    </row>
    <row r="174" spans="2:21" x14ac:dyDescent="0.2">
      <c r="F174" s="7">
        <v>45894</v>
      </c>
      <c r="G174">
        <v>6493.9081133646077</v>
      </c>
      <c r="H174">
        <f t="shared" si="39"/>
        <v>11886.831275720164</v>
      </c>
      <c r="I174">
        <f t="shared" si="37"/>
        <v>13283.25530988563</v>
      </c>
      <c r="J174">
        <v>0.05</v>
      </c>
      <c r="K174">
        <f t="shared" si="35"/>
        <v>16604.069137357037</v>
      </c>
      <c r="L174">
        <v>25</v>
      </c>
      <c r="O174">
        <v>351059.15789473685</v>
      </c>
      <c r="P174">
        <f t="shared" si="36"/>
        <v>470674.47530300973</v>
      </c>
      <c r="Q174">
        <v>22103.26646090531</v>
      </c>
      <c r="R174">
        <v>448571.20884210442</v>
      </c>
      <c r="S174" s="7">
        <v>45894</v>
      </c>
      <c r="T174">
        <f t="shared" si="38"/>
        <v>1864057.8947368423</v>
      </c>
      <c r="U174">
        <f t="shared" si="38"/>
        <v>2320020.2366062365</v>
      </c>
    </row>
    <row r="175" spans="2:21" x14ac:dyDescent="0.2">
      <c r="F175" s="7">
        <v>45925</v>
      </c>
      <c r="G175">
        <v>6071.2326312903115</v>
      </c>
      <c r="H175">
        <f t="shared" si="39"/>
        <v>4886.8312757201647</v>
      </c>
      <c r="I175">
        <f t="shared" si="37"/>
        <v>12098.853954315482</v>
      </c>
      <c r="J175">
        <v>0.05</v>
      </c>
      <c r="K175">
        <f t="shared" si="35"/>
        <v>15123.567442894353</v>
      </c>
      <c r="L175">
        <v>25</v>
      </c>
      <c r="O175">
        <v>260452.77631578947</v>
      </c>
      <c r="P175">
        <f t="shared" si="36"/>
        <v>304452.67678642564</v>
      </c>
      <c r="Q175">
        <v>24514.529012345633</v>
      </c>
      <c r="R175">
        <v>279938.14777407999</v>
      </c>
      <c r="S175" s="7">
        <v>45925</v>
      </c>
      <c r="T175">
        <f t="shared" si="38"/>
        <v>2124510.6710526319</v>
      </c>
      <c r="U175">
        <f t="shared" si="38"/>
        <v>2624472.9133926621</v>
      </c>
    </row>
    <row r="176" spans="2:21" x14ac:dyDescent="0.2">
      <c r="F176" s="7">
        <v>45955</v>
      </c>
      <c r="G176">
        <v>6403.8158313631438</v>
      </c>
      <c r="H176">
        <f t="shared" si="39"/>
        <v>2764.9176954732511</v>
      </c>
      <c r="I176">
        <f t="shared" si="37"/>
        <v>8459.9558184255911</v>
      </c>
      <c r="J176">
        <v>0.05</v>
      </c>
      <c r="K176">
        <f t="shared" si="35"/>
        <v>10574.94477303199</v>
      </c>
      <c r="L176">
        <v>25</v>
      </c>
      <c r="O176">
        <v>278956.46511627908</v>
      </c>
      <c r="P176">
        <f t="shared" si="36"/>
        <v>169548.25946502053</v>
      </c>
      <c r="Q176">
        <v>21460.259465020532</v>
      </c>
      <c r="R176">
        <v>148088</v>
      </c>
      <c r="S176" s="7">
        <v>45955</v>
      </c>
      <c r="T176">
        <f t="shared" si="38"/>
        <v>2403467.1361689111</v>
      </c>
      <c r="U176">
        <f t="shared" si="38"/>
        <v>2794021.1728576827</v>
      </c>
    </row>
    <row r="177" spans="5:21" x14ac:dyDescent="0.2">
      <c r="F177" s="7">
        <v>45986</v>
      </c>
      <c r="G177">
        <v>6026.4848889003415</v>
      </c>
      <c r="H177">
        <f t="shared" si="39"/>
        <v>3352.3650617283793</v>
      </c>
      <c r="I177">
        <f t="shared" si="37"/>
        <v>5785.835991253628</v>
      </c>
      <c r="J177">
        <v>0.05</v>
      </c>
      <c r="K177">
        <f t="shared" si="35"/>
        <v>7232.2949890670361</v>
      </c>
      <c r="L177">
        <v>25</v>
      </c>
      <c r="O177">
        <v>333764.02249175153</v>
      </c>
      <c r="P177">
        <f t="shared" si="36"/>
        <v>165211.03595679012</v>
      </c>
      <c r="Q177">
        <v>17123.035956790081</v>
      </c>
      <c r="R177">
        <v>148088.00000000003</v>
      </c>
      <c r="S177" s="7">
        <v>45986</v>
      </c>
      <c r="T177">
        <f t="shared" si="38"/>
        <v>2737231.1586606628</v>
      </c>
      <c r="U177">
        <f t="shared" si="38"/>
        <v>2959232.2088144729</v>
      </c>
    </row>
    <row r="178" spans="5:21" x14ac:dyDescent="0.2">
      <c r="F178" s="7">
        <v>46016</v>
      </c>
      <c r="G178">
        <v>4479.7985738060161</v>
      </c>
      <c r="H178">
        <f t="shared" si="39"/>
        <v>2767.3611111111113</v>
      </c>
      <c r="I178">
        <f t="shared" si="37"/>
        <v>4073.3985285587223</v>
      </c>
      <c r="J178">
        <v>0.05</v>
      </c>
      <c r="K178">
        <f t="shared" si="35"/>
        <v>5091.7481606984029</v>
      </c>
      <c r="L178">
        <v>25</v>
      </c>
      <c r="O178">
        <v>471353.99516706169</v>
      </c>
      <c r="P178">
        <f t="shared" si="36"/>
        <v>159547.61646090532</v>
      </c>
      <c r="Q178">
        <v>11459.616460905305</v>
      </c>
      <c r="R178">
        <v>148088.00000000003</v>
      </c>
      <c r="S178" s="7">
        <v>46016</v>
      </c>
      <c r="T178">
        <f t="shared" si="38"/>
        <v>3208585.1538277245</v>
      </c>
      <c r="U178">
        <f t="shared" si="38"/>
        <v>3118779.8252753783</v>
      </c>
    </row>
    <row r="179" spans="5:21" x14ac:dyDescent="0.2">
      <c r="F179" s="7">
        <v>46047</v>
      </c>
      <c r="G179">
        <v>4284.164832400751</v>
      </c>
      <c r="H179">
        <f t="shared" si="39"/>
        <v>2767.3611111111113</v>
      </c>
      <c r="I179">
        <f t="shared" si="37"/>
        <v>2556.5948072690826</v>
      </c>
      <c r="J179">
        <v>0.05</v>
      </c>
      <c r="K179">
        <f t="shared" si="35"/>
        <v>3195.7435090863532</v>
      </c>
      <c r="L179">
        <v>25</v>
      </c>
      <c r="O179">
        <v>155808.05255820439</v>
      </c>
      <c r="P179">
        <f t="shared" si="36"/>
        <v>158465.60128600823</v>
      </c>
      <c r="Q179">
        <v>10377.601286008185</v>
      </c>
      <c r="R179">
        <v>148088.00000000003</v>
      </c>
      <c r="S179" s="7">
        <v>46047</v>
      </c>
      <c r="T179">
        <f t="shared" si="38"/>
        <v>3364393.2063859291</v>
      </c>
      <c r="U179">
        <f t="shared" si="38"/>
        <v>3277245.4265613863</v>
      </c>
    </row>
    <row r="180" spans="5:21" x14ac:dyDescent="0.2">
      <c r="F180" s="7">
        <v>46078</v>
      </c>
      <c r="G180">
        <v>3874.8158713185621</v>
      </c>
      <c r="H180">
        <f t="shared" si="39"/>
        <v>2767.3611111111113</v>
      </c>
      <c r="I180">
        <f t="shared" si="37"/>
        <v>1449.1400470616318</v>
      </c>
      <c r="J180">
        <v>0.05</v>
      </c>
      <c r="K180">
        <f t="shared" si="35"/>
        <v>1811.4250588270397</v>
      </c>
      <c r="L180">
        <v>25</v>
      </c>
      <c r="O180">
        <v>279878.19870811841</v>
      </c>
      <c r="P180">
        <f t="shared" si="36"/>
        <v>154771.38189300409</v>
      </c>
      <c r="Q180">
        <v>6683.3818930040688</v>
      </c>
      <c r="R180">
        <v>148088.00000000003</v>
      </c>
      <c r="S180" s="7">
        <v>46078</v>
      </c>
      <c r="T180">
        <f t="shared" si="38"/>
        <v>3644271.4050940475</v>
      </c>
      <c r="U180">
        <f t="shared" si="38"/>
        <v>3432016.8084543906</v>
      </c>
    </row>
    <row r="181" spans="5:21" x14ac:dyDescent="0.2">
      <c r="F181" s="7">
        <v>46106</v>
      </c>
      <c r="G181">
        <v>3826.840185484803</v>
      </c>
      <c r="H181">
        <f t="shared" si="39"/>
        <v>2767.3611111111113</v>
      </c>
      <c r="I181">
        <f t="shared" si="37"/>
        <v>389.6609726879401</v>
      </c>
      <c r="J181">
        <v>0.05</v>
      </c>
      <c r="K181">
        <f t="shared" si="35"/>
        <v>487.07621585992518</v>
      </c>
      <c r="L181">
        <v>25</v>
      </c>
      <c r="O181">
        <v>235169.14805520704</v>
      </c>
      <c r="P181">
        <f t="shared" si="36"/>
        <v>151720.16661522634</v>
      </c>
      <c r="Q181">
        <v>3632.1666152262928</v>
      </c>
      <c r="R181">
        <v>148088.00000000003</v>
      </c>
      <c r="S181" s="7">
        <v>46106</v>
      </c>
      <c r="T181">
        <f t="shared" si="38"/>
        <v>3879440.5531492545</v>
      </c>
      <c r="U181">
        <f t="shared" si="38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0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1">I193+H194-G194</f>
        <v>3129.8703189834232</v>
      </c>
      <c r="J194">
        <v>0.05</v>
      </c>
      <c r="K194">
        <f t="shared" si="40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1"/>
        <v>2954.4595486848812</v>
      </c>
      <c r="J195">
        <v>0.05</v>
      </c>
      <c r="K195">
        <f t="shared" si="40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1"/>
        <v>2719.1232809195053</v>
      </c>
      <c r="J196">
        <v>0.05</v>
      </c>
      <c r="K196">
        <f t="shared" si="40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1"/>
        <v>1426.688791274647</v>
      </c>
      <c r="J197">
        <v>0.05</v>
      </c>
      <c r="K197">
        <f t="shared" si="40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1"/>
        <v>1833.4104547057932</v>
      </c>
      <c r="J198">
        <v>0.05</v>
      </c>
      <c r="K198">
        <f t="shared" si="40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1"/>
        <v>976.88444780085592</v>
      </c>
      <c r="J199">
        <v>0.05</v>
      </c>
      <c r="K199">
        <f t="shared" si="40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1"/>
        <v>1222.2823793585903</v>
      </c>
      <c r="J200">
        <v>0.05</v>
      </c>
      <c r="K200">
        <f t="shared" si="40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1"/>
        <v>89.737484874831352</v>
      </c>
      <c r="J201">
        <v>0.05</v>
      </c>
      <c r="K201">
        <f t="shared" si="40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1"/>
        <v>171.19704729054138</v>
      </c>
      <c r="J202">
        <v>0.05</v>
      </c>
      <c r="K202">
        <f t="shared" si="40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1"/>
        <v>278.29828042263443</v>
      </c>
      <c r="J203">
        <v>0.05</v>
      </c>
      <c r="K203">
        <f t="shared" si="40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2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2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2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ED8B-B115-8A46-924C-BC1A722319F5}">
  <dimension ref="A1:V29"/>
  <sheetViews>
    <sheetView workbookViewId="0">
      <selection activeCell="M1" sqref="M1:N1"/>
    </sheetView>
  </sheetViews>
  <sheetFormatPr baseColWidth="10" defaultRowHeight="15" x14ac:dyDescent="0.2"/>
  <cols>
    <col min="3" max="3" width="12.83203125" customWidth="1"/>
  </cols>
  <sheetData>
    <row r="1" spans="1:22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73</v>
      </c>
      <c r="L1" s="13" t="s">
        <v>70</v>
      </c>
      <c r="M1" s="13" t="s">
        <v>71</v>
      </c>
      <c r="N1" s="13" t="s">
        <v>72</v>
      </c>
      <c r="O1" s="13"/>
      <c r="P1" s="13"/>
      <c r="Q1" s="13"/>
      <c r="R1" s="13"/>
      <c r="S1" s="13"/>
      <c r="T1" s="13"/>
      <c r="U1" s="13"/>
      <c r="V1" s="13"/>
    </row>
    <row r="2" spans="1:22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2483.1669423159556</v>
      </c>
      <c r="F2">
        <f t="shared" ref="F2:F13" si="0">SUM(D2:E2)</f>
        <v>7369.9982180361203</v>
      </c>
      <c r="G2" s="8">
        <v>4886.8312757201647</v>
      </c>
      <c r="H2" s="8">
        <v>2483.1669423159556</v>
      </c>
      <c r="I2">
        <f>SUM(G2:H2)</f>
        <v>7369.9982180361203</v>
      </c>
      <c r="J2">
        <v>5195.1035206425595</v>
      </c>
      <c r="K2">
        <v>3416.8946973935608</v>
      </c>
      <c r="L2">
        <v>3416.8946973935608</v>
      </c>
      <c r="M2">
        <f>K2*25*0.05</f>
        <v>4271.1183717419508</v>
      </c>
      <c r="N2">
        <f>L2*25*0.05</f>
        <v>4271.1183717419508</v>
      </c>
    </row>
    <row r="3" spans="1:22" x14ac:dyDescent="0.2">
      <c r="A3" s="12">
        <v>45778</v>
      </c>
      <c r="B3">
        <v>1.5806907894736841</v>
      </c>
      <c r="C3">
        <v>0</v>
      </c>
      <c r="D3">
        <v>4886.8312757201647</v>
      </c>
      <c r="E3">
        <v>0</v>
      </c>
      <c r="F3">
        <f t="shared" si="0"/>
        <v>4886.8312757201647</v>
      </c>
      <c r="G3" s="8">
        <v>4886.8312757201647</v>
      </c>
      <c r="H3" s="8">
        <v>0</v>
      </c>
      <c r="I3">
        <f t="shared" ref="I3:I13" si="1">SUM(G3:H3)</f>
        <v>4886.8312757201647</v>
      </c>
      <c r="J3">
        <v>5907.1382972953343</v>
      </c>
      <c r="K3">
        <v>1323.5735728993532</v>
      </c>
      <c r="L3">
        <v>1323.5735728993532</v>
      </c>
      <c r="M3">
        <f t="shared" ref="M3:N13" si="2">K3*25*0.05</f>
        <v>1654.4669661241915</v>
      </c>
      <c r="N3">
        <f t="shared" si="2"/>
        <v>1654.4669661241915</v>
      </c>
    </row>
    <row r="4" spans="1:22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2545.222790928924</v>
      </c>
      <c r="F4">
        <f t="shared" si="0"/>
        <v>7432.0540666490888</v>
      </c>
      <c r="G4" s="8">
        <v>4886.8312757201647</v>
      </c>
      <c r="H4" s="8">
        <v>2545.222790928924</v>
      </c>
      <c r="I4">
        <f t="shared" si="1"/>
        <v>7432.0540666490888</v>
      </c>
      <c r="J4">
        <v>5625.7573205650187</v>
      </c>
      <c r="K4">
        <v>3129.8703189834232</v>
      </c>
      <c r="L4">
        <v>3129.8703189834232</v>
      </c>
      <c r="M4">
        <f t="shared" si="2"/>
        <v>3912.337898729279</v>
      </c>
      <c r="N4">
        <f t="shared" si="2"/>
        <v>3912.337898729279</v>
      </c>
    </row>
    <row r="5" spans="1:22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1371.7405698790662</v>
      </c>
      <c r="F5">
        <f t="shared" si="0"/>
        <v>6258.571845599231</v>
      </c>
      <c r="G5" s="8">
        <v>4886.8312757201647</v>
      </c>
      <c r="H5">
        <v>6307.6131687242596</v>
      </c>
      <c r="I5">
        <f t="shared" si="1"/>
        <v>11194.444444444423</v>
      </c>
      <c r="J5">
        <v>6433.9826158977739</v>
      </c>
      <c r="K5">
        <v>2954.4595486848812</v>
      </c>
      <c r="L5">
        <v>7890.3321475300727</v>
      </c>
      <c r="M5">
        <f t="shared" si="2"/>
        <v>3693.0744358561019</v>
      </c>
      <c r="N5">
        <f t="shared" si="2"/>
        <v>9862.9151844125918</v>
      </c>
    </row>
    <row r="6" spans="1:22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1371.7405698790662</v>
      </c>
      <c r="F6">
        <f t="shared" si="0"/>
        <v>6258.571845599231</v>
      </c>
      <c r="G6" s="8">
        <v>4886.8312757201647</v>
      </c>
      <c r="H6">
        <v>7000</v>
      </c>
      <c r="I6">
        <f t="shared" si="1"/>
        <v>11886.831275720164</v>
      </c>
      <c r="J6">
        <v>6493.9081133646077</v>
      </c>
      <c r="K6">
        <v>2719.1232809195053</v>
      </c>
      <c r="L6">
        <v>13283.25530988563</v>
      </c>
      <c r="M6">
        <f t="shared" si="2"/>
        <v>3398.9041011493814</v>
      </c>
      <c r="N6">
        <f t="shared" si="2"/>
        <v>16604.069137357037</v>
      </c>
    </row>
    <row r="7" spans="1:22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0</v>
      </c>
      <c r="F7">
        <f t="shared" si="0"/>
        <v>4886.8312757201647</v>
      </c>
      <c r="G7" s="8">
        <v>4886.8312757201647</v>
      </c>
      <c r="H7">
        <v>0</v>
      </c>
      <c r="I7">
        <f t="shared" si="1"/>
        <v>4886.8312757201647</v>
      </c>
      <c r="J7">
        <v>6071.2326312903115</v>
      </c>
      <c r="K7">
        <v>1426.688791274647</v>
      </c>
      <c r="L7">
        <v>12098.853954315482</v>
      </c>
      <c r="M7">
        <f t="shared" si="2"/>
        <v>1783.3609890933087</v>
      </c>
      <c r="N7">
        <f t="shared" si="2"/>
        <v>15123.567442894353</v>
      </c>
    </row>
    <row r="8" spans="1:22" x14ac:dyDescent="0.2">
      <c r="A8" s="12">
        <v>45931</v>
      </c>
      <c r="B8">
        <v>1.7219534883720931</v>
      </c>
      <c r="C8">
        <v>1.7219534883720931</v>
      </c>
      <c r="D8">
        <v>2764.9176954732502</v>
      </c>
      <c r="E8">
        <v>4045.6197993210399</v>
      </c>
      <c r="F8">
        <f t="shared" si="0"/>
        <v>6810.5374947942901</v>
      </c>
      <c r="G8" s="8">
        <v>2764.9176954732511</v>
      </c>
      <c r="H8">
        <v>0</v>
      </c>
      <c r="I8">
        <f t="shared" si="1"/>
        <v>2764.9176954732511</v>
      </c>
      <c r="J8">
        <v>6403.8158313631438</v>
      </c>
      <c r="K8">
        <v>1833.4104547057932</v>
      </c>
      <c r="L8">
        <v>8459.9558184255911</v>
      </c>
      <c r="M8">
        <f t="shared" si="2"/>
        <v>2291.7630683822417</v>
      </c>
      <c r="N8">
        <f t="shared" si="2"/>
        <v>10574.94477303199</v>
      </c>
    </row>
    <row r="9" spans="1:22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2402.5977708842929</v>
      </c>
      <c r="F9">
        <f t="shared" si="0"/>
        <v>5169.9588819954042</v>
      </c>
      <c r="G9" s="8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976.88444780085592</v>
      </c>
      <c r="L9">
        <v>5785.835991253628</v>
      </c>
      <c r="M9">
        <f t="shared" si="2"/>
        <v>1221.1055597510699</v>
      </c>
      <c r="N9">
        <f t="shared" si="2"/>
        <v>7232.2949890670352</v>
      </c>
    </row>
    <row r="10" spans="1:22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1957.8353942526392</v>
      </c>
      <c r="F10">
        <f t="shared" si="0"/>
        <v>4725.1965053637505</v>
      </c>
      <c r="G10" s="8">
        <v>2767.3611111111113</v>
      </c>
      <c r="H10">
        <v>0</v>
      </c>
      <c r="I10">
        <f t="shared" si="1"/>
        <v>2767.3611111111113</v>
      </c>
      <c r="J10">
        <v>4479.7985738060161</v>
      </c>
      <c r="K10">
        <v>1222.2823793585903</v>
      </c>
      <c r="L10">
        <v>4073.3985285587223</v>
      </c>
      <c r="M10">
        <f t="shared" si="2"/>
        <v>1527.8529741982381</v>
      </c>
      <c r="N10">
        <f t="shared" si="2"/>
        <v>5091.7481606984038</v>
      </c>
    </row>
    <row r="11" spans="1:22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384.25882680588074</v>
      </c>
      <c r="F11">
        <f t="shared" si="0"/>
        <v>3151.6199379169921</v>
      </c>
      <c r="G11" s="8">
        <v>2767.3611111111113</v>
      </c>
      <c r="H11">
        <v>0</v>
      </c>
      <c r="I11">
        <f t="shared" si="1"/>
        <v>2767.3611111111113</v>
      </c>
      <c r="J11">
        <v>4284.164832400751</v>
      </c>
      <c r="K11">
        <v>89.737484874831352</v>
      </c>
      <c r="L11">
        <v>2556.5948072690826</v>
      </c>
      <c r="M11">
        <f t="shared" si="2"/>
        <v>112.17185609353919</v>
      </c>
      <c r="N11">
        <f t="shared" si="2"/>
        <v>3195.7435090863532</v>
      </c>
    </row>
    <row r="12" spans="1:22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1188.9143226231608</v>
      </c>
      <c r="F12">
        <f t="shared" si="0"/>
        <v>3956.2754337342722</v>
      </c>
      <c r="G12" s="8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171.19704729054138</v>
      </c>
      <c r="L12">
        <v>1449.1400470616318</v>
      </c>
      <c r="M12">
        <f t="shared" si="2"/>
        <v>213.99630911317672</v>
      </c>
      <c r="N12">
        <f t="shared" si="2"/>
        <v>1811.4250588270399</v>
      </c>
    </row>
    <row r="13" spans="1:22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1166.5803075057843</v>
      </c>
      <c r="F13">
        <f t="shared" si="0"/>
        <v>3933.9414186168956</v>
      </c>
      <c r="G13" s="8">
        <v>2767.3611111111113</v>
      </c>
      <c r="H13">
        <v>0</v>
      </c>
      <c r="I13">
        <f t="shared" si="1"/>
        <v>2767.3611111111113</v>
      </c>
      <c r="J13">
        <v>3826.840185484803</v>
      </c>
      <c r="K13">
        <v>278.29828042263443</v>
      </c>
      <c r="L13">
        <v>389.6609726879401</v>
      </c>
      <c r="M13">
        <f t="shared" si="2"/>
        <v>347.87285052829304</v>
      </c>
      <c r="N13">
        <f t="shared" si="2"/>
        <v>487.07621585992513</v>
      </c>
    </row>
    <row r="18" spans="2:3" x14ac:dyDescent="0.2">
      <c r="B18">
        <f>B2*31.1</f>
        <v>47.546171052631585</v>
      </c>
      <c r="C18">
        <f>C2*31.1</f>
        <v>43.888647368421054</v>
      </c>
    </row>
    <row r="19" spans="2:3" x14ac:dyDescent="0.2">
      <c r="B19">
        <f t="shared" ref="B19:C29" si="3">B3*31.1</f>
        <v>49.159483552631578</v>
      </c>
      <c r="C19">
        <v>43.888647368421054</v>
      </c>
    </row>
    <row r="20" spans="2:3" x14ac:dyDescent="0.2">
      <c r="B20">
        <f t="shared" si="3"/>
        <v>50.499238815789475</v>
      </c>
      <c r="C20">
        <f t="shared" si="3"/>
        <v>45.449376315789472</v>
      </c>
    </row>
    <row r="21" spans="2:3" x14ac:dyDescent="0.2">
      <c r="B21">
        <f t="shared" si="3"/>
        <v>50.499238815789475</v>
      </c>
      <c r="C21">
        <f t="shared" si="3"/>
        <v>30.299584210526316</v>
      </c>
    </row>
    <row r="22" spans="2:3" x14ac:dyDescent="0.2">
      <c r="B22">
        <f t="shared" si="3"/>
        <v>50.499238815789475</v>
      </c>
      <c r="C22">
        <f t="shared" si="3"/>
        <v>30.299584210526316</v>
      </c>
    </row>
    <row r="23" spans="2:3" x14ac:dyDescent="0.2">
      <c r="B23">
        <f t="shared" si="3"/>
        <v>50.499238815789475</v>
      </c>
      <c r="C23">
        <f t="shared" si="3"/>
        <v>10.099929605263158</v>
      </c>
    </row>
    <row r="24" spans="2:3" x14ac:dyDescent="0.2">
      <c r="B24">
        <f t="shared" si="3"/>
        <v>53.552753488372097</v>
      </c>
      <c r="C24">
        <f t="shared" si="3"/>
        <v>53.552753488372097</v>
      </c>
    </row>
    <row r="25" spans="2:3" x14ac:dyDescent="0.2">
      <c r="B25">
        <f t="shared" si="3"/>
        <v>53.505469585017899</v>
      </c>
      <c r="C25">
        <f t="shared" si="3"/>
        <v>53.505469585017899</v>
      </c>
    </row>
    <row r="26" spans="2:3" x14ac:dyDescent="0.2">
      <c r="B26">
        <f t="shared" si="3"/>
        <v>53.505469585017899</v>
      </c>
      <c r="C26">
        <f t="shared" si="3"/>
        <v>71.340385240949857</v>
      </c>
    </row>
    <row r="27" spans="2:3" x14ac:dyDescent="0.2">
      <c r="B27">
        <f t="shared" si="3"/>
        <v>53.505469585017899</v>
      </c>
      <c r="C27">
        <f>AVERAGE(C24:C26)</f>
        <v>59.466202771446625</v>
      </c>
    </row>
    <row r="28" spans="2:3" x14ac:dyDescent="0.2">
      <c r="B28">
        <f t="shared" si="3"/>
        <v>53.505469585017899</v>
      </c>
      <c r="C28">
        <f t="shared" si="3"/>
        <v>44.587650448440918</v>
      </c>
    </row>
    <row r="29" spans="2:3" x14ac:dyDescent="0.2">
      <c r="B29">
        <f t="shared" si="3"/>
        <v>53.505469585017899</v>
      </c>
      <c r="C29">
        <f t="shared" si="3"/>
        <v>35.670192620474928</v>
      </c>
    </row>
  </sheetData>
  <phoneticPr fontId="3" type="noConversion"/>
  <pageMargins left="0.7" right="0.7" top="0.75" bottom="0.75" header="0.3" footer="0.3"/>
  <ignoredErrors>
    <ignoredError sqref="F2 F3: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from_alvin</vt:lpstr>
      <vt:lpstr>24</vt:lpstr>
      <vt:lpstr>25</vt:lpstr>
      <vt:lpstr>rough</vt:lpstr>
      <vt:lpstr>Eval04</vt:lpstr>
      <vt:lpstr>Eval07</vt:lpstr>
      <vt:lpstr>Eval08</vt:lpstr>
      <vt:lpstr>Eval08Stor</vt:lpstr>
      <vt:lpstr>Eval07Clean</vt:lpstr>
      <vt:lpstr>Eval08Clean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botapaul9</cp:lastModifiedBy>
  <cp:revision>8</cp:revision>
  <dcterms:created xsi:type="dcterms:W3CDTF">2025-05-23T06:45:07Z</dcterms:created>
  <dcterms:modified xsi:type="dcterms:W3CDTF">2025-09-18T16:15:52Z</dcterms:modified>
  <dc:language>en-SG</dc:language>
</cp:coreProperties>
</file>