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WW\Documents\Confidential\Manual\Examples to Sanitize for Skyward\Sanitized\"/>
    </mc:Choice>
  </mc:AlternateContent>
  <xr:revisionPtr revIDLastSave="0" documentId="13_ncr:1_{26448B9D-CAEB-4CFE-A908-5FEE791BE70F}" xr6:coauthVersionLast="47" xr6:coauthVersionMax="47" xr10:uidLastSave="{00000000-0000-0000-0000-000000000000}"/>
  <bookViews>
    <workbookView xWindow="-120" yWindow="-120" windowWidth="29040" windowHeight="15840" xr2:uid="{41561E46-AB65-46D2-BFE5-43C06363359D}"/>
  </bookViews>
  <sheets>
    <sheet name="COST SUMMARY" sheetId="1" r:id="rId1"/>
    <sheet name="Task 1" sheetId="2" r:id="rId2"/>
    <sheet name="Task 2" sheetId="3" r:id="rId3"/>
    <sheet name="Task 3" sheetId="4" r:id="rId4"/>
    <sheet name="Task 4" sheetId="5" r:id="rId5"/>
    <sheet name="Level of Effort" sheetId="6" r:id="rId6"/>
    <sheet name="Vendor GSA MAS 541611 Rates" sheetId="7" r:id="rId7"/>
  </sheets>
  <definedNames>
    <definedName name="EndDates">#REF!</definedName>
    <definedName name="_xlnm.Print_Area" localSheetId="0">'COST SUMMARY'!$B$1:$D$11</definedName>
    <definedName name="_xlnm.Print_Area" localSheetId="5">'Level of Effort'!$B$1:$N$41</definedName>
    <definedName name="_xlnm.Print_Area" localSheetId="1">'Task 1'!$B$1:$N$48</definedName>
    <definedName name="_xlnm.Print_Area" localSheetId="2">'Task 2'!$B$1:$N$48</definedName>
    <definedName name="_xlnm.Print_Area" localSheetId="3">'Task 3'!$B$1:$N$48</definedName>
    <definedName name="_xlnm.Print_Area" localSheetId="4">'Task 4'!$B$1:$N$48</definedName>
    <definedName name="_xlnm.Print_Area" localSheetId="6">'Vendor GSA MAS 541611 Rates'!$B$1:$H$24</definedName>
    <definedName name="_xlnm.Print_Titles" localSheetId="5">'Level of Effort'!$B:$D,'Level of Effort'!$1:$5</definedName>
    <definedName name="_xlnm.Print_Titles" localSheetId="1">'Task 1'!$B:$D,'Task 1'!$1:$4</definedName>
    <definedName name="_xlnm.Print_Titles" localSheetId="2">'Task 2'!$B:$D,'Task 2'!$1:$4</definedName>
    <definedName name="_xlnm.Print_Titles" localSheetId="3">'Task 3'!$B:$D,'Task 3'!$1:$4</definedName>
    <definedName name="_xlnm.Print_Titles" localSheetId="4">'Task 4'!$B:$D,'Task 4'!$1:$4</definedName>
    <definedName name="Staff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7" l="1"/>
  <c r="F7" i="7"/>
  <c r="E7" i="7"/>
  <c r="F5" i="7" s="1"/>
  <c r="D7" i="7"/>
  <c r="E5" i="7" s="1"/>
  <c r="K39" i="6"/>
  <c r="J39" i="6"/>
  <c r="I39" i="6"/>
  <c r="H39" i="6"/>
  <c r="K32" i="6"/>
  <c r="J32" i="6"/>
  <c r="I32" i="6"/>
  <c r="H32" i="6"/>
  <c r="K25" i="6"/>
  <c r="J25" i="6"/>
  <c r="I25" i="6"/>
  <c r="H25" i="6"/>
  <c r="K18" i="6"/>
  <c r="J18" i="6"/>
  <c r="I18" i="6"/>
  <c r="H18" i="6"/>
  <c r="B3" i="1" a="1"/>
  <c r="B3" i="1" s="1"/>
  <c r="B3" i="7" a="1"/>
  <c r="B3" i="7" s="1"/>
  <c r="B39" i="6"/>
  <c r="L37" i="6"/>
  <c r="N37" i="6" s="1"/>
  <c r="L36" i="6"/>
  <c r="N36" i="6" s="1"/>
  <c r="B32" i="6"/>
  <c r="L30" i="6"/>
  <c r="N30" i="6" s="1"/>
  <c r="D30" i="6"/>
  <c r="D37" i="6" s="1"/>
  <c r="L29" i="6"/>
  <c r="N29" i="6" s="1"/>
  <c r="B25" i="6"/>
  <c r="L23" i="6"/>
  <c r="N23" i="6" s="1"/>
  <c r="F23" i="6"/>
  <c r="F30" i="6" s="1"/>
  <c r="F37" i="6" s="1"/>
  <c r="D23" i="6"/>
  <c r="N22" i="6"/>
  <c r="L22" i="6"/>
  <c r="D22" i="6"/>
  <c r="D29" i="6" s="1"/>
  <c r="D36" i="6" s="1"/>
  <c r="L21" i="6"/>
  <c r="N21" i="6" s="1"/>
  <c r="G21" i="6"/>
  <c r="G28" i="6" s="1"/>
  <c r="G35" i="6" s="1"/>
  <c r="D21" i="6"/>
  <c r="D28" i="6" s="1"/>
  <c r="D35" i="6" s="1"/>
  <c r="F20" i="6"/>
  <c r="F27" i="6" s="1"/>
  <c r="F34" i="6" s="1"/>
  <c r="D20" i="6"/>
  <c r="D27" i="6" s="1"/>
  <c r="B18" i="6"/>
  <c r="G16" i="6"/>
  <c r="G23" i="6" s="1"/>
  <c r="G30" i="6" s="1"/>
  <c r="G37" i="6" s="1"/>
  <c r="F16" i="6"/>
  <c r="E16" i="6"/>
  <c r="E23" i="6" s="1"/>
  <c r="E30" i="6" s="1"/>
  <c r="E37" i="6" s="1"/>
  <c r="E10" i="5" s="1"/>
  <c r="L15" i="6"/>
  <c r="N15" i="6" s="1"/>
  <c r="G15" i="6"/>
  <c r="G22" i="6" s="1"/>
  <c r="G29" i="6" s="1"/>
  <c r="G36" i="6" s="1"/>
  <c r="F15" i="6"/>
  <c r="F22" i="6" s="1"/>
  <c r="F29" i="6" s="1"/>
  <c r="F36" i="6" s="1"/>
  <c r="L14" i="6"/>
  <c r="N14" i="6" s="1"/>
  <c r="G14" i="6"/>
  <c r="F14" i="6"/>
  <c r="F21" i="6" s="1"/>
  <c r="F28" i="6" s="1"/>
  <c r="F35" i="6" s="1"/>
  <c r="L13" i="6"/>
  <c r="N13" i="6" s="1"/>
  <c r="G13" i="6"/>
  <c r="G20" i="6" s="1"/>
  <c r="G27" i="6" s="1"/>
  <c r="G34" i="6" s="1"/>
  <c r="F13" i="6"/>
  <c r="E13" i="6"/>
  <c r="E20" i="6" s="1"/>
  <c r="E27" i="6" s="1"/>
  <c r="B11" i="6"/>
  <c r="M9" i="6"/>
  <c r="L9" i="6"/>
  <c r="N9" i="6" s="1"/>
  <c r="M8" i="6"/>
  <c r="L8" i="6"/>
  <c r="N8" i="6" s="1"/>
  <c r="E15" i="6"/>
  <c r="E22" i="6" s="1"/>
  <c r="E29" i="6" s="1"/>
  <c r="M7" i="6"/>
  <c r="L7" i="6"/>
  <c r="N7" i="6" s="1"/>
  <c r="E14" i="6"/>
  <c r="E21" i="6" s="1"/>
  <c r="E28" i="6" s="1"/>
  <c r="E35" i="6" s="1"/>
  <c r="E8" i="5" s="1"/>
  <c r="M6" i="6"/>
  <c r="L6" i="6"/>
  <c r="N6" i="6" s="1"/>
  <c r="K11" i="6"/>
  <c r="J11" i="6"/>
  <c r="H11" i="6"/>
  <c r="B3" i="6" a="1"/>
  <c r="B3" i="6" s="1"/>
  <c r="L46" i="5"/>
  <c r="G46" i="5"/>
  <c r="F46" i="5"/>
  <c r="C46" i="5"/>
  <c r="B46" i="5"/>
  <c r="L45" i="5"/>
  <c r="G45" i="5"/>
  <c r="F45" i="5"/>
  <c r="C45" i="5"/>
  <c r="L44" i="5"/>
  <c r="G44" i="5"/>
  <c r="F44" i="5"/>
  <c r="C44" i="5"/>
  <c r="B44" i="5"/>
  <c r="B45" i="5" s="1"/>
  <c r="L43" i="5"/>
  <c r="G43" i="5"/>
  <c r="F43" i="5"/>
  <c r="C43" i="5"/>
  <c r="B48" i="5" s="1"/>
  <c r="L37" i="5"/>
  <c r="G37" i="5"/>
  <c r="F37" i="5"/>
  <c r="C37" i="5"/>
  <c r="L36" i="5"/>
  <c r="G36" i="5"/>
  <c r="F36" i="5"/>
  <c r="C36" i="5"/>
  <c r="L35" i="5"/>
  <c r="G35" i="5"/>
  <c r="F35" i="5"/>
  <c r="C35" i="5"/>
  <c r="B35" i="5"/>
  <c r="B36" i="5" s="1"/>
  <c r="L34" i="5"/>
  <c r="G34" i="5"/>
  <c r="F34" i="5"/>
  <c r="C34" i="5"/>
  <c r="B39" i="5" s="1"/>
  <c r="B30" i="5"/>
  <c r="L28" i="5"/>
  <c r="G28" i="5"/>
  <c r="F28" i="5"/>
  <c r="C28" i="5"/>
  <c r="L27" i="5"/>
  <c r="K27" i="5"/>
  <c r="M27" i="5" s="1"/>
  <c r="G27" i="5"/>
  <c r="F27" i="5"/>
  <c r="C27" i="5"/>
  <c r="B27" i="5"/>
  <c r="B28" i="5" s="1"/>
  <c r="K28" i="5" s="1"/>
  <c r="M28" i="5" s="1"/>
  <c r="L26" i="5"/>
  <c r="G26" i="5"/>
  <c r="F26" i="5"/>
  <c r="C26" i="5"/>
  <c r="B26" i="5"/>
  <c r="K26" i="5" s="1"/>
  <c r="M26" i="5" s="1"/>
  <c r="L25" i="5"/>
  <c r="K25" i="5"/>
  <c r="G25" i="5"/>
  <c r="F25" i="5"/>
  <c r="C25" i="5"/>
  <c r="B21" i="5"/>
  <c r="L19" i="5"/>
  <c r="G19" i="5"/>
  <c r="F19" i="5"/>
  <c r="C19" i="5"/>
  <c r="L18" i="5"/>
  <c r="G18" i="5"/>
  <c r="F18" i="5"/>
  <c r="C18" i="5"/>
  <c r="B18" i="5"/>
  <c r="B19" i="5" s="1"/>
  <c r="K19" i="5" s="1"/>
  <c r="M19" i="5" s="1"/>
  <c r="L17" i="5"/>
  <c r="G17" i="5"/>
  <c r="F17" i="5"/>
  <c r="C17" i="5"/>
  <c r="B17" i="5"/>
  <c r="K17" i="5" s="1"/>
  <c r="M17" i="5" s="1"/>
  <c r="L16" i="5"/>
  <c r="K16" i="5"/>
  <c r="M16" i="5" s="1"/>
  <c r="G16" i="5"/>
  <c r="F16" i="5"/>
  <c r="C16" i="5"/>
  <c r="B12" i="5"/>
  <c r="L10" i="5"/>
  <c r="G10" i="5"/>
  <c r="F10" i="5"/>
  <c r="C10" i="5"/>
  <c r="L9" i="5"/>
  <c r="G9" i="5"/>
  <c r="F9" i="5"/>
  <c r="C9" i="5"/>
  <c r="L8" i="5"/>
  <c r="K8" i="5"/>
  <c r="M8" i="5" s="1"/>
  <c r="G8" i="5"/>
  <c r="F8" i="5"/>
  <c r="C8" i="5"/>
  <c r="B8" i="5"/>
  <c r="B9" i="5" s="1"/>
  <c r="K9" i="5" s="1"/>
  <c r="M9" i="5" s="1"/>
  <c r="L7" i="5"/>
  <c r="K7" i="5"/>
  <c r="M7" i="5" s="1"/>
  <c r="G7" i="5"/>
  <c r="F7" i="5"/>
  <c r="B3" i="5"/>
  <c r="B48" i="4"/>
  <c r="L46" i="4"/>
  <c r="G46" i="4"/>
  <c r="F46" i="4"/>
  <c r="C46" i="4"/>
  <c r="L45" i="4"/>
  <c r="G45" i="4"/>
  <c r="F45" i="4"/>
  <c r="C45" i="4"/>
  <c r="L44" i="4"/>
  <c r="G44" i="4"/>
  <c r="F44" i="4"/>
  <c r="C44" i="4"/>
  <c r="B44" i="4"/>
  <c r="B45" i="4" s="1"/>
  <c r="B46" i="4" s="1"/>
  <c r="L43" i="4"/>
  <c r="G43" i="4"/>
  <c r="F43" i="4"/>
  <c r="C43" i="4"/>
  <c r="B39" i="4"/>
  <c r="L37" i="4"/>
  <c r="G37" i="4"/>
  <c r="F37" i="4"/>
  <c r="C37" i="4"/>
  <c r="L36" i="4"/>
  <c r="G36" i="4"/>
  <c r="F36" i="4"/>
  <c r="C36" i="4"/>
  <c r="B36" i="4"/>
  <c r="B37" i="4" s="1"/>
  <c r="K37" i="4" s="1"/>
  <c r="M37" i="4" s="1"/>
  <c r="L35" i="4"/>
  <c r="G35" i="4"/>
  <c r="F35" i="4"/>
  <c r="C35" i="4"/>
  <c r="B35" i="4"/>
  <c r="K35" i="4" s="1"/>
  <c r="M35" i="4" s="1"/>
  <c r="L34" i="4"/>
  <c r="K34" i="4"/>
  <c r="G34" i="4"/>
  <c r="F34" i="4"/>
  <c r="C34" i="4"/>
  <c r="B30" i="4"/>
  <c r="L28" i="4"/>
  <c r="G28" i="4"/>
  <c r="F28" i="4"/>
  <c r="C28" i="4"/>
  <c r="L27" i="4"/>
  <c r="K27" i="4"/>
  <c r="M27" i="4" s="1"/>
  <c r="G27" i="4"/>
  <c r="F27" i="4"/>
  <c r="C27" i="4"/>
  <c r="B27" i="4"/>
  <c r="B28" i="4" s="1"/>
  <c r="K28" i="4" s="1"/>
  <c r="M28" i="4" s="1"/>
  <c r="L26" i="4"/>
  <c r="G26" i="4"/>
  <c r="F26" i="4"/>
  <c r="C26" i="4"/>
  <c r="B26" i="4"/>
  <c r="K26" i="4" s="1"/>
  <c r="M26" i="4" s="1"/>
  <c r="L25" i="4"/>
  <c r="K25" i="4"/>
  <c r="G25" i="4"/>
  <c r="F25" i="4"/>
  <c r="C25" i="4"/>
  <c r="B21" i="4"/>
  <c r="L19" i="4"/>
  <c r="K19" i="4"/>
  <c r="M19" i="4" s="1"/>
  <c r="G19" i="4"/>
  <c r="F19" i="4"/>
  <c r="C19" i="4"/>
  <c r="B19" i="4"/>
  <c r="L18" i="4"/>
  <c r="G18" i="4"/>
  <c r="F18" i="4"/>
  <c r="C18" i="4"/>
  <c r="L17" i="4"/>
  <c r="G17" i="4"/>
  <c r="F17" i="4"/>
  <c r="C17" i="4"/>
  <c r="B17" i="4"/>
  <c r="B18" i="4" s="1"/>
  <c r="K18" i="4" s="1"/>
  <c r="M18" i="4" s="1"/>
  <c r="L16" i="4"/>
  <c r="K16" i="4"/>
  <c r="M16" i="4" s="1"/>
  <c r="G16" i="4"/>
  <c r="F16" i="4"/>
  <c r="C16" i="4"/>
  <c r="B12" i="4"/>
  <c r="L10" i="4"/>
  <c r="G10" i="4"/>
  <c r="F10" i="4"/>
  <c r="E10" i="4"/>
  <c r="C10" i="4"/>
  <c r="L9" i="4"/>
  <c r="G9" i="4"/>
  <c r="F9" i="4"/>
  <c r="C9" i="4"/>
  <c r="L8" i="4"/>
  <c r="G8" i="4"/>
  <c r="F8" i="4"/>
  <c r="C8" i="4"/>
  <c r="B8" i="4"/>
  <c r="B9" i="4" s="1"/>
  <c r="K9" i="4" s="1"/>
  <c r="M9" i="4" s="1"/>
  <c r="L7" i="4"/>
  <c r="K7" i="4"/>
  <c r="M7" i="4" s="1"/>
  <c r="G7" i="4"/>
  <c r="F7" i="4"/>
  <c r="B3" i="4"/>
  <c r="B48" i="3"/>
  <c r="L46" i="3"/>
  <c r="G46" i="3"/>
  <c r="F46" i="3"/>
  <c r="C46" i="3"/>
  <c r="L45" i="3"/>
  <c r="G45" i="3"/>
  <c r="F45" i="3"/>
  <c r="C45" i="3"/>
  <c r="B45" i="3"/>
  <c r="B46" i="3" s="1"/>
  <c r="L44" i="3"/>
  <c r="G44" i="3"/>
  <c r="F44" i="3"/>
  <c r="C44" i="3"/>
  <c r="B44" i="3"/>
  <c r="L43" i="3"/>
  <c r="G43" i="3"/>
  <c r="F43" i="3"/>
  <c r="C43" i="3"/>
  <c r="B39" i="3"/>
  <c r="L37" i="3"/>
  <c r="G37" i="3"/>
  <c r="F37" i="3"/>
  <c r="C37" i="3"/>
  <c r="L36" i="3"/>
  <c r="K36" i="3"/>
  <c r="M36" i="3" s="1"/>
  <c r="G36" i="3"/>
  <c r="F36" i="3"/>
  <c r="C36" i="3"/>
  <c r="B36" i="3"/>
  <c r="B37" i="3" s="1"/>
  <c r="K37" i="3" s="1"/>
  <c r="M37" i="3" s="1"/>
  <c r="L35" i="3"/>
  <c r="G35" i="3"/>
  <c r="F35" i="3"/>
  <c r="C35" i="3"/>
  <c r="B35" i="3"/>
  <c r="K35" i="3" s="1"/>
  <c r="M35" i="3" s="1"/>
  <c r="L34" i="3"/>
  <c r="K34" i="3"/>
  <c r="M34" i="3" s="1"/>
  <c r="G34" i="3"/>
  <c r="F34" i="3"/>
  <c r="C34" i="3"/>
  <c r="B30" i="3"/>
  <c r="L28" i="3"/>
  <c r="G28" i="3"/>
  <c r="F28" i="3"/>
  <c r="C28" i="3"/>
  <c r="L27" i="3"/>
  <c r="G27" i="3"/>
  <c r="F27" i="3"/>
  <c r="C27" i="3"/>
  <c r="L26" i="3"/>
  <c r="G26" i="3"/>
  <c r="F26" i="3"/>
  <c r="C26" i="3"/>
  <c r="B26" i="3"/>
  <c r="B27" i="3" s="1"/>
  <c r="K27" i="3" s="1"/>
  <c r="M27" i="3" s="1"/>
  <c r="L25" i="3"/>
  <c r="G25" i="3"/>
  <c r="F25" i="3"/>
  <c r="C25" i="3"/>
  <c r="B21" i="3"/>
  <c r="L19" i="3"/>
  <c r="G19" i="3"/>
  <c r="F19" i="3"/>
  <c r="C19" i="3"/>
  <c r="B19" i="3"/>
  <c r="K19" i="3" s="1"/>
  <c r="M19" i="3" s="1"/>
  <c r="L18" i="3"/>
  <c r="G18" i="3"/>
  <c r="F18" i="3"/>
  <c r="C18" i="3"/>
  <c r="L17" i="3"/>
  <c r="K17" i="3"/>
  <c r="M17" i="3" s="1"/>
  <c r="G17" i="3"/>
  <c r="F17" i="3"/>
  <c r="C17" i="3"/>
  <c r="B17" i="3"/>
  <c r="B18" i="3" s="1"/>
  <c r="K18" i="3" s="1"/>
  <c r="M18" i="3" s="1"/>
  <c r="L16" i="3"/>
  <c r="K16" i="3"/>
  <c r="M16" i="3" s="1"/>
  <c r="G16" i="3"/>
  <c r="F16" i="3"/>
  <c r="C16" i="3"/>
  <c r="B12" i="3"/>
  <c r="L10" i="3"/>
  <c r="G10" i="3"/>
  <c r="F10" i="3"/>
  <c r="E10" i="3"/>
  <c r="H10" i="3" s="1"/>
  <c r="J10" i="3" s="1"/>
  <c r="C10" i="3"/>
  <c r="L9" i="3"/>
  <c r="K9" i="3"/>
  <c r="M9" i="3" s="1"/>
  <c r="G9" i="3"/>
  <c r="F9" i="3"/>
  <c r="E9" i="3"/>
  <c r="C9" i="3"/>
  <c r="B9" i="3"/>
  <c r="B10" i="3" s="1"/>
  <c r="K10" i="3" s="1"/>
  <c r="M10" i="3" s="1"/>
  <c r="L8" i="3"/>
  <c r="G8" i="3"/>
  <c r="F8" i="3"/>
  <c r="C8" i="3"/>
  <c r="B8" i="3"/>
  <c r="K8" i="3" s="1"/>
  <c r="M8" i="3" s="1"/>
  <c r="L7" i="3"/>
  <c r="K7" i="3"/>
  <c r="M7" i="3" s="1"/>
  <c r="G7" i="3"/>
  <c r="F7" i="3"/>
  <c r="E7" i="3"/>
  <c r="B3" i="3"/>
  <c r="B48" i="2"/>
  <c r="L46" i="2"/>
  <c r="G46" i="2"/>
  <c r="F46" i="2"/>
  <c r="C46" i="2"/>
  <c r="L45" i="2"/>
  <c r="G45" i="2"/>
  <c r="F45" i="2"/>
  <c r="C45" i="2"/>
  <c r="L44" i="2"/>
  <c r="G44" i="2"/>
  <c r="F44" i="2"/>
  <c r="C44" i="2"/>
  <c r="B44" i="2"/>
  <c r="L43" i="2"/>
  <c r="G43" i="2"/>
  <c r="F43" i="2"/>
  <c r="C43" i="2"/>
  <c r="B39" i="2"/>
  <c r="L37" i="2"/>
  <c r="G37" i="2"/>
  <c r="F37" i="2"/>
  <c r="C37" i="2"/>
  <c r="L36" i="2"/>
  <c r="G36" i="2"/>
  <c r="F36" i="2"/>
  <c r="C36" i="2"/>
  <c r="B36" i="2"/>
  <c r="B37" i="2" s="1"/>
  <c r="K37" i="2" s="1"/>
  <c r="M37" i="2" s="1"/>
  <c r="L35" i="2"/>
  <c r="K35" i="2"/>
  <c r="M35" i="2" s="1"/>
  <c r="G35" i="2"/>
  <c r="F35" i="2"/>
  <c r="C35" i="2"/>
  <c r="B35" i="2"/>
  <c r="L34" i="2"/>
  <c r="K34" i="2"/>
  <c r="G34" i="2"/>
  <c r="F34" i="2"/>
  <c r="C34" i="2"/>
  <c r="B30" i="2"/>
  <c r="L28" i="2"/>
  <c r="G28" i="2"/>
  <c r="F28" i="2"/>
  <c r="C28" i="2"/>
  <c r="L27" i="2"/>
  <c r="G27" i="2"/>
  <c r="F27" i="2"/>
  <c r="C27" i="2"/>
  <c r="L26" i="2"/>
  <c r="K26" i="2"/>
  <c r="M26" i="2" s="1"/>
  <c r="G26" i="2"/>
  <c r="F26" i="2"/>
  <c r="C26" i="2"/>
  <c r="B26" i="2"/>
  <c r="B27" i="2" s="1"/>
  <c r="L25" i="2"/>
  <c r="K25" i="2"/>
  <c r="G25" i="2"/>
  <c r="F25" i="2"/>
  <c r="C25" i="2"/>
  <c r="B21" i="2"/>
  <c r="L19" i="2"/>
  <c r="G19" i="2"/>
  <c r="F19" i="2"/>
  <c r="C19" i="2"/>
  <c r="L18" i="2"/>
  <c r="G18" i="2"/>
  <c r="F18" i="2"/>
  <c r="C18" i="2"/>
  <c r="L17" i="2"/>
  <c r="K17" i="2"/>
  <c r="M17" i="2" s="1"/>
  <c r="G17" i="2"/>
  <c r="F17" i="2"/>
  <c r="E17" i="2"/>
  <c r="H17" i="2" s="1"/>
  <c r="J17" i="2" s="1"/>
  <c r="C17" i="2"/>
  <c r="B17" i="2"/>
  <c r="B18" i="2" s="1"/>
  <c r="L16" i="2"/>
  <c r="K16" i="2"/>
  <c r="M16" i="2" s="1"/>
  <c r="G16" i="2"/>
  <c r="F16" i="2"/>
  <c r="C16" i="2"/>
  <c r="B12" i="2"/>
  <c r="L10" i="2"/>
  <c r="G10" i="2"/>
  <c r="F10" i="2"/>
  <c r="E10" i="2"/>
  <c r="H10" i="2" s="1"/>
  <c r="C10" i="2"/>
  <c r="L9" i="2"/>
  <c r="G9" i="2"/>
  <c r="F9" i="2"/>
  <c r="E9" i="2"/>
  <c r="H9" i="2" s="1"/>
  <c r="J9" i="2" s="1"/>
  <c r="C9" i="2"/>
  <c r="L8" i="2"/>
  <c r="G8" i="2"/>
  <c r="F8" i="2"/>
  <c r="E8" i="2"/>
  <c r="H8" i="2" s="1"/>
  <c r="C8" i="2"/>
  <c r="B8" i="2"/>
  <c r="B9" i="2" s="1"/>
  <c r="L7" i="2"/>
  <c r="K7" i="2"/>
  <c r="M7" i="2" s="1"/>
  <c r="G7" i="2"/>
  <c r="F7" i="2"/>
  <c r="E7" i="2"/>
  <c r="H7" i="2" s="1"/>
  <c r="J7" i="2" s="1"/>
  <c r="B3" i="2"/>
  <c r="G5" i="7" l="1"/>
  <c r="N10" i="3"/>
  <c r="N17" i="2"/>
  <c r="N7" i="2"/>
  <c r="K9" i="2"/>
  <c r="M9" i="2" s="1"/>
  <c r="B10" i="2"/>
  <c r="K10" i="2" s="1"/>
  <c r="M10" i="2" s="1"/>
  <c r="K46" i="5"/>
  <c r="M46" i="5" s="1"/>
  <c r="E36" i="6"/>
  <c r="E9" i="5" s="1"/>
  <c r="E9" i="4"/>
  <c r="K27" i="2"/>
  <c r="M27" i="2" s="1"/>
  <c r="B28" i="2"/>
  <c r="K28" i="2" s="1"/>
  <c r="M28" i="2" s="1"/>
  <c r="K18" i="2"/>
  <c r="M18" i="2" s="1"/>
  <c r="B19" i="2"/>
  <c r="K19" i="2" s="1"/>
  <c r="M19" i="2" s="1"/>
  <c r="K30" i="4"/>
  <c r="H8" i="5"/>
  <c r="J8" i="5" s="1"/>
  <c r="N8" i="5" s="1"/>
  <c r="E17" i="5"/>
  <c r="M34" i="2"/>
  <c r="K36" i="2"/>
  <c r="M36" i="2" s="1"/>
  <c r="K12" i="3"/>
  <c r="K26" i="3"/>
  <c r="M26" i="3" s="1"/>
  <c r="K17" i="4"/>
  <c r="M17" i="4" s="1"/>
  <c r="B10" i="5"/>
  <c r="K10" i="5" s="1"/>
  <c r="M10" i="5" s="1"/>
  <c r="H41" i="6"/>
  <c r="L16" i="6"/>
  <c r="K25" i="3"/>
  <c r="L20" i="6"/>
  <c r="L25" i="6" s="1"/>
  <c r="H9" i="3"/>
  <c r="J9" i="3" s="1"/>
  <c r="N9" i="3" s="1"/>
  <c r="E18" i="3"/>
  <c r="E7" i="4"/>
  <c r="E34" i="6"/>
  <c r="E7" i="5" s="1"/>
  <c r="K8" i="2"/>
  <c r="M8" i="2" s="1"/>
  <c r="J10" i="2"/>
  <c r="E19" i="2"/>
  <c r="M25" i="2"/>
  <c r="B28" i="3"/>
  <c r="K28" i="3" s="1"/>
  <c r="M28" i="3" s="1"/>
  <c r="K8" i="4"/>
  <c r="M8" i="4" s="1"/>
  <c r="B10" i="4"/>
  <c r="K10" i="4" s="1"/>
  <c r="M10" i="4" s="1"/>
  <c r="M25" i="4"/>
  <c r="K36" i="5"/>
  <c r="M36" i="5" s="1"/>
  <c r="B37" i="5"/>
  <c r="K37" i="5" s="1"/>
  <c r="M37" i="5" s="1"/>
  <c r="K45" i="4"/>
  <c r="M45" i="4" s="1"/>
  <c r="L27" i="6"/>
  <c r="N11" i="6"/>
  <c r="K39" i="3"/>
  <c r="H10" i="4"/>
  <c r="J10" i="4" s="1"/>
  <c r="E19" i="4"/>
  <c r="K36" i="4"/>
  <c r="M36" i="4" s="1"/>
  <c r="M25" i="5"/>
  <c r="K30" i="5"/>
  <c r="K46" i="3"/>
  <c r="M46" i="3" s="1"/>
  <c r="B45" i="2"/>
  <c r="M34" i="4"/>
  <c r="L11" i="6"/>
  <c r="H10" i="5"/>
  <c r="J10" i="5" s="1"/>
  <c r="E19" i="5"/>
  <c r="K41" i="6"/>
  <c r="L28" i="6"/>
  <c r="N28" i="6" s="1"/>
  <c r="E18" i="2"/>
  <c r="E16" i="2"/>
  <c r="H7" i="3"/>
  <c r="J7" i="3" s="1"/>
  <c r="N7" i="3" s="1"/>
  <c r="E16" i="3"/>
  <c r="E19" i="3"/>
  <c r="J8" i="2"/>
  <c r="E26" i="2"/>
  <c r="E8" i="3"/>
  <c r="E8" i="4"/>
  <c r="K18" i="5"/>
  <c r="M18" i="5" s="1"/>
  <c r="K34" i="5"/>
  <c r="D34" i="6"/>
  <c r="K35" i="5"/>
  <c r="M35" i="5" s="1"/>
  <c r="J41" i="6"/>
  <c r="L34" i="6"/>
  <c r="K21" i="3"/>
  <c r="I11" i="6"/>
  <c r="L35" i="6"/>
  <c r="N35" i="6" s="1"/>
  <c r="L39" i="6" l="1"/>
  <c r="L32" i="6"/>
  <c r="N16" i="6"/>
  <c r="N18" i="6" s="1"/>
  <c r="L18" i="6"/>
  <c r="H5" i="7"/>
  <c r="H7" i="7" s="1"/>
  <c r="N10" i="2"/>
  <c r="K21" i="4"/>
  <c r="K12" i="5"/>
  <c r="N10" i="4"/>
  <c r="K12" i="4"/>
  <c r="N10" i="5"/>
  <c r="K30" i="2"/>
  <c r="N8" i="2"/>
  <c r="K39" i="2"/>
  <c r="K21" i="2"/>
  <c r="H16" i="2"/>
  <c r="J16" i="2" s="1"/>
  <c r="N16" i="2" s="1"/>
  <c r="E25" i="2"/>
  <c r="K43" i="5"/>
  <c r="K43" i="4"/>
  <c r="K43" i="3"/>
  <c r="K43" i="2"/>
  <c r="K44" i="5"/>
  <c r="M44" i="5" s="1"/>
  <c r="H19" i="5"/>
  <c r="J19" i="5" s="1"/>
  <c r="N19" i="5" s="1"/>
  <c r="E28" i="5"/>
  <c r="K21" i="5"/>
  <c r="H19" i="2"/>
  <c r="J19" i="2" s="1"/>
  <c r="N19" i="2" s="1"/>
  <c r="E28" i="2"/>
  <c r="I41" i="6"/>
  <c r="M34" i="5"/>
  <c r="K39" i="5"/>
  <c r="K44" i="3"/>
  <c r="M44" i="3" s="1"/>
  <c r="N20" i="6"/>
  <c r="N25" i="6" s="1"/>
  <c r="H9" i="5"/>
  <c r="J9" i="5" s="1"/>
  <c r="N9" i="5" s="1"/>
  <c r="E18" i="5"/>
  <c r="N27" i="6"/>
  <c r="N32" i="6" s="1"/>
  <c r="K46" i="4"/>
  <c r="M46" i="4" s="1"/>
  <c r="N34" i="6"/>
  <c r="N39" i="6" s="1"/>
  <c r="H8" i="3"/>
  <c r="J8" i="3" s="1"/>
  <c r="N8" i="3" s="1"/>
  <c r="N12" i="3" s="1"/>
  <c r="E17" i="3"/>
  <c r="H7" i="5"/>
  <c r="J7" i="5" s="1"/>
  <c r="N7" i="5" s="1"/>
  <c r="E16" i="5"/>
  <c r="H8" i="4"/>
  <c r="J8" i="4" s="1"/>
  <c r="N8" i="4" s="1"/>
  <c r="E17" i="4"/>
  <c r="E27" i="2"/>
  <c r="H18" i="2"/>
  <c r="J18" i="2" s="1"/>
  <c r="N18" i="2" s="1"/>
  <c r="K39" i="4"/>
  <c r="H19" i="4"/>
  <c r="J19" i="4" s="1"/>
  <c r="N19" i="4" s="1"/>
  <c r="E28" i="4"/>
  <c r="H26" i="2"/>
  <c r="J26" i="2" s="1"/>
  <c r="N26" i="2" s="1"/>
  <c r="E35" i="2"/>
  <c r="K45" i="2"/>
  <c r="M45" i="2" s="1"/>
  <c r="B46" i="2"/>
  <c r="K46" i="2" s="1"/>
  <c r="M46" i="2" s="1"/>
  <c r="K45" i="3"/>
  <c r="M45" i="3" s="1"/>
  <c r="K45" i="5"/>
  <c r="M45" i="5" s="1"/>
  <c r="H7" i="4"/>
  <c r="J7" i="4" s="1"/>
  <c r="N7" i="4" s="1"/>
  <c r="E16" i="4"/>
  <c r="N9" i="2"/>
  <c r="H19" i="3"/>
  <c r="J19" i="3" s="1"/>
  <c r="N19" i="3" s="1"/>
  <c r="E28" i="3"/>
  <c r="H18" i="3"/>
  <c r="J18" i="3" s="1"/>
  <c r="N18" i="3" s="1"/>
  <c r="E27" i="3"/>
  <c r="K12" i="2"/>
  <c r="K30" i="3"/>
  <c r="M25" i="3"/>
  <c r="H16" i="3"/>
  <c r="J16" i="3" s="1"/>
  <c r="N16" i="3" s="1"/>
  <c r="E25" i="3"/>
  <c r="K44" i="4"/>
  <c r="M44" i="4" s="1"/>
  <c r="H17" i="5"/>
  <c r="J17" i="5" s="1"/>
  <c r="N17" i="5" s="1"/>
  <c r="E26" i="5"/>
  <c r="H9" i="4"/>
  <c r="J9" i="4" s="1"/>
  <c r="N9" i="4" s="1"/>
  <c r="E18" i="4"/>
  <c r="K44" i="2"/>
  <c r="M44" i="2" s="1"/>
  <c r="L41" i="6" l="1"/>
  <c r="N12" i="2"/>
  <c r="N12" i="5"/>
  <c r="N12" i="4"/>
  <c r="H18" i="4"/>
  <c r="J18" i="4" s="1"/>
  <c r="N18" i="4" s="1"/>
  <c r="E27" i="4"/>
  <c r="H27" i="2"/>
  <c r="J27" i="2" s="1"/>
  <c r="N27" i="2" s="1"/>
  <c r="E36" i="2"/>
  <c r="H16" i="4"/>
  <c r="J16" i="4" s="1"/>
  <c r="N16" i="4" s="1"/>
  <c r="E25" i="4"/>
  <c r="H16" i="5"/>
  <c r="J16" i="5" s="1"/>
  <c r="N16" i="5" s="1"/>
  <c r="E25" i="5"/>
  <c r="K48" i="2"/>
  <c r="M43" i="2"/>
  <c r="H28" i="4"/>
  <c r="J28" i="4" s="1"/>
  <c r="N28" i="4" s="1"/>
  <c r="E37" i="4"/>
  <c r="H17" i="3"/>
  <c r="J17" i="3" s="1"/>
  <c r="N17" i="3" s="1"/>
  <c r="N21" i="3" s="1"/>
  <c r="E26" i="3"/>
  <c r="H28" i="2"/>
  <c r="J28" i="2" s="1"/>
  <c r="N28" i="2" s="1"/>
  <c r="E37" i="2"/>
  <c r="M43" i="4"/>
  <c r="K48" i="4"/>
  <c r="H26" i="5"/>
  <c r="J26" i="5" s="1"/>
  <c r="N26" i="5" s="1"/>
  <c r="E35" i="5"/>
  <c r="H27" i="3"/>
  <c r="J27" i="3" s="1"/>
  <c r="N27" i="3" s="1"/>
  <c r="E36" i="3"/>
  <c r="K48" i="5"/>
  <c r="M43" i="5"/>
  <c r="H18" i="5"/>
  <c r="J18" i="5" s="1"/>
  <c r="N18" i="5" s="1"/>
  <c r="E27" i="5"/>
  <c r="H28" i="3"/>
  <c r="J28" i="3" s="1"/>
  <c r="N28" i="3" s="1"/>
  <c r="E37" i="3"/>
  <c r="H28" i="5"/>
  <c r="J28" i="5" s="1"/>
  <c r="N28" i="5" s="1"/>
  <c r="E37" i="5"/>
  <c r="H25" i="2"/>
  <c r="J25" i="2" s="1"/>
  <c r="N25" i="2" s="1"/>
  <c r="E34" i="2"/>
  <c r="H25" i="3"/>
  <c r="J25" i="3" s="1"/>
  <c r="N25" i="3" s="1"/>
  <c r="E34" i="3"/>
  <c r="H35" i="2"/>
  <c r="J35" i="2" s="1"/>
  <c r="N35" i="2" s="1"/>
  <c r="E44" i="2"/>
  <c r="H44" i="2" s="1"/>
  <c r="J44" i="2" s="1"/>
  <c r="N44" i="2" s="1"/>
  <c r="H17" i="4"/>
  <c r="J17" i="4" s="1"/>
  <c r="N17" i="4" s="1"/>
  <c r="E26" i="4"/>
  <c r="N21" i="2"/>
  <c r="M43" i="3"/>
  <c r="K48" i="3"/>
  <c r="D6" i="1" l="1"/>
  <c r="H37" i="5"/>
  <c r="J37" i="5" s="1"/>
  <c r="N37" i="5" s="1"/>
  <c r="E46" i="5"/>
  <c r="H46" i="5" s="1"/>
  <c r="J46" i="5" s="1"/>
  <c r="N46" i="5" s="1"/>
  <c r="H25" i="4"/>
  <c r="J25" i="4" s="1"/>
  <c r="N25" i="4" s="1"/>
  <c r="E34" i="4"/>
  <c r="H37" i="3"/>
  <c r="J37" i="3" s="1"/>
  <c r="N37" i="3" s="1"/>
  <c r="E46" i="3"/>
  <c r="H46" i="3" s="1"/>
  <c r="J46" i="3" s="1"/>
  <c r="N46" i="3" s="1"/>
  <c r="H35" i="5"/>
  <c r="J35" i="5" s="1"/>
  <c r="N35" i="5" s="1"/>
  <c r="E44" i="5"/>
  <c r="H44" i="5" s="1"/>
  <c r="J44" i="5" s="1"/>
  <c r="N44" i="5" s="1"/>
  <c r="H37" i="4"/>
  <c r="J37" i="4" s="1"/>
  <c r="N37" i="4" s="1"/>
  <c r="E46" i="4"/>
  <c r="H46" i="4" s="1"/>
  <c r="J46" i="4" s="1"/>
  <c r="N46" i="4" s="1"/>
  <c r="H36" i="2"/>
  <c r="J36" i="2" s="1"/>
  <c r="N36" i="2" s="1"/>
  <c r="E45" i="2"/>
  <c r="H45" i="2" s="1"/>
  <c r="J45" i="2" s="1"/>
  <c r="N45" i="2" s="1"/>
  <c r="N30" i="2"/>
  <c r="H36" i="3"/>
  <c r="J36" i="3" s="1"/>
  <c r="N36" i="3" s="1"/>
  <c r="E45" i="3"/>
  <c r="H45" i="3" s="1"/>
  <c r="J45" i="3" s="1"/>
  <c r="N45" i="3" s="1"/>
  <c r="H34" i="3"/>
  <c r="J34" i="3" s="1"/>
  <c r="N34" i="3" s="1"/>
  <c r="E43" i="3"/>
  <c r="H43" i="3" s="1"/>
  <c r="J43" i="3" s="1"/>
  <c r="N43" i="3" s="1"/>
  <c r="H27" i="5"/>
  <c r="J27" i="5" s="1"/>
  <c r="N27" i="5" s="1"/>
  <c r="E36" i="5"/>
  <c r="H27" i="4"/>
  <c r="J27" i="4" s="1"/>
  <c r="N27" i="4" s="1"/>
  <c r="E36" i="4"/>
  <c r="H26" i="4"/>
  <c r="J26" i="4" s="1"/>
  <c r="N26" i="4" s="1"/>
  <c r="E35" i="4"/>
  <c r="H26" i="3"/>
  <c r="J26" i="3" s="1"/>
  <c r="N26" i="3" s="1"/>
  <c r="N30" i="3" s="1"/>
  <c r="E35" i="3"/>
  <c r="N21" i="4"/>
  <c r="H34" i="2"/>
  <c r="J34" i="2" s="1"/>
  <c r="N34" i="2" s="1"/>
  <c r="E43" i="2"/>
  <c r="H43" i="2" s="1"/>
  <c r="J43" i="2" s="1"/>
  <c r="N43" i="2" s="1"/>
  <c r="H37" i="2"/>
  <c r="J37" i="2" s="1"/>
  <c r="N37" i="2" s="1"/>
  <c r="E46" i="2"/>
  <c r="H46" i="2" s="1"/>
  <c r="J46" i="2" s="1"/>
  <c r="N46" i="2" s="1"/>
  <c r="H25" i="5"/>
  <c r="J25" i="5" s="1"/>
  <c r="N25" i="5" s="1"/>
  <c r="E34" i="5"/>
  <c r="N21" i="5"/>
  <c r="N30" i="5" l="1"/>
  <c r="D7" i="1"/>
  <c r="N39" i="2"/>
  <c r="H36" i="4"/>
  <c r="J36" i="4" s="1"/>
  <c r="N36" i="4" s="1"/>
  <c r="E45" i="4"/>
  <c r="H45" i="4" s="1"/>
  <c r="J45" i="4" s="1"/>
  <c r="N45" i="4" s="1"/>
  <c r="N48" i="2"/>
  <c r="H34" i="4"/>
  <c r="J34" i="4" s="1"/>
  <c r="N34" i="4" s="1"/>
  <c r="E43" i="4"/>
  <c r="H43" i="4" s="1"/>
  <c r="J43" i="4" s="1"/>
  <c r="N43" i="4" s="1"/>
  <c r="N30" i="4"/>
  <c r="E45" i="5"/>
  <c r="H45" i="5" s="1"/>
  <c r="J45" i="5" s="1"/>
  <c r="N45" i="5" s="1"/>
  <c r="H36" i="5"/>
  <c r="J36" i="5" s="1"/>
  <c r="N36" i="5" s="1"/>
  <c r="E43" i="5"/>
  <c r="H43" i="5" s="1"/>
  <c r="J43" i="5" s="1"/>
  <c r="N43" i="5" s="1"/>
  <c r="H34" i="5"/>
  <c r="J34" i="5" s="1"/>
  <c r="N34" i="5" s="1"/>
  <c r="H35" i="3"/>
  <c r="J35" i="3" s="1"/>
  <c r="N35" i="3" s="1"/>
  <c r="N39" i="3" s="1"/>
  <c r="E44" i="3"/>
  <c r="H44" i="3" s="1"/>
  <c r="J44" i="3" s="1"/>
  <c r="N44" i="3" s="1"/>
  <c r="N48" i="3" s="1"/>
  <c r="H35" i="4"/>
  <c r="J35" i="4" s="1"/>
  <c r="N35" i="4" s="1"/>
  <c r="E44" i="4"/>
  <c r="H44" i="4" s="1"/>
  <c r="J44" i="4" s="1"/>
  <c r="N44" i="4" s="1"/>
  <c r="D8" i="1" l="1"/>
  <c r="N39" i="5"/>
  <c r="N39" i="4"/>
  <c r="N48" i="5"/>
  <c r="N48" i="4"/>
  <c r="D9" i="1" l="1"/>
  <c r="D10" i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<sst xmlns="http://schemas.openxmlformats.org/spreadsheetml/2006/main" count="514" uniqueCount="60">
  <si>
    <t>Medicare Fee for Service Health Data Analytics Services</t>
  </si>
  <si>
    <t>Option Year</t>
  </si>
  <si>
    <t>CLIN</t>
  </si>
  <si>
    <t>PRICE</t>
  </si>
  <si>
    <t>Base Year</t>
  </si>
  <si>
    <t>0001</t>
  </si>
  <si>
    <t>Option Year 1</t>
  </si>
  <si>
    <t>0002</t>
  </si>
  <si>
    <t>Option Year 2</t>
  </si>
  <si>
    <t>0003</t>
  </si>
  <si>
    <t>Option Year 3</t>
  </si>
  <si>
    <t>0004</t>
  </si>
  <si>
    <t>Option Year 4</t>
  </si>
  <si>
    <t>0005</t>
  </si>
  <si>
    <t>TOTAL</t>
  </si>
  <si>
    <t>Description</t>
  </si>
  <si>
    <t xml:space="preserve">CMS Labor Category </t>
  </si>
  <si>
    <t xml:space="preserve">GSA Labor Category </t>
  </si>
  <si>
    <t>Prime or Subcontractor</t>
  </si>
  <si>
    <t>Company</t>
  </si>
  <si>
    <t>GSA Rate</t>
  </si>
  <si>
    <t>%Discount</t>
  </si>
  <si>
    <t>Discounted  Rate</t>
  </si>
  <si>
    <t>Total Hours</t>
  </si>
  <si>
    <t>Annual FTE Hours</t>
  </si>
  <si>
    <t>FTE</t>
  </si>
  <si>
    <t>Total Price</t>
  </si>
  <si>
    <t>Task 1 - Program/ Project Management</t>
  </si>
  <si>
    <t>Lead Statistician</t>
  </si>
  <si>
    <t>Data Analyst</t>
  </si>
  <si>
    <t>Senior Developer</t>
  </si>
  <si>
    <t>Project Manager</t>
  </si>
  <si>
    <t>Task 2 - Data Analytics/ Modeling</t>
  </si>
  <si>
    <t>Task 3 - Dashboard Development</t>
  </si>
  <si>
    <t>Task 4 - Ad Hoc Analysis</t>
  </si>
  <si>
    <t>Contract Year</t>
  </si>
  <si>
    <t>GSA Schedule Direct Labor Category</t>
  </si>
  <si>
    <t>Total Labor Hours</t>
  </si>
  <si>
    <t>Prime</t>
  </si>
  <si>
    <t>Subcontractor</t>
  </si>
  <si>
    <t>SIN</t>
  </si>
  <si>
    <t>LABOR CATEGORY</t>
  </si>
  <si>
    <t>Year 1</t>
  </si>
  <si>
    <t>Year 2</t>
  </si>
  <si>
    <t>Year 3</t>
  </si>
  <si>
    <t>Year 4</t>
  </si>
  <si>
    <t>Year 5</t>
  </si>
  <si>
    <t>Health Research Analyst</t>
  </si>
  <si>
    <t>541611RC</t>
  </si>
  <si>
    <t>Sr. Health Research Analyst</t>
  </si>
  <si>
    <t>Health Informatics Developer</t>
  </si>
  <si>
    <t>Sr. Health Informatics Developer</t>
  </si>
  <si>
    <t>Health Data Scientist</t>
  </si>
  <si>
    <t>Sr. Health Data Scientist</t>
  </si>
  <si>
    <t>Subject Matter Expert</t>
  </si>
  <si>
    <t>Sr. Subject Matter Expert</t>
  </si>
  <si>
    <t>to</t>
  </si>
  <si>
    <t>Request for Quote (RFQ) Number 000CMC00000</t>
  </si>
  <si>
    <t>Vendor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</si>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</sst>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[$-409]dd\-mmm\-yy;@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9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43" fontId="8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44" fontId="3" fillId="0" borderId="0" xfId="2" applyFont="1"/>
    <xf numFmtId="0" fontId="4" fillId="0" borderId="0" xfId="0" applyFont="1"/>
    <xf numFmtId="44" fontId="4" fillId="0" borderId="0" xfId="2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4" fontId="3" fillId="0" borderId="2" xfId="2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quotePrefix="1" applyFont="1" applyBorder="1" applyAlignment="1">
      <alignment vertical="center" wrapText="1"/>
    </xf>
    <xf numFmtId="44" fontId="4" fillId="0" borderId="4" xfId="2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44" fontId="3" fillId="0" borderId="4" xfId="2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43" fontId="5" fillId="0" borderId="0" xfId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43" fontId="3" fillId="0" borderId="0" xfId="1" applyFont="1"/>
    <xf numFmtId="0" fontId="6" fillId="2" borderId="5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left" vertical="top" wrapText="1"/>
    </xf>
    <xf numFmtId="43" fontId="6" fillId="2" borderId="5" xfId="1" applyFont="1" applyFill="1" applyBorder="1" applyAlignment="1">
      <alignment horizontal="center" vertical="top" wrapText="1"/>
    </xf>
    <xf numFmtId="0" fontId="4" fillId="0" borderId="6" xfId="3" quotePrefix="1" applyFont="1" applyBorder="1"/>
    <xf numFmtId="0" fontId="4" fillId="0" borderId="6" xfId="3" applyFont="1" applyBorder="1" applyAlignment="1">
      <alignment wrapText="1"/>
    </xf>
    <xf numFmtId="0" fontId="7" fillId="0" borderId="5" xfId="4" applyFont="1" applyBorder="1" applyAlignment="1">
      <alignment horizontal="left" wrapText="1"/>
    </xf>
    <xf numFmtId="0" fontId="4" fillId="0" borderId="5" xfId="3" applyFont="1" applyBorder="1" applyAlignment="1">
      <alignment wrapText="1"/>
    </xf>
    <xf numFmtId="0" fontId="4" fillId="0" borderId="6" xfId="3" applyFont="1" applyBorder="1"/>
    <xf numFmtId="164" fontId="4" fillId="0" borderId="6" xfId="3" applyNumberFormat="1" applyFont="1" applyBorder="1"/>
    <xf numFmtId="10" fontId="4" fillId="0" borderId="6" xfId="3" applyNumberFormat="1" applyFont="1" applyBorder="1"/>
    <xf numFmtId="43" fontId="4" fillId="0" borderId="6" xfId="1" applyFont="1" applyBorder="1"/>
    <xf numFmtId="165" fontId="7" fillId="3" borderId="5" xfId="5" applyNumberFormat="1" applyFont="1" applyFill="1" applyBorder="1" applyAlignment="1">
      <alignment horizontal="left"/>
    </xf>
    <xf numFmtId="43" fontId="7" fillId="3" borderId="5" xfId="5" applyFont="1" applyFill="1" applyBorder="1" applyAlignment="1">
      <alignment horizontal="left"/>
    </xf>
    <xf numFmtId="164" fontId="4" fillId="0" borderId="5" xfId="3" applyNumberFormat="1" applyFont="1" applyBorder="1"/>
    <xf numFmtId="0" fontId="4" fillId="0" borderId="5" xfId="3" applyFont="1" applyBorder="1"/>
    <xf numFmtId="0" fontId="4" fillId="0" borderId="5" xfId="3" applyFont="1" applyBorder="1" applyAlignment="1">
      <alignment horizontal="left"/>
    </xf>
    <xf numFmtId="10" fontId="4" fillId="0" borderId="5" xfId="3" applyNumberFormat="1" applyFont="1" applyBorder="1"/>
    <xf numFmtId="43" fontId="4" fillId="0" borderId="5" xfId="1" applyFont="1" applyBorder="1"/>
    <xf numFmtId="2" fontId="4" fillId="0" borderId="5" xfId="3" applyNumberFormat="1" applyFont="1" applyBorder="1"/>
    <xf numFmtId="0" fontId="3" fillId="0" borderId="5" xfId="3" applyFont="1" applyBorder="1"/>
    <xf numFmtId="0" fontId="3" fillId="0" borderId="5" xfId="3" applyFont="1" applyBorder="1" applyAlignment="1">
      <alignment wrapText="1"/>
    </xf>
    <xf numFmtId="0" fontId="3" fillId="0" borderId="5" xfId="3" applyFont="1" applyBorder="1" applyAlignment="1">
      <alignment horizontal="left"/>
    </xf>
    <xf numFmtId="164" fontId="3" fillId="0" borderId="5" xfId="3" applyNumberFormat="1" applyFont="1" applyBorder="1"/>
    <xf numFmtId="10" fontId="3" fillId="0" borderId="5" xfId="3" applyNumberFormat="1" applyFont="1" applyBorder="1"/>
    <xf numFmtId="43" fontId="3" fillId="0" borderId="5" xfId="1" applyFont="1" applyBorder="1"/>
    <xf numFmtId="1" fontId="3" fillId="0" borderId="5" xfId="3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43" fontId="4" fillId="0" borderId="0" xfId="1" applyFont="1"/>
    <xf numFmtId="43" fontId="6" fillId="2" borderId="5" xfId="5" applyFont="1" applyFill="1" applyBorder="1" applyAlignment="1">
      <alignment horizontal="center" vertical="top" wrapText="1"/>
    </xf>
    <xf numFmtId="49" fontId="7" fillId="0" borderId="5" xfId="4" applyNumberFormat="1" applyFont="1" applyBorder="1" applyAlignment="1">
      <alignment horizontal="center" wrapText="1"/>
    </xf>
    <xf numFmtId="49" fontId="7" fillId="0" borderId="5" xfId="4" quotePrefix="1" applyNumberFormat="1" applyFont="1" applyBorder="1" applyAlignment="1">
      <alignment horizontal="center" wrapText="1"/>
    </xf>
    <xf numFmtId="0" fontId="7" fillId="0" borderId="5" xfId="4" applyFont="1" applyBorder="1" applyAlignment="1">
      <alignment horizontal="center" wrapText="1"/>
    </xf>
    <xf numFmtId="0" fontId="7" fillId="0" borderId="5" xfId="4" applyFont="1" applyBorder="1" applyAlignment="1">
      <alignment horizontal="center"/>
    </xf>
    <xf numFmtId="43" fontId="7" fillId="0" borderId="5" xfId="5" applyFont="1" applyBorder="1"/>
    <xf numFmtId="165" fontId="7" fillId="0" borderId="5" xfId="5" applyNumberFormat="1" applyFont="1" applyBorder="1" applyAlignment="1">
      <alignment horizontal="left"/>
    </xf>
    <xf numFmtId="165" fontId="5" fillId="3" borderId="5" xfId="5" applyNumberFormat="1" applyFont="1" applyFill="1" applyBorder="1" applyAlignment="1">
      <alignment horizontal="left"/>
    </xf>
    <xf numFmtId="43" fontId="5" fillId="3" borderId="5" xfId="5" applyFont="1" applyFill="1" applyBorder="1" applyAlignment="1">
      <alignment horizontal="left"/>
    </xf>
    <xf numFmtId="0" fontId="5" fillId="4" borderId="5" xfId="4" applyFont="1" applyFill="1" applyBorder="1" applyAlignment="1">
      <alignment horizontal="left"/>
    </xf>
    <xf numFmtId="0" fontId="5" fillId="4" borderId="5" xfId="4" applyFont="1" applyFill="1" applyBorder="1" applyAlignment="1">
      <alignment horizontal="center" wrapText="1"/>
    </xf>
    <xf numFmtId="0" fontId="5" fillId="4" borderId="5" xfId="4" applyFont="1" applyFill="1" applyBorder="1" applyAlignment="1">
      <alignment horizontal="center"/>
    </xf>
    <xf numFmtId="165" fontId="5" fillId="4" borderId="5" xfId="5" applyNumberFormat="1" applyFont="1" applyFill="1" applyBorder="1" applyAlignment="1">
      <alignment horizontal="left"/>
    </xf>
    <xf numFmtId="43" fontId="5" fillId="4" borderId="5" xfId="5" applyFont="1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wrapText="1"/>
    </xf>
    <xf numFmtId="0" fontId="10" fillId="5" borderId="7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66" fontId="15" fillId="7" borderId="7" xfId="0" applyNumberFormat="1" applyFont="1" applyFill="1" applyBorder="1" applyAlignment="1">
      <alignment horizontal="center"/>
    </xf>
    <xf numFmtId="166" fontId="15" fillId="7" borderId="9" xfId="0" applyNumberFormat="1" applyFont="1" applyFill="1" applyBorder="1" applyAlignment="1">
      <alignment horizontal="center"/>
    </xf>
    <xf numFmtId="166" fontId="15" fillId="7" borderId="10" xfId="0" applyNumberFormat="1" applyFont="1" applyFill="1" applyBorder="1" applyAlignment="1">
      <alignment horizontal="center"/>
    </xf>
    <xf numFmtId="166" fontId="15" fillId="7" borderId="3" xfId="0" applyNumberFormat="1" applyFont="1" applyFill="1" applyBorder="1" applyAlignment="1">
      <alignment horizontal="center"/>
    </xf>
    <xf numFmtId="8" fontId="14" fillId="0" borderId="7" xfId="0" applyNumberFormat="1" applyFont="1" applyBorder="1" applyAlignment="1">
      <alignment horizontal="right" vertical="center"/>
    </xf>
    <xf numFmtId="8" fontId="14" fillId="0" borderId="3" xfId="0" applyNumberFormat="1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8" fontId="14" fillId="6" borderId="7" xfId="0" applyNumberFormat="1" applyFont="1" applyFill="1" applyBorder="1" applyAlignment="1">
      <alignment horizontal="right" vertical="center"/>
    </xf>
    <xf numFmtId="8" fontId="14" fillId="6" borderId="3" xfId="0" applyNumberFormat="1" applyFont="1" applyFill="1" applyBorder="1" applyAlignment="1">
      <alignment horizontal="right" vertical="center"/>
    </xf>
  </cellXfs>
  <cellStyles count="6">
    <cellStyle name="Comma" xfId="1" builtinId="3"/>
    <cellStyle name="Comma 2" xfId="5" xr:uid="{940A333E-344D-4789-839E-73B3E537C5CE}"/>
    <cellStyle name="Currency" xfId="2" builtinId="4"/>
    <cellStyle name="Normal" xfId="0" builtinId="0"/>
    <cellStyle name="Normal 3" xfId="4" xr:uid="{43591CC1-7107-48B0-9867-CE2CDC3AB3E9}"/>
    <cellStyle name="Normal 35" xfId="3" xr:uid="{7C588D50-ED20-405B-AFC9-3339967B7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CD5F-5869-4798-8DC9-EB9980152A78}">
  <sheetPr>
    <tabColor theme="4" tint="0.59999389629810485"/>
  </sheetPr>
  <dimension ref="B1:D11"/>
  <sheetViews>
    <sheetView tabSelected="1" zoomScaleNormal="100" zoomScaleSheetLayoutView="100" workbookViewId="0">
      <selection activeCell="D9" sqref="D9"/>
    </sheetView>
  </sheetViews>
  <sheetFormatPr defaultColWidth="9" defaultRowHeight="15.75" x14ac:dyDescent="0.25"/>
  <cols>
    <col min="1" max="1" width="4.625" style="3" customWidth="1"/>
    <col min="2" max="2" width="15.125" style="3" customWidth="1"/>
    <col min="3" max="3" width="16.25" style="3" customWidth="1"/>
    <col min="4" max="4" width="17.125" style="4" customWidth="1"/>
    <col min="5" max="16384" width="9" style="3"/>
  </cols>
  <sheetData>
    <row r="1" spans="2:4" s="1" customFormat="1" x14ac:dyDescent="0.25">
      <c r="B1" s="1" t="s">
        <v>57</v>
      </c>
      <c r="D1" s="2"/>
    </row>
    <row r="2" spans="2:4" s="1" customFormat="1" x14ac:dyDescent="0.25">
      <c r="B2" s="1" t="s">
        <v>0</v>
      </c>
      <c r="D2" s="2"/>
    </row>
    <row r="3" spans="2:4" x14ac:dyDescent="0.25">
      <c r="B3" s="1" t="str" cm="1">
        <f t="array" aca="1" ref="B3" ca="1">MID(CELL("filename",A2),FIND("]",CELL("filename",A2))+1,256)</f>
        <v>COST SUMMARY</v>
      </c>
    </row>
    <row r="4" spans="2:4" ht="16.5" thickBot="1" x14ac:dyDescent="0.3"/>
    <row r="5" spans="2:4" ht="16.5" thickBot="1" x14ac:dyDescent="0.3">
      <c r="B5" s="5" t="s">
        <v>1</v>
      </c>
      <c r="C5" s="6" t="s">
        <v>2</v>
      </c>
      <c r="D5" s="7" t="s">
        <v>3</v>
      </c>
    </row>
    <row r="6" spans="2:4" ht="16.5" thickBot="1" x14ac:dyDescent="0.3">
      <c r="B6" s="8" t="s">
        <v>4</v>
      </c>
      <c r="C6" s="9" t="s">
        <v>5</v>
      </c>
      <c r="D6" s="10">
        <f>'Task 1'!N12+'Task 2'!N12+'Task 3'!N12+'Task 4'!N12</f>
        <v>2455.1999999999998</v>
      </c>
    </row>
    <row r="7" spans="2:4" ht="16.5" thickBot="1" x14ac:dyDescent="0.3">
      <c r="B7" s="8" t="s">
        <v>6</v>
      </c>
      <c r="C7" s="9" t="s">
        <v>7</v>
      </c>
      <c r="D7" s="10">
        <f>'Task 1'!N21+'Task 2'!N21+'Task 3'!N21+'Task 4'!N21</f>
        <v>2613.6000000000004</v>
      </c>
    </row>
    <row r="8" spans="2:4" ht="16.5" thickBot="1" x14ac:dyDescent="0.3">
      <c r="B8" s="8" t="s">
        <v>8</v>
      </c>
      <c r="C8" s="9" t="s">
        <v>9</v>
      </c>
      <c r="D8" s="10">
        <f>'Task 1'!N30+'Task 2'!N30+'Task 3'!N30+'Task 4'!N30</f>
        <v>2772</v>
      </c>
    </row>
    <row r="9" spans="2:4" ht="16.5" thickBot="1" x14ac:dyDescent="0.3">
      <c r="B9" s="8" t="s">
        <v>10</v>
      </c>
      <c r="C9" s="9" t="s">
        <v>11</v>
      </c>
      <c r="D9" s="10">
        <f>'Task 1'!N39+'Task 2'!N39+'Task 3'!N39+'Task 4'!N39</f>
        <v>2772</v>
      </c>
    </row>
    <row r="10" spans="2:4" ht="16.5" thickBot="1" x14ac:dyDescent="0.3">
      <c r="B10" s="8" t="s">
        <v>12</v>
      </c>
      <c r="C10" s="9" t="s">
        <v>13</v>
      </c>
      <c r="D10" s="10">
        <f>'Task 1'!N48+'Task 2'!N48+'Task 3'!N48+'Task 4'!N48</f>
        <v>2772</v>
      </c>
    </row>
    <row r="11" spans="2:4" ht="16.5" thickBot="1" x14ac:dyDescent="0.3">
      <c r="B11" s="11" t="s">
        <v>14</v>
      </c>
      <c r="C11" s="12"/>
      <c r="D11" s="13">
        <f>SUM(D6:D10)</f>
        <v>13384.8</v>
      </c>
    </row>
  </sheetData>
  <pageMargins left="1" right="1" top="1" bottom="1" header="0.5" footer="0.5"/>
  <pageSetup orientation="landscape" r:id="rId1"/>
  <headerFooter>
    <oddFooter>&amp;L&amp;"Arial Narrow,Italic"&amp;10Use or disclosure of data contained on this page is subject to the restriction on the cover sheet of this proposal or quotation.&amp;R
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1A2D-985B-4017-AB15-598B4DCC6745}">
  <sheetPr>
    <tabColor theme="4" tint="0.59999389629810485"/>
  </sheetPr>
  <dimension ref="B1:N48"/>
  <sheetViews>
    <sheetView zoomScaleNormal="100" zoomScaleSheetLayoutView="100" workbookViewId="0">
      <selection activeCell="B1" sqref="B1"/>
    </sheetView>
  </sheetViews>
  <sheetFormatPr defaultColWidth="9" defaultRowHeight="15.75" x14ac:dyDescent="0.25"/>
  <cols>
    <col min="1" max="1" width="4.625" style="3" customWidth="1"/>
    <col min="2" max="2" width="7.625" style="3" customWidth="1"/>
    <col min="3" max="3" width="35.625" style="3" customWidth="1"/>
    <col min="4" max="4" width="15.625" style="47" customWidth="1"/>
    <col min="5" max="5" width="26.625" style="48" customWidth="1"/>
    <col min="6" max="6" width="13.625" style="3" customWidth="1"/>
    <col min="7" max="7" width="12.625" style="3" customWidth="1"/>
    <col min="8" max="8" width="9.625" style="3" customWidth="1"/>
    <col min="9" max="9" width="11.625" style="3" customWidth="1"/>
    <col min="10" max="10" width="10.625" style="3" customWidth="1"/>
    <col min="11" max="11" width="9.625" style="49" customWidth="1"/>
    <col min="12" max="12" width="9.625" style="3" customWidth="1"/>
    <col min="13" max="13" width="7.625" style="3" customWidth="1"/>
    <col min="14" max="14" width="12.625" style="3" customWidth="1"/>
    <col min="15" max="16384" width="9" style="3"/>
  </cols>
  <sheetData>
    <row r="1" spans="2:14" s="14" customFormat="1" x14ac:dyDescent="0.25">
      <c r="B1" s="14" t="s">
        <v>57</v>
      </c>
      <c r="D1" s="15"/>
      <c r="E1" s="16"/>
      <c r="K1" s="17"/>
    </row>
    <row r="2" spans="2:14" s="14" customFormat="1" x14ac:dyDescent="0.25">
      <c r="B2" s="14" t="s">
        <v>0</v>
      </c>
      <c r="D2" s="15"/>
      <c r="E2" s="16"/>
      <c r="K2" s="17"/>
    </row>
    <row r="3" spans="2:14" s="14" customFormat="1" x14ac:dyDescent="0.25">
      <c r="B3" s="1" t="str">
        <f>C7</f>
        <v>Task 1 - Program/ Project Management</v>
      </c>
      <c r="D3" s="15"/>
      <c r="E3" s="16"/>
      <c r="K3" s="17"/>
    </row>
    <row r="5" spans="2:14" s="1" customFormat="1" x14ac:dyDescent="0.25">
      <c r="B5" s="1" t="s">
        <v>4</v>
      </c>
      <c r="D5" s="18"/>
      <c r="E5" s="19"/>
      <c r="K5" s="20"/>
    </row>
    <row r="6" spans="2:14" ht="47.25" x14ac:dyDescent="0.25">
      <c r="B6" s="21" t="s">
        <v>2</v>
      </c>
      <c r="C6" s="21" t="s">
        <v>15</v>
      </c>
      <c r="D6" s="22" t="s">
        <v>16</v>
      </c>
      <c r="E6" s="21" t="s">
        <v>17</v>
      </c>
      <c r="F6" s="21" t="s">
        <v>18</v>
      </c>
      <c r="G6" s="21" t="s">
        <v>19</v>
      </c>
      <c r="H6" s="21" t="s">
        <v>20</v>
      </c>
      <c r="I6" s="21" t="s">
        <v>21</v>
      </c>
      <c r="J6" s="21" t="s">
        <v>22</v>
      </c>
      <c r="K6" s="23" t="s">
        <v>23</v>
      </c>
      <c r="L6" s="21" t="s">
        <v>24</v>
      </c>
      <c r="M6" s="21" t="s">
        <v>25</v>
      </c>
      <c r="N6" s="21" t="s">
        <v>26</v>
      </c>
    </row>
    <row r="7" spans="2:14" x14ac:dyDescent="0.25">
      <c r="B7" s="24" t="s">
        <v>5</v>
      </c>
      <c r="C7" s="25" t="s">
        <v>27</v>
      </c>
      <c r="D7" s="26" t="s">
        <v>28</v>
      </c>
      <c r="E7" s="27" t="str">
        <f>'Level of Effort'!E6</f>
        <v>Sr. Health Data Scientist</v>
      </c>
      <c r="F7" s="28" t="str">
        <f>VLOOKUP(D7,'Level of Effort'!$D:$G,3,FALSE)</f>
        <v>Prime</v>
      </c>
      <c r="G7" s="28" t="str">
        <f>VLOOKUP(D7,'Level of Effort'!$D:$G,4,FALSE)</f>
        <v>Vendor</v>
      </c>
      <c r="H7" s="29">
        <f>VLOOKUP(E7,'Vendor GSA MAS 541611 Rates'!$C:$H,4,FALSE)</f>
        <v>21</v>
      </c>
      <c r="I7" s="30">
        <v>0.01</v>
      </c>
      <c r="J7" s="29">
        <f>ROUND(H7-H7*I7,2)</f>
        <v>20.79</v>
      </c>
      <c r="K7" s="31">
        <f>SUMIFS('Level of Effort'!$H:$H,'Level of Effort'!$C:$C,$B7,'Level of Effort'!$D:$D,$D7)</f>
        <v>10</v>
      </c>
      <c r="L7" s="32">
        <f>1880</f>
        <v>1880</v>
      </c>
      <c r="M7" s="33">
        <f>K7/L7</f>
        <v>5.3191489361702126E-3</v>
      </c>
      <c r="N7" s="29">
        <f>J7*K7</f>
        <v>207.89999999999998</v>
      </c>
    </row>
    <row r="8" spans="2:14" x14ac:dyDescent="0.25">
      <c r="B8" s="24" t="str">
        <f t="shared" ref="B8:B10" si="0">B7</f>
        <v>0001</v>
      </c>
      <c r="C8" s="25" t="str">
        <f>$C$7</f>
        <v>Task 1 - Program/ Project Management</v>
      </c>
      <c r="D8" s="26" t="s">
        <v>29</v>
      </c>
      <c r="E8" s="27" t="str">
        <f>'Level of Effort'!E7</f>
        <v>Sr. Health Research Analyst</v>
      </c>
      <c r="F8" s="28" t="str">
        <f>VLOOKUP(D8,'Level of Effort'!$D:$G,3,FALSE)</f>
        <v>Prime</v>
      </c>
      <c r="G8" s="28" t="str">
        <f>VLOOKUP(D8,'Level of Effort'!$D:$G,4,FALSE)</f>
        <v>Vendor</v>
      </c>
      <c r="H8" s="29">
        <f>VLOOKUP(E8,'Vendor GSA MAS 541611 Rates'!$C:$H,4,FALSE)</f>
        <v>15</v>
      </c>
      <c r="I8" s="30">
        <v>0.01</v>
      </c>
      <c r="J8" s="29">
        <f t="shared" ref="J8:J10" si="1">ROUND(H8-H8*I8,2)</f>
        <v>14.85</v>
      </c>
      <c r="K8" s="31">
        <f>SUMIFS('Level of Effort'!$H:$H,'Level of Effort'!$C:$C,$B8,'Level of Effort'!$D:$D,$D8)</f>
        <v>10</v>
      </c>
      <c r="L8" s="32">
        <f>1880</f>
        <v>1880</v>
      </c>
      <c r="M8" s="33">
        <f t="shared" ref="M8:M10" si="2">K8/L8</f>
        <v>5.3191489361702126E-3</v>
      </c>
      <c r="N8" s="34">
        <f t="shared" ref="N8:N10" si="3">J8*K8</f>
        <v>148.5</v>
      </c>
    </row>
    <row r="9" spans="2:14" x14ac:dyDescent="0.25">
      <c r="B9" s="24" t="str">
        <f t="shared" si="0"/>
        <v>0001</v>
      </c>
      <c r="C9" s="25" t="str">
        <f t="shared" ref="C9:C10" si="4">$C$7</f>
        <v>Task 1 - Program/ Project Management</v>
      </c>
      <c r="D9" s="26" t="s">
        <v>30</v>
      </c>
      <c r="E9" s="27" t="str">
        <f>'Level of Effort'!E8</f>
        <v>Sr. Health Informatics Developer</v>
      </c>
      <c r="F9" s="28" t="str">
        <f>VLOOKUP(D9,'Level of Effort'!$D:$G,3,FALSE)</f>
        <v>Subcontractor</v>
      </c>
      <c r="G9" s="28" t="str">
        <f>VLOOKUP(D9,'Level of Effort'!$D:$G,4,FALSE)</f>
        <v>Sub</v>
      </c>
      <c r="H9" s="29">
        <f>VLOOKUP(E9,'Vendor GSA MAS 541611 Rates'!$C:$H,4,FALSE)</f>
        <v>14</v>
      </c>
      <c r="I9" s="30">
        <v>0.01</v>
      </c>
      <c r="J9" s="29">
        <f t="shared" si="1"/>
        <v>13.86</v>
      </c>
      <c r="K9" s="31">
        <f>SUMIFS('Level of Effort'!$H:$H,'Level of Effort'!$C:$C,$B9,'Level of Effort'!$D:$D,$D9)</f>
        <v>10</v>
      </c>
      <c r="L9" s="32">
        <f>1880</f>
        <v>1880</v>
      </c>
      <c r="M9" s="33">
        <f t="shared" si="2"/>
        <v>5.3191489361702126E-3</v>
      </c>
      <c r="N9" s="34">
        <f t="shared" si="3"/>
        <v>138.6</v>
      </c>
    </row>
    <row r="10" spans="2:14" x14ac:dyDescent="0.25">
      <c r="B10" s="24" t="str">
        <f t="shared" si="0"/>
        <v>0001</v>
      </c>
      <c r="C10" s="25" t="str">
        <f t="shared" si="4"/>
        <v>Task 1 - Program/ Project Management</v>
      </c>
      <c r="D10" s="26" t="s">
        <v>31</v>
      </c>
      <c r="E10" s="27" t="str">
        <f>'Level of Effort'!E9</f>
        <v>Subject Matter Expert</v>
      </c>
      <c r="F10" s="28" t="str">
        <f>VLOOKUP(D10,'Level of Effort'!$D:$G,3,FALSE)</f>
        <v>Prime</v>
      </c>
      <c r="G10" s="28" t="str">
        <f>VLOOKUP(D10,'Level of Effort'!$D:$G,4,FALSE)</f>
        <v>Vendor</v>
      </c>
      <c r="H10" s="29">
        <f>VLOOKUP(E10,'Vendor GSA MAS 541611 Rates'!$C:$H,4,FALSE)</f>
        <v>12</v>
      </c>
      <c r="I10" s="30">
        <v>0.01</v>
      </c>
      <c r="J10" s="29">
        <f t="shared" si="1"/>
        <v>11.88</v>
      </c>
      <c r="K10" s="31">
        <f>SUMIFS('Level of Effort'!$H:$H,'Level of Effort'!$C:$C,$B10,'Level of Effort'!$D:$D,$D10)</f>
        <v>10</v>
      </c>
      <c r="L10" s="32">
        <f>1880</f>
        <v>1880</v>
      </c>
      <c r="M10" s="33">
        <f t="shared" si="2"/>
        <v>5.3191489361702126E-3</v>
      </c>
      <c r="N10" s="34">
        <f t="shared" si="3"/>
        <v>118.80000000000001</v>
      </c>
    </row>
    <row r="11" spans="2:14" ht="5.0999999999999996" customHeight="1" x14ac:dyDescent="0.25">
      <c r="B11" s="35"/>
      <c r="C11" s="27"/>
      <c r="D11" s="36"/>
      <c r="E11" s="27"/>
      <c r="F11" s="35"/>
      <c r="G11" s="35"/>
      <c r="H11" s="34"/>
      <c r="I11" s="37"/>
      <c r="J11" s="34"/>
      <c r="K11" s="38"/>
      <c r="L11" s="39"/>
      <c r="M11" s="39"/>
      <c r="N11" s="34"/>
    </row>
    <row r="12" spans="2:14" x14ac:dyDescent="0.25">
      <c r="B12" s="40" t="str">
        <f>"Total "&amp;B7&amp;":"&amp;C7</f>
        <v>Total 0001:Task 1 - Program/ Project Management</v>
      </c>
      <c r="C12" s="41"/>
      <c r="D12" s="42"/>
      <c r="E12" s="41"/>
      <c r="F12" s="40"/>
      <c r="G12" s="40"/>
      <c r="H12" s="43"/>
      <c r="I12" s="44"/>
      <c r="J12" s="43"/>
      <c r="K12" s="45">
        <f>SUM(K7:K11)</f>
        <v>40</v>
      </c>
      <c r="L12" s="46"/>
      <c r="M12" s="46"/>
      <c r="N12" s="43">
        <f>SUM(N7:N11)</f>
        <v>613.79999999999995</v>
      </c>
    </row>
    <row r="14" spans="2:14" s="1" customFormat="1" x14ac:dyDescent="0.25">
      <c r="B14" s="1" t="s">
        <v>6</v>
      </c>
      <c r="D14" s="18"/>
      <c r="E14" s="19"/>
      <c r="K14" s="20"/>
    </row>
    <row r="15" spans="2:14" ht="47.25" x14ac:dyDescent="0.25">
      <c r="B15" s="21" t="s">
        <v>2</v>
      </c>
      <c r="C15" s="21" t="s">
        <v>15</v>
      </c>
      <c r="D15" s="22" t="s">
        <v>16</v>
      </c>
      <c r="E15" s="21" t="s">
        <v>17</v>
      </c>
      <c r="F15" s="21" t="s">
        <v>18</v>
      </c>
      <c r="G15" s="21" t="s">
        <v>19</v>
      </c>
      <c r="H15" s="21" t="s">
        <v>20</v>
      </c>
      <c r="I15" s="21" t="s">
        <v>21</v>
      </c>
      <c r="J15" s="21" t="s">
        <v>22</v>
      </c>
      <c r="K15" s="23" t="s">
        <v>23</v>
      </c>
      <c r="L15" s="21" t="s">
        <v>24</v>
      </c>
      <c r="M15" s="21" t="s">
        <v>25</v>
      </c>
      <c r="N15" s="21" t="s">
        <v>26</v>
      </c>
    </row>
    <row r="16" spans="2:14" x14ac:dyDescent="0.25">
      <c r="B16" s="24" t="s">
        <v>7</v>
      </c>
      <c r="C16" s="25" t="str">
        <f t="shared" ref="C16:C19" si="5">$C$7</f>
        <v>Task 1 - Program/ Project Management</v>
      </c>
      <c r="D16" s="26" t="s">
        <v>28</v>
      </c>
      <c r="E16" s="27" t="str">
        <f>E7</f>
        <v>Sr. Health Data Scientist</v>
      </c>
      <c r="F16" s="28" t="str">
        <f>VLOOKUP(D16,'Level of Effort'!$D:$G,3,FALSE)</f>
        <v>Prime</v>
      </c>
      <c r="G16" s="28" t="str">
        <f>VLOOKUP(D16,'Level of Effort'!$D:$G,4,FALSE)</f>
        <v>Vendor</v>
      </c>
      <c r="H16" s="29">
        <f>VLOOKUP(E16,'Vendor GSA MAS 541611 Rates'!$C:$H,5,FALSE)</f>
        <v>22</v>
      </c>
      <c r="I16" s="30">
        <v>0.01</v>
      </c>
      <c r="J16" s="29">
        <f>ROUND(H16-H16*I16,2)</f>
        <v>21.78</v>
      </c>
      <c r="K16" s="31">
        <f>SUMIFS('Level of Effort'!$H:$H,'Level of Effort'!$C:$C,$B16,'Level of Effort'!$D:$D,$D16)</f>
        <v>10</v>
      </c>
      <c r="L16" s="32">
        <f>1880</f>
        <v>1880</v>
      </c>
      <c r="M16" s="33">
        <f>K16/L16</f>
        <v>5.3191489361702126E-3</v>
      </c>
      <c r="N16" s="29">
        <f>J16*K16</f>
        <v>217.8</v>
      </c>
    </row>
    <row r="17" spans="2:14" x14ac:dyDescent="0.25">
      <c r="B17" s="24" t="str">
        <f t="shared" ref="B17:B19" si="6">B16</f>
        <v>0002</v>
      </c>
      <c r="C17" s="25" t="str">
        <f t="shared" si="5"/>
        <v>Task 1 - Program/ Project Management</v>
      </c>
      <c r="D17" s="26" t="s">
        <v>29</v>
      </c>
      <c r="E17" s="27" t="str">
        <f>E8</f>
        <v>Sr. Health Research Analyst</v>
      </c>
      <c r="F17" s="28" t="str">
        <f>VLOOKUP(D17,'Level of Effort'!$D:$G,3,FALSE)</f>
        <v>Prime</v>
      </c>
      <c r="G17" s="28" t="str">
        <f>VLOOKUP(D17,'Level of Effort'!$D:$G,4,FALSE)</f>
        <v>Vendor</v>
      </c>
      <c r="H17" s="29">
        <f>VLOOKUP(E17,'Vendor GSA MAS 541611 Rates'!$C:$H,5,FALSE)</f>
        <v>16</v>
      </c>
      <c r="I17" s="30">
        <v>0.01</v>
      </c>
      <c r="J17" s="29">
        <f t="shared" ref="J17:J19" si="7">ROUND(H17-H17*I17,2)</f>
        <v>15.84</v>
      </c>
      <c r="K17" s="31">
        <f>SUMIFS('Level of Effort'!$H:$H,'Level of Effort'!$C:$C,$B17,'Level of Effort'!$D:$D,$D17)</f>
        <v>10</v>
      </c>
      <c r="L17" s="32">
        <f>1880</f>
        <v>1880</v>
      </c>
      <c r="M17" s="33">
        <f t="shared" ref="M17:M19" si="8">K17/L17</f>
        <v>5.3191489361702126E-3</v>
      </c>
      <c r="N17" s="34">
        <f t="shared" ref="N17:N19" si="9">J17*K17</f>
        <v>158.4</v>
      </c>
    </row>
    <row r="18" spans="2:14" x14ac:dyDescent="0.25">
      <c r="B18" s="24" t="str">
        <f t="shared" si="6"/>
        <v>0002</v>
      </c>
      <c r="C18" s="25" t="str">
        <f t="shared" si="5"/>
        <v>Task 1 - Program/ Project Management</v>
      </c>
      <c r="D18" s="26" t="s">
        <v>30</v>
      </c>
      <c r="E18" s="27" t="str">
        <f>E9</f>
        <v>Sr. Health Informatics Developer</v>
      </c>
      <c r="F18" s="28" t="str">
        <f>VLOOKUP(D18,'Level of Effort'!$D:$G,3,FALSE)</f>
        <v>Subcontractor</v>
      </c>
      <c r="G18" s="28" t="str">
        <f>VLOOKUP(D18,'Level of Effort'!$D:$G,4,FALSE)</f>
        <v>Sub</v>
      </c>
      <c r="H18" s="29">
        <f>VLOOKUP(E18,'Vendor GSA MAS 541611 Rates'!$C:$H,5,FALSE)</f>
        <v>15</v>
      </c>
      <c r="I18" s="30">
        <v>0.01</v>
      </c>
      <c r="J18" s="29">
        <f t="shared" si="7"/>
        <v>14.85</v>
      </c>
      <c r="K18" s="31">
        <f>SUMIFS('Level of Effort'!$H:$H,'Level of Effort'!$C:$C,$B18,'Level of Effort'!$D:$D,$D18)</f>
        <v>10</v>
      </c>
      <c r="L18" s="32">
        <f>1880</f>
        <v>1880</v>
      </c>
      <c r="M18" s="33">
        <f t="shared" si="8"/>
        <v>5.3191489361702126E-3</v>
      </c>
      <c r="N18" s="34">
        <f t="shared" si="9"/>
        <v>148.5</v>
      </c>
    </row>
    <row r="19" spans="2:14" x14ac:dyDescent="0.25">
      <c r="B19" s="24" t="str">
        <f t="shared" si="6"/>
        <v>0002</v>
      </c>
      <c r="C19" s="25" t="str">
        <f t="shared" si="5"/>
        <v>Task 1 - Program/ Project Management</v>
      </c>
      <c r="D19" s="26" t="s">
        <v>31</v>
      </c>
      <c r="E19" s="27" t="str">
        <f>E10</f>
        <v>Subject Matter Expert</v>
      </c>
      <c r="F19" s="28" t="str">
        <f>VLOOKUP(D19,'Level of Effort'!$D:$G,3,FALSE)</f>
        <v>Prime</v>
      </c>
      <c r="G19" s="28" t="str">
        <f>VLOOKUP(D19,'Level of Effort'!$D:$G,4,FALSE)</f>
        <v>Vendor</v>
      </c>
      <c r="H19" s="29">
        <f>VLOOKUP(E19,'Vendor GSA MAS 541611 Rates'!$C:$H,5,FALSE)</f>
        <v>13</v>
      </c>
      <c r="I19" s="30">
        <v>0.01</v>
      </c>
      <c r="J19" s="29">
        <f t="shared" si="7"/>
        <v>12.87</v>
      </c>
      <c r="K19" s="31">
        <f>SUMIFS('Level of Effort'!$H:$H,'Level of Effort'!$C:$C,$B19,'Level of Effort'!$D:$D,$D19)</f>
        <v>10</v>
      </c>
      <c r="L19" s="32">
        <f>1880</f>
        <v>1880</v>
      </c>
      <c r="M19" s="33">
        <f t="shared" si="8"/>
        <v>5.3191489361702126E-3</v>
      </c>
      <c r="N19" s="34">
        <f t="shared" si="9"/>
        <v>128.69999999999999</v>
      </c>
    </row>
    <row r="20" spans="2:14" ht="5.0999999999999996" customHeight="1" x14ac:dyDescent="0.25">
      <c r="B20" s="35"/>
      <c r="C20" s="27"/>
      <c r="D20" s="36"/>
      <c r="E20" s="27"/>
      <c r="F20" s="35"/>
      <c r="G20" s="35"/>
      <c r="H20" s="34"/>
      <c r="I20" s="37"/>
      <c r="J20" s="34"/>
      <c r="K20" s="38"/>
      <c r="L20" s="39"/>
      <c r="M20" s="39"/>
      <c r="N20" s="34"/>
    </row>
    <row r="21" spans="2:14" x14ac:dyDescent="0.25">
      <c r="B21" s="40" t="str">
        <f>"Total "&amp;B16&amp;":"&amp;C16</f>
        <v>Total 0002:Task 1 - Program/ Project Management</v>
      </c>
      <c r="C21" s="41"/>
      <c r="D21" s="42"/>
      <c r="E21" s="41"/>
      <c r="F21" s="40"/>
      <c r="G21" s="40"/>
      <c r="H21" s="43"/>
      <c r="I21" s="44"/>
      <c r="J21" s="43"/>
      <c r="K21" s="45">
        <f>SUM(K16:K20)</f>
        <v>40</v>
      </c>
      <c r="L21" s="46"/>
      <c r="M21" s="46"/>
      <c r="N21" s="43">
        <f>SUM(N16:N20)</f>
        <v>653.40000000000009</v>
      </c>
    </row>
    <row r="23" spans="2:14" s="1" customFormat="1" x14ac:dyDescent="0.25">
      <c r="B23" s="1" t="s">
        <v>8</v>
      </c>
      <c r="D23" s="18"/>
      <c r="E23" s="19"/>
      <c r="K23" s="20"/>
    </row>
    <row r="24" spans="2:14" ht="47.25" x14ac:dyDescent="0.25">
      <c r="B24" s="21" t="s">
        <v>2</v>
      </c>
      <c r="C24" s="21" t="s">
        <v>15</v>
      </c>
      <c r="D24" s="22" t="s">
        <v>16</v>
      </c>
      <c r="E24" s="21" t="s">
        <v>17</v>
      </c>
      <c r="F24" s="21" t="s">
        <v>18</v>
      </c>
      <c r="G24" s="21" t="s">
        <v>19</v>
      </c>
      <c r="H24" s="21" t="s">
        <v>20</v>
      </c>
      <c r="I24" s="21" t="s">
        <v>21</v>
      </c>
      <c r="J24" s="21" t="s">
        <v>22</v>
      </c>
      <c r="K24" s="23" t="s">
        <v>23</v>
      </c>
      <c r="L24" s="21" t="s">
        <v>24</v>
      </c>
      <c r="M24" s="21" t="s">
        <v>25</v>
      </c>
      <c r="N24" s="21" t="s">
        <v>26</v>
      </c>
    </row>
    <row r="25" spans="2:14" x14ac:dyDescent="0.25">
      <c r="B25" s="24" t="s">
        <v>9</v>
      </c>
      <c r="C25" s="25" t="str">
        <f t="shared" ref="C25:C28" si="10">$C$7</f>
        <v>Task 1 - Program/ Project Management</v>
      </c>
      <c r="D25" s="26" t="s">
        <v>28</v>
      </c>
      <c r="E25" s="27" t="str">
        <f>E16</f>
        <v>Sr. Health Data Scientist</v>
      </c>
      <c r="F25" s="28" t="str">
        <f>VLOOKUP(D25,'Level of Effort'!$D:$G,3,FALSE)</f>
        <v>Prime</v>
      </c>
      <c r="G25" s="28" t="str">
        <f>VLOOKUP(D25,'Level of Effort'!$D:$G,4,FALSE)</f>
        <v>Vendor</v>
      </c>
      <c r="H25" s="29">
        <f>VLOOKUP(E25,'Vendor GSA MAS 541611 Rates'!$C:$H,6,FALSE)</f>
        <v>23</v>
      </c>
      <c r="I25" s="30">
        <v>0.01</v>
      </c>
      <c r="J25" s="29">
        <f>ROUND(H25-H25*I25,2)</f>
        <v>22.77</v>
      </c>
      <c r="K25" s="31">
        <f>SUMIFS('Level of Effort'!$H:$H,'Level of Effort'!$C:$C,$B25,'Level of Effort'!$D:$D,$D25)</f>
        <v>10</v>
      </c>
      <c r="L25" s="32">
        <f>1880</f>
        <v>1880</v>
      </c>
      <c r="M25" s="33">
        <f>K25/L25</f>
        <v>5.3191489361702126E-3</v>
      </c>
      <c r="N25" s="29">
        <f>J25*K25</f>
        <v>227.7</v>
      </c>
    </row>
    <row r="26" spans="2:14" x14ac:dyDescent="0.25">
      <c r="B26" s="24" t="str">
        <f t="shared" ref="B26:B28" si="11">B25</f>
        <v>0003</v>
      </c>
      <c r="C26" s="25" t="str">
        <f t="shared" si="10"/>
        <v>Task 1 - Program/ Project Management</v>
      </c>
      <c r="D26" s="26" t="s">
        <v>29</v>
      </c>
      <c r="E26" s="27" t="str">
        <f>E17</f>
        <v>Sr. Health Research Analyst</v>
      </c>
      <c r="F26" s="28" t="str">
        <f>VLOOKUP(D26,'Level of Effort'!$D:$G,3,FALSE)</f>
        <v>Prime</v>
      </c>
      <c r="G26" s="28" t="str">
        <f>VLOOKUP(D26,'Level of Effort'!$D:$G,4,FALSE)</f>
        <v>Vendor</v>
      </c>
      <c r="H26" s="29">
        <f>VLOOKUP(E26,'Vendor GSA MAS 541611 Rates'!$C:$H,6,FALSE)</f>
        <v>17</v>
      </c>
      <c r="I26" s="30">
        <v>0.01</v>
      </c>
      <c r="J26" s="29">
        <f t="shared" ref="J26:J28" si="12">ROUND(H26-H26*I26,2)</f>
        <v>16.829999999999998</v>
      </c>
      <c r="K26" s="31">
        <f>SUMIFS('Level of Effort'!$H:$H,'Level of Effort'!$C:$C,$B26,'Level of Effort'!$D:$D,$D26)</f>
        <v>10</v>
      </c>
      <c r="L26" s="32">
        <f>1880</f>
        <v>1880</v>
      </c>
      <c r="M26" s="33">
        <f t="shared" ref="M26:M28" si="13">K26/L26</f>
        <v>5.3191489361702126E-3</v>
      </c>
      <c r="N26" s="34">
        <f t="shared" ref="N26:N28" si="14">J26*K26</f>
        <v>168.29999999999998</v>
      </c>
    </row>
    <row r="27" spans="2:14" x14ac:dyDescent="0.25">
      <c r="B27" s="24" t="str">
        <f t="shared" si="11"/>
        <v>0003</v>
      </c>
      <c r="C27" s="25" t="str">
        <f t="shared" si="10"/>
        <v>Task 1 - Program/ Project Management</v>
      </c>
      <c r="D27" s="26" t="s">
        <v>30</v>
      </c>
      <c r="E27" s="27" t="str">
        <f>E18</f>
        <v>Sr. Health Informatics Developer</v>
      </c>
      <c r="F27" s="28" t="str">
        <f>VLOOKUP(D27,'Level of Effort'!$D:$G,3,FALSE)</f>
        <v>Subcontractor</v>
      </c>
      <c r="G27" s="28" t="str">
        <f>VLOOKUP(D27,'Level of Effort'!$D:$G,4,FALSE)</f>
        <v>Sub</v>
      </c>
      <c r="H27" s="29">
        <f>VLOOKUP(E27,'Vendor GSA MAS 541611 Rates'!$C:$H,6,FALSE)</f>
        <v>16</v>
      </c>
      <c r="I27" s="30">
        <v>0.01</v>
      </c>
      <c r="J27" s="29">
        <f t="shared" si="12"/>
        <v>15.84</v>
      </c>
      <c r="K27" s="31">
        <f>SUMIFS('Level of Effort'!$H:$H,'Level of Effort'!$C:$C,$B27,'Level of Effort'!$D:$D,$D27)</f>
        <v>10</v>
      </c>
      <c r="L27" s="32">
        <f>1880</f>
        <v>1880</v>
      </c>
      <c r="M27" s="33">
        <f t="shared" si="13"/>
        <v>5.3191489361702126E-3</v>
      </c>
      <c r="N27" s="34">
        <f t="shared" si="14"/>
        <v>158.4</v>
      </c>
    </row>
    <row r="28" spans="2:14" x14ac:dyDescent="0.25">
      <c r="B28" s="24" t="str">
        <f t="shared" si="11"/>
        <v>0003</v>
      </c>
      <c r="C28" s="25" t="str">
        <f t="shared" si="10"/>
        <v>Task 1 - Program/ Project Management</v>
      </c>
      <c r="D28" s="26" t="s">
        <v>31</v>
      </c>
      <c r="E28" s="27" t="str">
        <f>E19</f>
        <v>Subject Matter Expert</v>
      </c>
      <c r="F28" s="28" t="str">
        <f>VLOOKUP(D28,'Level of Effort'!$D:$G,3,FALSE)</f>
        <v>Prime</v>
      </c>
      <c r="G28" s="28" t="str">
        <f>VLOOKUP(D28,'Level of Effort'!$D:$G,4,FALSE)</f>
        <v>Vendor</v>
      </c>
      <c r="H28" s="29">
        <f>VLOOKUP(E28,'Vendor GSA MAS 541611 Rates'!$C:$H,6,FALSE)</f>
        <v>14</v>
      </c>
      <c r="I28" s="30">
        <v>0.01</v>
      </c>
      <c r="J28" s="29">
        <f t="shared" si="12"/>
        <v>13.86</v>
      </c>
      <c r="K28" s="31">
        <f>SUMIFS('Level of Effort'!$H:$H,'Level of Effort'!$C:$C,$B28,'Level of Effort'!$D:$D,$D28)</f>
        <v>10</v>
      </c>
      <c r="L28" s="32">
        <f>1880</f>
        <v>1880</v>
      </c>
      <c r="M28" s="33">
        <f t="shared" si="13"/>
        <v>5.3191489361702126E-3</v>
      </c>
      <c r="N28" s="34">
        <f t="shared" si="14"/>
        <v>138.6</v>
      </c>
    </row>
    <row r="29" spans="2:14" ht="5.0999999999999996" customHeight="1" x14ac:dyDescent="0.25">
      <c r="B29" s="35"/>
      <c r="C29" s="27"/>
      <c r="D29" s="36"/>
      <c r="E29" s="27"/>
      <c r="F29" s="35"/>
      <c r="G29" s="35"/>
      <c r="H29" s="34"/>
      <c r="I29" s="37"/>
      <c r="J29" s="34"/>
      <c r="K29" s="38"/>
      <c r="L29" s="39"/>
      <c r="M29" s="39"/>
      <c r="N29" s="34"/>
    </row>
    <row r="30" spans="2:14" x14ac:dyDescent="0.25">
      <c r="B30" s="40" t="str">
        <f>"Total "&amp;B25&amp;":"&amp;C25</f>
        <v>Total 0003:Task 1 - Program/ Project Management</v>
      </c>
      <c r="C30" s="41"/>
      <c r="D30" s="42"/>
      <c r="E30" s="41"/>
      <c r="F30" s="40"/>
      <c r="G30" s="40"/>
      <c r="H30" s="43"/>
      <c r="I30" s="44"/>
      <c r="J30" s="43"/>
      <c r="K30" s="45">
        <f>SUM(K25:K29)</f>
        <v>40</v>
      </c>
      <c r="L30" s="46"/>
      <c r="M30" s="46"/>
      <c r="N30" s="43">
        <f>SUM(N25:N29)</f>
        <v>693</v>
      </c>
    </row>
    <row r="32" spans="2:14" s="1" customFormat="1" x14ac:dyDescent="0.25">
      <c r="B32" s="1" t="s">
        <v>10</v>
      </c>
      <c r="D32" s="18"/>
      <c r="E32" s="19"/>
      <c r="K32" s="20"/>
    </row>
    <row r="33" spans="2:14" ht="47.25" x14ac:dyDescent="0.25">
      <c r="B33" s="21" t="s">
        <v>2</v>
      </c>
      <c r="C33" s="21" t="s">
        <v>15</v>
      </c>
      <c r="D33" s="22" t="s">
        <v>16</v>
      </c>
      <c r="E33" s="21" t="s">
        <v>17</v>
      </c>
      <c r="F33" s="21" t="s">
        <v>18</v>
      </c>
      <c r="G33" s="21" t="s">
        <v>19</v>
      </c>
      <c r="H33" s="21" t="s">
        <v>20</v>
      </c>
      <c r="I33" s="21" t="s">
        <v>21</v>
      </c>
      <c r="J33" s="21" t="s">
        <v>22</v>
      </c>
      <c r="K33" s="23" t="s">
        <v>23</v>
      </c>
      <c r="L33" s="21" t="s">
        <v>24</v>
      </c>
      <c r="M33" s="21" t="s">
        <v>25</v>
      </c>
      <c r="N33" s="21" t="s">
        <v>26</v>
      </c>
    </row>
    <row r="34" spans="2:14" x14ac:dyDescent="0.25">
      <c r="B34" s="24" t="s">
        <v>11</v>
      </c>
      <c r="C34" s="25" t="str">
        <f t="shared" ref="C34:C37" si="15">$C$7</f>
        <v>Task 1 - Program/ Project Management</v>
      </c>
      <c r="D34" s="26" t="s">
        <v>28</v>
      </c>
      <c r="E34" s="27" t="str">
        <f>E25</f>
        <v>Sr. Health Data Scientist</v>
      </c>
      <c r="F34" s="28" t="str">
        <f>VLOOKUP(D34,'Level of Effort'!$D:$G,3,FALSE)</f>
        <v>Prime</v>
      </c>
      <c r="G34" s="28" t="str">
        <f>VLOOKUP(D34,'Level of Effort'!$D:$G,4,FALSE)</f>
        <v>Vendor</v>
      </c>
      <c r="H34" s="29">
        <f>VLOOKUP(E34,'Vendor GSA MAS 541611 Rates'!$C:$H,6,FALSE)</f>
        <v>23</v>
      </c>
      <c r="I34" s="30">
        <v>0.01</v>
      </c>
      <c r="J34" s="29">
        <f>ROUND(H34-H34*I34,2)</f>
        <v>22.77</v>
      </c>
      <c r="K34" s="31">
        <f>SUMIFS('Level of Effort'!$H:$H,'Level of Effort'!$C:$C,$B34,'Level of Effort'!$D:$D,$D34)</f>
        <v>10</v>
      </c>
      <c r="L34" s="32">
        <f>1880</f>
        <v>1880</v>
      </c>
      <c r="M34" s="33">
        <f>K34/L34</f>
        <v>5.3191489361702126E-3</v>
      </c>
      <c r="N34" s="29">
        <f>J34*K34</f>
        <v>227.7</v>
      </c>
    </row>
    <row r="35" spans="2:14" x14ac:dyDescent="0.25">
      <c r="B35" s="24" t="str">
        <f t="shared" ref="B35:B37" si="16">B34</f>
        <v>0004</v>
      </c>
      <c r="C35" s="25" t="str">
        <f t="shared" si="15"/>
        <v>Task 1 - Program/ Project Management</v>
      </c>
      <c r="D35" s="26" t="s">
        <v>29</v>
      </c>
      <c r="E35" s="27" t="str">
        <f>E26</f>
        <v>Sr. Health Research Analyst</v>
      </c>
      <c r="F35" s="28" t="str">
        <f>VLOOKUP(D35,'Level of Effort'!$D:$G,3,FALSE)</f>
        <v>Prime</v>
      </c>
      <c r="G35" s="28" t="str">
        <f>VLOOKUP(D35,'Level of Effort'!$D:$G,4,FALSE)</f>
        <v>Vendor</v>
      </c>
      <c r="H35" s="29">
        <f>VLOOKUP(E35,'Vendor GSA MAS 541611 Rates'!$C:$H,6,FALSE)</f>
        <v>17</v>
      </c>
      <c r="I35" s="30">
        <v>0.01</v>
      </c>
      <c r="J35" s="29">
        <f t="shared" ref="J35:J37" si="17">ROUND(H35-H35*I35,2)</f>
        <v>16.829999999999998</v>
      </c>
      <c r="K35" s="31">
        <f>SUMIFS('Level of Effort'!$H:$H,'Level of Effort'!$C:$C,$B35,'Level of Effort'!$D:$D,$D35)</f>
        <v>10</v>
      </c>
      <c r="L35" s="32">
        <f>1880</f>
        <v>1880</v>
      </c>
      <c r="M35" s="33">
        <f t="shared" ref="M35:M37" si="18">K35/L35</f>
        <v>5.3191489361702126E-3</v>
      </c>
      <c r="N35" s="34">
        <f t="shared" ref="N35:N37" si="19">J35*K35</f>
        <v>168.29999999999998</v>
      </c>
    </row>
    <row r="36" spans="2:14" x14ac:dyDescent="0.25">
      <c r="B36" s="24" t="str">
        <f t="shared" si="16"/>
        <v>0004</v>
      </c>
      <c r="C36" s="25" t="str">
        <f t="shared" si="15"/>
        <v>Task 1 - Program/ Project Management</v>
      </c>
      <c r="D36" s="26" t="s">
        <v>30</v>
      </c>
      <c r="E36" s="27" t="str">
        <f>E27</f>
        <v>Sr. Health Informatics Developer</v>
      </c>
      <c r="F36" s="28" t="str">
        <f>VLOOKUP(D36,'Level of Effort'!$D:$G,3,FALSE)</f>
        <v>Subcontractor</v>
      </c>
      <c r="G36" s="28" t="str">
        <f>VLOOKUP(D36,'Level of Effort'!$D:$G,4,FALSE)</f>
        <v>Sub</v>
      </c>
      <c r="H36" s="29">
        <f>VLOOKUP(E36,'Vendor GSA MAS 541611 Rates'!$C:$H,6,FALSE)</f>
        <v>16</v>
      </c>
      <c r="I36" s="30">
        <v>0.01</v>
      </c>
      <c r="J36" s="29">
        <f t="shared" si="17"/>
        <v>15.84</v>
      </c>
      <c r="K36" s="31">
        <f>SUMIFS('Level of Effort'!$H:$H,'Level of Effort'!$C:$C,$B36,'Level of Effort'!$D:$D,$D36)</f>
        <v>10</v>
      </c>
      <c r="L36" s="32">
        <f>1880</f>
        <v>1880</v>
      </c>
      <c r="M36" s="33">
        <f t="shared" si="18"/>
        <v>5.3191489361702126E-3</v>
      </c>
      <c r="N36" s="34">
        <f t="shared" si="19"/>
        <v>158.4</v>
      </c>
    </row>
    <row r="37" spans="2:14" x14ac:dyDescent="0.25">
      <c r="B37" s="24" t="str">
        <f t="shared" si="16"/>
        <v>0004</v>
      </c>
      <c r="C37" s="25" t="str">
        <f t="shared" si="15"/>
        <v>Task 1 - Program/ Project Management</v>
      </c>
      <c r="D37" s="26" t="s">
        <v>31</v>
      </c>
      <c r="E37" s="27" t="str">
        <f>E28</f>
        <v>Subject Matter Expert</v>
      </c>
      <c r="F37" s="28" t="str">
        <f>VLOOKUP(D37,'Level of Effort'!$D:$G,3,FALSE)</f>
        <v>Prime</v>
      </c>
      <c r="G37" s="28" t="str">
        <f>VLOOKUP(D37,'Level of Effort'!$D:$G,4,FALSE)</f>
        <v>Vendor</v>
      </c>
      <c r="H37" s="29">
        <f>VLOOKUP(E37,'Vendor GSA MAS 541611 Rates'!$C:$H,6,FALSE)</f>
        <v>14</v>
      </c>
      <c r="I37" s="30">
        <v>0.01</v>
      </c>
      <c r="J37" s="29">
        <f t="shared" si="17"/>
        <v>13.86</v>
      </c>
      <c r="K37" s="31">
        <f>SUMIFS('Level of Effort'!$H:$H,'Level of Effort'!$C:$C,$B37,'Level of Effort'!$D:$D,$D37)</f>
        <v>10</v>
      </c>
      <c r="L37" s="32">
        <f>1880</f>
        <v>1880</v>
      </c>
      <c r="M37" s="33">
        <f t="shared" si="18"/>
        <v>5.3191489361702126E-3</v>
      </c>
      <c r="N37" s="34">
        <f t="shared" si="19"/>
        <v>138.6</v>
      </c>
    </row>
    <row r="38" spans="2:14" ht="5.0999999999999996" customHeight="1" x14ac:dyDescent="0.25">
      <c r="B38" s="35"/>
      <c r="C38" s="27"/>
      <c r="D38" s="36"/>
      <c r="E38" s="27"/>
      <c r="F38" s="35"/>
      <c r="G38" s="35"/>
      <c r="H38" s="34"/>
      <c r="I38" s="37"/>
      <c r="J38" s="34"/>
      <c r="K38" s="38"/>
      <c r="L38" s="39"/>
      <c r="M38" s="39"/>
      <c r="N38" s="34"/>
    </row>
    <row r="39" spans="2:14" x14ac:dyDescent="0.25">
      <c r="B39" s="40" t="str">
        <f>"Total "&amp;B34&amp;":"&amp;C34</f>
        <v>Total 0004:Task 1 - Program/ Project Management</v>
      </c>
      <c r="C39" s="41"/>
      <c r="D39" s="42"/>
      <c r="E39" s="41"/>
      <c r="F39" s="40"/>
      <c r="G39" s="40"/>
      <c r="H39" s="43"/>
      <c r="I39" s="44"/>
      <c r="J39" s="43"/>
      <c r="K39" s="45">
        <f>SUM(K34:K38)</f>
        <v>40</v>
      </c>
      <c r="L39" s="46"/>
      <c r="M39" s="46"/>
      <c r="N39" s="43">
        <f>SUM(N34:N38)</f>
        <v>693</v>
      </c>
    </row>
    <row r="41" spans="2:14" s="1" customFormat="1" x14ac:dyDescent="0.25">
      <c r="B41" s="1" t="s">
        <v>12</v>
      </c>
      <c r="D41" s="18"/>
      <c r="E41" s="19"/>
      <c r="K41" s="20"/>
    </row>
    <row r="42" spans="2:14" ht="47.25" x14ac:dyDescent="0.25">
      <c r="B42" s="21" t="s">
        <v>2</v>
      </c>
      <c r="C42" s="21" t="s">
        <v>15</v>
      </c>
      <c r="D42" s="22" t="s">
        <v>16</v>
      </c>
      <c r="E42" s="21" t="s">
        <v>17</v>
      </c>
      <c r="F42" s="21" t="s">
        <v>18</v>
      </c>
      <c r="G42" s="21" t="s">
        <v>19</v>
      </c>
      <c r="H42" s="21" t="s">
        <v>20</v>
      </c>
      <c r="I42" s="21" t="s">
        <v>21</v>
      </c>
      <c r="J42" s="21" t="s">
        <v>22</v>
      </c>
      <c r="K42" s="23" t="s">
        <v>23</v>
      </c>
      <c r="L42" s="21" t="s">
        <v>24</v>
      </c>
      <c r="M42" s="21" t="s">
        <v>25</v>
      </c>
      <c r="N42" s="21" t="s">
        <v>26</v>
      </c>
    </row>
    <row r="43" spans="2:14" x14ac:dyDescent="0.25">
      <c r="B43" s="24" t="s">
        <v>13</v>
      </c>
      <c r="C43" s="25" t="str">
        <f t="shared" ref="C43:C46" si="20">$C$7</f>
        <v>Task 1 - Program/ Project Management</v>
      </c>
      <c r="D43" s="26" t="s">
        <v>28</v>
      </c>
      <c r="E43" s="27" t="str">
        <f>E34</f>
        <v>Sr. Health Data Scientist</v>
      </c>
      <c r="F43" s="28" t="str">
        <f>VLOOKUP(D43,'Level of Effort'!$D:$G,3,FALSE)</f>
        <v>Prime</v>
      </c>
      <c r="G43" s="28" t="str">
        <f>VLOOKUP(D43,'Level of Effort'!$D:$G,4,FALSE)</f>
        <v>Vendor</v>
      </c>
      <c r="H43" s="29">
        <f>VLOOKUP(E43,'Vendor GSA MAS 541611 Rates'!$C:$H,6,FALSE)</f>
        <v>23</v>
      </c>
      <c r="I43" s="30">
        <v>0.01</v>
      </c>
      <c r="J43" s="29">
        <f>ROUND(H43-H43*I43,2)</f>
        <v>22.77</v>
      </c>
      <c r="K43" s="31">
        <f>SUMIFS('Level of Effort'!$H:$H,'Level of Effort'!$C:$C,$B43,'Level of Effort'!$D:$D,$D43)</f>
        <v>10</v>
      </c>
      <c r="L43" s="32">
        <f>1880</f>
        <v>1880</v>
      </c>
      <c r="M43" s="33">
        <f>K43/L43</f>
        <v>5.3191489361702126E-3</v>
      </c>
      <c r="N43" s="29">
        <f>J43*K43</f>
        <v>227.7</v>
      </c>
    </row>
    <row r="44" spans="2:14" x14ac:dyDescent="0.25">
      <c r="B44" s="24" t="str">
        <f t="shared" ref="B44:B46" si="21">B43</f>
        <v>0005</v>
      </c>
      <c r="C44" s="25" t="str">
        <f t="shared" si="20"/>
        <v>Task 1 - Program/ Project Management</v>
      </c>
      <c r="D44" s="26" t="s">
        <v>29</v>
      </c>
      <c r="E44" s="27" t="str">
        <f>E35</f>
        <v>Sr. Health Research Analyst</v>
      </c>
      <c r="F44" s="28" t="str">
        <f>VLOOKUP(D44,'Level of Effort'!$D:$G,3,FALSE)</f>
        <v>Prime</v>
      </c>
      <c r="G44" s="28" t="str">
        <f>VLOOKUP(D44,'Level of Effort'!$D:$G,4,FALSE)</f>
        <v>Vendor</v>
      </c>
      <c r="H44" s="29">
        <f>VLOOKUP(E44,'Vendor GSA MAS 541611 Rates'!$C:$H,6,FALSE)</f>
        <v>17</v>
      </c>
      <c r="I44" s="30">
        <v>0.01</v>
      </c>
      <c r="J44" s="29">
        <f t="shared" ref="J44:J46" si="22">ROUND(H44-H44*I44,2)</f>
        <v>16.829999999999998</v>
      </c>
      <c r="K44" s="31">
        <f>SUMIFS('Level of Effort'!$H:$H,'Level of Effort'!$C:$C,$B44,'Level of Effort'!$D:$D,$D44)</f>
        <v>10</v>
      </c>
      <c r="L44" s="32">
        <f>1880</f>
        <v>1880</v>
      </c>
      <c r="M44" s="33">
        <f t="shared" ref="M44:M46" si="23">K44/L44</f>
        <v>5.3191489361702126E-3</v>
      </c>
      <c r="N44" s="34">
        <f t="shared" ref="N44:N46" si="24">J44*K44</f>
        <v>168.29999999999998</v>
      </c>
    </row>
    <row r="45" spans="2:14" x14ac:dyDescent="0.25">
      <c r="B45" s="24" t="str">
        <f t="shared" si="21"/>
        <v>0005</v>
      </c>
      <c r="C45" s="25" t="str">
        <f t="shared" si="20"/>
        <v>Task 1 - Program/ Project Management</v>
      </c>
      <c r="D45" s="26" t="s">
        <v>30</v>
      </c>
      <c r="E45" s="27" t="str">
        <f>E36</f>
        <v>Sr. Health Informatics Developer</v>
      </c>
      <c r="F45" s="28" t="str">
        <f>VLOOKUP(D45,'Level of Effort'!$D:$G,3,FALSE)</f>
        <v>Subcontractor</v>
      </c>
      <c r="G45" s="28" t="str">
        <f>VLOOKUP(D45,'Level of Effort'!$D:$G,4,FALSE)</f>
        <v>Sub</v>
      </c>
      <c r="H45" s="29">
        <f>VLOOKUP(E45,'Vendor GSA MAS 541611 Rates'!$C:$H,6,FALSE)</f>
        <v>16</v>
      </c>
      <c r="I45" s="30">
        <v>0.01</v>
      </c>
      <c r="J45" s="29">
        <f t="shared" si="22"/>
        <v>15.84</v>
      </c>
      <c r="K45" s="31">
        <f>SUMIFS('Level of Effort'!$H:$H,'Level of Effort'!$C:$C,$B45,'Level of Effort'!$D:$D,$D45)</f>
        <v>10</v>
      </c>
      <c r="L45" s="32">
        <f>1880</f>
        <v>1880</v>
      </c>
      <c r="M45" s="33">
        <f t="shared" si="23"/>
        <v>5.3191489361702126E-3</v>
      </c>
      <c r="N45" s="34">
        <f t="shared" si="24"/>
        <v>158.4</v>
      </c>
    </row>
    <row r="46" spans="2:14" x14ac:dyDescent="0.25">
      <c r="B46" s="24" t="str">
        <f t="shared" si="21"/>
        <v>0005</v>
      </c>
      <c r="C46" s="25" t="str">
        <f t="shared" si="20"/>
        <v>Task 1 - Program/ Project Management</v>
      </c>
      <c r="D46" s="26" t="s">
        <v>31</v>
      </c>
      <c r="E46" s="27" t="str">
        <f>E37</f>
        <v>Subject Matter Expert</v>
      </c>
      <c r="F46" s="28" t="str">
        <f>VLOOKUP(D46,'Level of Effort'!$D:$G,3,FALSE)</f>
        <v>Prime</v>
      </c>
      <c r="G46" s="28" t="str">
        <f>VLOOKUP(D46,'Level of Effort'!$D:$G,4,FALSE)</f>
        <v>Vendor</v>
      </c>
      <c r="H46" s="29">
        <f>VLOOKUP(E46,'Vendor GSA MAS 541611 Rates'!$C:$H,6,FALSE)</f>
        <v>14</v>
      </c>
      <c r="I46" s="30">
        <v>0.01</v>
      </c>
      <c r="J46" s="29">
        <f t="shared" si="22"/>
        <v>13.86</v>
      </c>
      <c r="K46" s="31">
        <f>SUMIFS('Level of Effort'!$H:$H,'Level of Effort'!$C:$C,$B46,'Level of Effort'!$D:$D,$D46)</f>
        <v>10</v>
      </c>
      <c r="L46" s="32">
        <f>1880</f>
        <v>1880</v>
      </c>
      <c r="M46" s="33">
        <f t="shared" si="23"/>
        <v>5.3191489361702126E-3</v>
      </c>
      <c r="N46" s="34">
        <f t="shared" si="24"/>
        <v>138.6</v>
      </c>
    </row>
    <row r="47" spans="2:14" ht="5.0999999999999996" customHeight="1" x14ac:dyDescent="0.25">
      <c r="B47" s="35"/>
      <c r="C47" s="27"/>
      <c r="D47" s="36"/>
      <c r="E47" s="27"/>
      <c r="F47" s="35"/>
      <c r="G47" s="35"/>
      <c r="H47" s="34"/>
      <c r="I47" s="37"/>
      <c r="J47" s="34"/>
      <c r="K47" s="38"/>
      <c r="L47" s="39"/>
      <c r="M47" s="39"/>
      <c r="N47" s="34"/>
    </row>
    <row r="48" spans="2:14" x14ac:dyDescent="0.25">
      <c r="B48" s="40" t="str">
        <f>"Total "&amp;B43&amp;":"&amp;C43</f>
        <v>Total 0005:Task 1 - Program/ Project Management</v>
      </c>
      <c r="C48" s="41"/>
      <c r="D48" s="42"/>
      <c r="E48" s="41"/>
      <c r="F48" s="40"/>
      <c r="G48" s="40"/>
      <c r="H48" s="43"/>
      <c r="I48" s="44"/>
      <c r="J48" s="43"/>
      <c r="K48" s="45">
        <f>SUM(K43:K47)</f>
        <v>40</v>
      </c>
      <c r="L48" s="46"/>
      <c r="M48" s="46"/>
      <c r="N48" s="43">
        <f>SUM(N43:N47)</f>
        <v>693</v>
      </c>
    </row>
  </sheetData>
  <pageMargins left="1" right="1" top="1" bottom="1" header="0.5" footer="0.5"/>
  <pageSetup orientation="landscape" r:id="rId1"/>
  <headerFooter>
    <oddFooter>&amp;L&amp;"Arial Narrow,Italic"&amp;10Use or disclosure of data contained on this page is subject to the restriction on the cover sheet of this proposal or quotation.&amp;R
&amp;P of &amp;N</oddFooter>
  </headerFooter>
  <rowBreaks count="2" manualBreakCount="2">
    <brk id="22" min="1" max="13" man="1"/>
    <brk id="40" min="1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CC3F-6E56-47D3-985A-410ED3B155D5}">
  <sheetPr>
    <tabColor theme="4" tint="0.59999389629810485"/>
  </sheetPr>
  <dimension ref="B1:N48"/>
  <sheetViews>
    <sheetView topLeftCell="A42" zoomScaleNormal="100" zoomScaleSheetLayoutView="100" workbookViewId="0">
      <selection activeCell="D24" sqref="D24"/>
    </sheetView>
  </sheetViews>
  <sheetFormatPr defaultColWidth="9" defaultRowHeight="15.75" x14ac:dyDescent="0.25"/>
  <cols>
    <col min="1" max="1" width="4.625" style="3" customWidth="1"/>
    <col min="2" max="2" width="7.625" style="3" customWidth="1"/>
    <col min="3" max="3" width="35.625" style="3" customWidth="1"/>
    <col min="4" max="4" width="15.625" style="47" customWidth="1"/>
    <col min="5" max="5" width="26.625" style="48" customWidth="1"/>
    <col min="6" max="6" width="13.625" style="3" customWidth="1"/>
    <col min="7" max="7" width="12.625" style="3" customWidth="1"/>
    <col min="8" max="8" width="9.625" style="3" customWidth="1"/>
    <col min="9" max="9" width="11.625" style="3" customWidth="1"/>
    <col min="10" max="10" width="10.625" style="3" customWidth="1"/>
    <col min="11" max="11" width="9.625" style="49" customWidth="1"/>
    <col min="12" max="12" width="9.625" style="3" customWidth="1"/>
    <col min="13" max="13" width="7.625" style="3" customWidth="1"/>
    <col min="14" max="14" width="12.625" style="3" customWidth="1"/>
    <col min="15" max="16384" width="9" style="3"/>
  </cols>
  <sheetData>
    <row r="1" spans="2:14" s="14" customFormat="1" x14ac:dyDescent="0.25">
      <c r="B1" s="14" t="s">
        <v>57</v>
      </c>
      <c r="D1" s="15"/>
      <c r="E1" s="16"/>
      <c r="K1" s="17"/>
    </row>
    <row r="2" spans="2:14" s="14" customFormat="1" x14ac:dyDescent="0.25">
      <c r="B2" s="14" t="s">
        <v>0</v>
      </c>
      <c r="D2" s="15"/>
      <c r="E2" s="16"/>
      <c r="K2" s="17"/>
    </row>
    <row r="3" spans="2:14" s="14" customFormat="1" x14ac:dyDescent="0.25">
      <c r="B3" s="1" t="str">
        <f>C7</f>
        <v>Task 2 - Data Analytics/ Modeling</v>
      </c>
      <c r="D3" s="15"/>
      <c r="E3" s="16"/>
      <c r="K3" s="17"/>
    </row>
    <row r="5" spans="2:14" s="14" customFormat="1" x14ac:dyDescent="0.25">
      <c r="B5" s="14" t="s">
        <v>4</v>
      </c>
      <c r="D5" s="15"/>
      <c r="E5" s="16"/>
      <c r="K5" s="17"/>
    </row>
    <row r="6" spans="2:14" ht="47.25" x14ac:dyDescent="0.25">
      <c r="B6" s="21" t="s">
        <v>2</v>
      </c>
      <c r="C6" s="21" t="s">
        <v>15</v>
      </c>
      <c r="D6" s="22" t="s">
        <v>16</v>
      </c>
      <c r="E6" s="21" t="s">
        <v>17</v>
      </c>
      <c r="F6" s="21" t="s">
        <v>18</v>
      </c>
      <c r="G6" s="21" t="s">
        <v>19</v>
      </c>
      <c r="H6" s="21" t="s">
        <v>20</v>
      </c>
      <c r="I6" s="21" t="s">
        <v>21</v>
      </c>
      <c r="J6" s="21" t="s">
        <v>22</v>
      </c>
      <c r="K6" s="23" t="s">
        <v>23</v>
      </c>
      <c r="L6" s="21" t="s">
        <v>24</v>
      </c>
      <c r="M6" s="21" t="s">
        <v>25</v>
      </c>
      <c r="N6" s="21" t="s">
        <v>26</v>
      </c>
    </row>
    <row r="7" spans="2:14" x14ac:dyDescent="0.25">
      <c r="B7" s="24" t="s">
        <v>5</v>
      </c>
      <c r="C7" s="25" t="s">
        <v>32</v>
      </c>
      <c r="D7" s="26" t="s">
        <v>28</v>
      </c>
      <c r="E7" s="27" t="str">
        <f>'Level of Effort'!E13</f>
        <v>Sr. Health Data Scientist</v>
      </c>
      <c r="F7" s="28" t="str">
        <f>VLOOKUP(D7,'Level of Effort'!$D:$G,3,FALSE)</f>
        <v>Prime</v>
      </c>
      <c r="G7" s="28" t="str">
        <f>VLOOKUP(D7,'Level of Effort'!$D:$G,4,FALSE)</f>
        <v>Vendor</v>
      </c>
      <c r="H7" s="29">
        <f>VLOOKUP(E7,'Vendor GSA MAS 541611 Rates'!$C:$H,4,FALSE)</f>
        <v>21</v>
      </c>
      <c r="I7" s="30">
        <v>0.01</v>
      </c>
      <c r="J7" s="29">
        <f>ROUND(H7-H7*I7,2)</f>
        <v>20.79</v>
      </c>
      <c r="K7" s="31">
        <f>SUMIFS('Level of Effort'!$I:$I,'Level of Effort'!$C:$C,$B7,'Level of Effort'!$D:$D,$D7)</f>
        <v>10</v>
      </c>
      <c r="L7" s="32">
        <f>1880</f>
        <v>1880</v>
      </c>
      <c r="M7" s="33">
        <f>K7/L7</f>
        <v>5.3191489361702126E-3</v>
      </c>
      <c r="N7" s="29">
        <f>J7*K7</f>
        <v>207.89999999999998</v>
      </c>
    </row>
    <row r="8" spans="2:14" x14ac:dyDescent="0.25">
      <c r="B8" s="24" t="str">
        <f t="shared" ref="B8:B10" si="0">B7</f>
        <v>0001</v>
      </c>
      <c r="C8" s="25" t="str">
        <f>$C$7</f>
        <v>Task 2 - Data Analytics/ Modeling</v>
      </c>
      <c r="D8" s="26" t="s">
        <v>29</v>
      </c>
      <c r="E8" s="27" t="str">
        <f>'Level of Effort'!E14</f>
        <v>Sr. Health Research Analyst</v>
      </c>
      <c r="F8" s="28" t="str">
        <f>VLOOKUP(D8,'Level of Effort'!$D:$G,3,FALSE)</f>
        <v>Prime</v>
      </c>
      <c r="G8" s="28" t="str">
        <f>VLOOKUP(D8,'Level of Effort'!$D:$G,4,FALSE)</f>
        <v>Vendor</v>
      </c>
      <c r="H8" s="29">
        <f>VLOOKUP(E8,'Vendor GSA MAS 541611 Rates'!$C:$H,4,FALSE)</f>
        <v>15</v>
      </c>
      <c r="I8" s="30">
        <v>0.01</v>
      </c>
      <c r="J8" s="29">
        <f t="shared" ref="J8:J10" si="1">ROUND(H8-H8*I8,2)</f>
        <v>14.85</v>
      </c>
      <c r="K8" s="31">
        <f>SUMIFS('Level of Effort'!$I:$I,'Level of Effort'!$C:$C,$B8,'Level of Effort'!$D:$D,$D8)</f>
        <v>10</v>
      </c>
      <c r="L8" s="32">
        <f>1880</f>
        <v>1880</v>
      </c>
      <c r="M8" s="33">
        <f t="shared" ref="M8:M10" si="2">K8/L8</f>
        <v>5.3191489361702126E-3</v>
      </c>
      <c r="N8" s="34">
        <f t="shared" ref="N8:N10" si="3">J8*K8</f>
        <v>148.5</v>
      </c>
    </row>
    <row r="9" spans="2:14" x14ac:dyDescent="0.25">
      <c r="B9" s="24" t="str">
        <f t="shared" si="0"/>
        <v>0001</v>
      </c>
      <c r="C9" s="25" t="str">
        <f t="shared" ref="C9:C10" si="4">$C$7</f>
        <v>Task 2 - Data Analytics/ Modeling</v>
      </c>
      <c r="D9" s="26" t="s">
        <v>30</v>
      </c>
      <c r="E9" s="27" t="str">
        <f>'Level of Effort'!E15</f>
        <v>Sr. Health Informatics Developer</v>
      </c>
      <c r="F9" s="28" t="str">
        <f>VLOOKUP(D9,'Level of Effort'!$D:$G,3,FALSE)</f>
        <v>Subcontractor</v>
      </c>
      <c r="G9" s="28" t="str">
        <f>VLOOKUP(D9,'Level of Effort'!$D:$G,4,FALSE)</f>
        <v>Sub</v>
      </c>
      <c r="H9" s="29">
        <f>VLOOKUP(E9,'Vendor GSA MAS 541611 Rates'!$C:$H,4,FALSE)</f>
        <v>14</v>
      </c>
      <c r="I9" s="30">
        <v>0.01</v>
      </c>
      <c r="J9" s="29">
        <f t="shared" si="1"/>
        <v>13.86</v>
      </c>
      <c r="K9" s="31">
        <f>SUMIFS('Level of Effort'!$I:$I,'Level of Effort'!$C:$C,$B9,'Level of Effort'!$D:$D,$D9)</f>
        <v>10</v>
      </c>
      <c r="L9" s="32">
        <f>1880</f>
        <v>1880</v>
      </c>
      <c r="M9" s="33">
        <f t="shared" si="2"/>
        <v>5.3191489361702126E-3</v>
      </c>
      <c r="N9" s="34">
        <f t="shared" si="3"/>
        <v>138.6</v>
      </c>
    </row>
    <row r="10" spans="2:14" x14ac:dyDescent="0.25">
      <c r="B10" s="24" t="str">
        <f t="shared" si="0"/>
        <v>0001</v>
      </c>
      <c r="C10" s="25" t="str">
        <f t="shared" si="4"/>
        <v>Task 2 - Data Analytics/ Modeling</v>
      </c>
      <c r="D10" s="26" t="s">
        <v>31</v>
      </c>
      <c r="E10" s="27" t="str">
        <f>'Level of Effort'!E16</f>
        <v>Subject Matter Expert</v>
      </c>
      <c r="F10" s="28" t="str">
        <f>VLOOKUP(D10,'Level of Effort'!$D:$G,3,FALSE)</f>
        <v>Prime</v>
      </c>
      <c r="G10" s="28" t="str">
        <f>VLOOKUP(D10,'Level of Effort'!$D:$G,4,FALSE)</f>
        <v>Vendor</v>
      </c>
      <c r="H10" s="29">
        <f>VLOOKUP(E10,'Vendor GSA MAS 541611 Rates'!$C:$H,4,FALSE)</f>
        <v>12</v>
      </c>
      <c r="I10" s="30">
        <v>0.01</v>
      </c>
      <c r="J10" s="29">
        <f t="shared" si="1"/>
        <v>11.88</v>
      </c>
      <c r="K10" s="31">
        <f>SUMIFS('Level of Effort'!$I:$I,'Level of Effort'!$C:$C,$B10,'Level of Effort'!$D:$D,$D10)</f>
        <v>10</v>
      </c>
      <c r="L10" s="32">
        <f>1880</f>
        <v>1880</v>
      </c>
      <c r="M10" s="33">
        <f t="shared" si="2"/>
        <v>5.3191489361702126E-3</v>
      </c>
      <c r="N10" s="34">
        <f t="shared" si="3"/>
        <v>118.80000000000001</v>
      </c>
    </row>
    <row r="11" spans="2:14" ht="5.0999999999999996" customHeight="1" x14ac:dyDescent="0.25">
      <c r="B11" s="35"/>
      <c r="C11" s="27"/>
      <c r="D11" s="36"/>
      <c r="E11" s="27"/>
      <c r="F11" s="35"/>
      <c r="G11" s="35"/>
      <c r="H11" s="34"/>
      <c r="I11" s="37"/>
      <c r="J11" s="34"/>
      <c r="K11" s="38"/>
      <c r="L11" s="39"/>
      <c r="M11" s="39"/>
      <c r="N11" s="34"/>
    </row>
    <row r="12" spans="2:14" x14ac:dyDescent="0.25">
      <c r="B12" s="40" t="str">
        <f>"Total "&amp;B7&amp;":"&amp;C7</f>
        <v>Total 0001:Task 2 - Data Analytics/ Modeling</v>
      </c>
      <c r="C12" s="41"/>
      <c r="D12" s="42"/>
      <c r="E12" s="41"/>
      <c r="F12" s="40"/>
      <c r="G12" s="40"/>
      <c r="H12" s="43"/>
      <c r="I12" s="44"/>
      <c r="J12" s="43"/>
      <c r="K12" s="45">
        <f>SUM(K7:K11)</f>
        <v>40</v>
      </c>
      <c r="L12" s="46"/>
      <c r="M12" s="46"/>
      <c r="N12" s="43">
        <f>SUM(N7:N11)</f>
        <v>613.79999999999995</v>
      </c>
    </row>
    <row r="14" spans="2:14" s="1" customFormat="1" x14ac:dyDescent="0.25">
      <c r="B14" s="14" t="s">
        <v>6</v>
      </c>
      <c r="D14" s="18"/>
      <c r="E14" s="19"/>
      <c r="K14" s="20"/>
    </row>
    <row r="15" spans="2:14" ht="47.25" x14ac:dyDescent="0.25">
      <c r="B15" s="21" t="s">
        <v>2</v>
      </c>
      <c r="C15" s="21" t="s">
        <v>15</v>
      </c>
      <c r="D15" s="22" t="s">
        <v>16</v>
      </c>
      <c r="E15" s="21" t="s">
        <v>17</v>
      </c>
      <c r="F15" s="21" t="s">
        <v>18</v>
      </c>
      <c r="G15" s="21" t="s">
        <v>19</v>
      </c>
      <c r="H15" s="21" t="s">
        <v>20</v>
      </c>
      <c r="I15" s="21" t="s">
        <v>21</v>
      </c>
      <c r="J15" s="21" t="s">
        <v>22</v>
      </c>
      <c r="K15" s="23" t="s">
        <v>23</v>
      </c>
      <c r="L15" s="21" t="s">
        <v>24</v>
      </c>
      <c r="M15" s="21" t="s">
        <v>25</v>
      </c>
      <c r="N15" s="21" t="s">
        <v>26</v>
      </c>
    </row>
    <row r="16" spans="2:14" x14ac:dyDescent="0.25">
      <c r="B16" s="24" t="s">
        <v>7</v>
      </c>
      <c r="C16" s="25" t="str">
        <f t="shared" ref="C16:C19" si="5">$C$7</f>
        <v>Task 2 - Data Analytics/ Modeling</v>
      </c>
      <c r="D16" s="26" t="s">
        <v>28</v>
      </c>
      <c r="E16" s="27" t="str">
        <f>E7</f>
        <v>Sr. Health Data Scientist</v>
      </c>
      <c r="F16" s="28" t="str">
        <f>VLOOKUP(D16,'Level of Effort'!$D:$G,3,FALSE)</f>
        <v>Prime</v>
      </c>
      <c r="G16" s="28" t="str">
        <f>VLOOKUP(D16,'Level of Effort'!$D:$G,4,FALSE)</f>
        <v>Vendor</v>
      </c>
      <c r="H16" s="29">
        <f>VLOOKUP(E16,'Vendor GSA MAS 541611 Rates'!$C:$H,5,FALSE)</f>
        <v>22</v>
      </c>
      <c r="I16" s="30">
        <v>0.01</v>
      </c>
      <c r="J16" s="29">
        <f>ROUND(H16-H16*I16,2)</f>
        <v>21.78</v>
      </c>
      <c r="K16" s="31">
        <f>SUMIFS('Level of Effort'!$I:$I,'Level of Effort'!$C:$C,$B16,'Level of Effort'!$D:$D,$D16)</f>
        <v>10</v>
      </c>
      <c r="L16" s="32">
        <f>1880</f>
        <v>1880</v>
      </c>
      <c r="M16" s="33">
        <f>K16/L16</f>
        <v>5.3191489361702126E-3</v>
      </c>
      <c r="N16" s="29">
        <f>J16*K16</f>
        <v>217.8</v>
      </c>
    </row>
    <row r="17" spans="2:14" x14ac:dyDescent="0.25">
      <c r="B17" s="24" t="str">
        <f t="shared" ref="B17:B19" si="6">B16</f>
        <v>0002</v>
      </c>
      <c r="C17" s="25" t="str">
        <f t="shared" si="5"/>
        <v>Task 2 - Data Analytics/ Modeling</v>
      </c>
      <c r="D17" s="26" t="s">
        <v>29</v>
      </c>
      <c r="E17" s="27" t="str">
        <f>E8</f>
        <v>Sr. Health Research Analyst</v>
      </c>
      <c r="F17" s="28" t="str">
        <f>VLOOKUP(D17,'Level of Effort'!$D:$G,3,FALSE)</f>
        <v>Prime</v>
      </c>
      <c r="G17" s="28" t="str">
        <f>VLOOKUP(D17,'Level of Effort'!$D:$G,4,FALSE)</f>
        <v>Vendor</v>
      </c>
      <c r="H17" s="29">
        <f>VLOOKUP(E17,'Vendor GSA MAS 541611 Rates'!$C:$H,5,FALSE)</f>
        <v>16</v>
      </c>
      <c r="I17" s="30">
        <v>0.01</v>
      </c>
      <c r="J17" s="29">
        <f t="shared" ref="J17:J19" si="7">ROUND(H17-H17*I17,2)</f>
        <v>15.84</v>
      </c>
      <c r="K17" s="31">
        <f>SUMIFS('Level of Effort'!$I:$I,'Level of Effort'!$C:$C,$B17,'Level of Effort'!$D:$D,$D17)</f>
        <v>10</v>
      </c>
      <c r="L17" s="32">
        <f>1880</f>
        <v>1880</v>
      </c>
      <c r="M17" s="33">
        <f t="shared" ref="M17:M19" si="8">K17/L17</f>
        <v>5.3191489361702126E-3</v>
      </c>
      <c r="N17" s="34">
        <f t="shared" ref="N17:N19" si="9">J17*K17</f>
        <v>158.4</v>
      </c>
    </row>
    <row r="18" spans="2:14" x14ac:dyDescent="0.25">
      <c r="B18" s="24" t="str">
        <f t="shared" si="6"/>
        <v>0002</v>
      </c>
      <c r="C18" s="25" t="str">
        <f t="shared" si="5"/>
        <v>Task 2 - Data Analytics/ Modeling</v>
      </c>
      <c r="D18" s="26" t="s">
        <v>30</v>
      </c>
      <c r="E18" s="27" t="str">
        <f>E9</f>
        <v>Sr. Health Informatics Developer</v>
      </c>
      <c r="F18" s="28" t="str">
        <f>VLOOKUP(D18,'Level of Effort'!$D:$G,3,FALSE)</f>
        <v>Subcontractor</v>
      </c>
      <c r="G18" s="28" t="str">
        <f>VLOOKUP(D18,'Level of Effort'!$D:$G,4,FALSE)</f>
        <v>Sub</v>
      </c>
      <c r="H18" s="29">
        <f>VLOOKUP(E18,'Vendor GSA MAS 541611 Rates'!$C:$H,5,FALSE)</f>
        <v>15</v>
      </c>
      <c r="I18" s="30">
        <v>0.01</v>
      </c>
      <c r="J18" s="29">
        <f t="shared" si="7"/>
        <v>14.85</v>
      </c>
      <c r="K18" s="31">
        <f>SUMIFS('Level of Effort'!$I:$I,'Level of Effort'!$C:$C,$B18,'Level of Effort'!$D:$D,$D18)</f>
        <v>10</v>
      </c>
      <c r="L18" s="32">
        <f>1880</f>
        <v>1880</v>
      </c>
      <c r="M18" s="33">
        <f t="shared" si="8"/>
        <v>5.3191489361702126E-3</v>
      </c>
      <c r="N18" s="34">
        <f t="shared" si="9"/>
        <v>148.5</v>
      </c>
    </row>
    <row r="19" spans="2:14" x14ac:dyDescent="0.25">
      <c r="B19" s="24" t="str">
        <f t="shared" si="6"/>
        <v>0002</v>
      </c>
      <c r="C19" s="25" t="str">
        <f t="shared" si="5"/>
        <v>Task 2 - Data Analytics/ Modeling</v>
      </c>
      <c r="D19" s="26" t="s">
        <v>31</v>
      </c>
      <c r="E19" s="27" t="str">
        <f>E10</f>
        <v>Subject Matter Expert</v>
      </c>
      <c r="F19" s="28" t="str">
        <f>VLOOKUP(D19,'Level of Effort'!$D:$G,3,FALSE)</f>
        <v>Prime</v>
      </c>
      <c r="G19" s="28" t="str">
        <f>VLOOKUP(D19,'Level of Effort'!$D:$G,4,FALSE)</f>
        <v>Vendor</v>
      </c>
      <c r="H19" s="29">
        <f>VLOOKUP(E19,'Vendor GSA MAS 541611 Rates'!$C:$H,5,FALSE)</f>
        <v>13</v>
      </c>
      <c r="I19" s="30">
        <v>0.01</v>
      </c>
      <c r="J19" s="29">
        <f t="shared" si="7"/>
        <v>12.87</v>
      </c>
      <c r="K19" s="31">
        <f>SUMIFS('Level of Effort'!$I:$I,'Level of Effort'!$C:$C,$B19,'Level of Effort'!$D:$D,$D19)</f>
        <v>10</v>
      </c>
      <c r="L19" s="32">
        <f>1880</f>
        <v>1880</v>
      </c>
      <c r="M19" s="33">
        <f t="shared" si="8"/>
        <v>5.3191489361702126E-3</v>
      </c>
      <c r="N19" s="34">
        <f t="shared" si="9"/>
        <v>128.69999999999999</v>
      </c>
    </row>
    <row r="20" spans="2:14" ht="5.0999999999999996" customHeight="1" x14ac:dyDescent="0.25">
      <c r="B20" s="35"/>
      <c r="C20" s="27"/>
      <c r="D20" s="36"/>
      <c r="E20" s="27"/>
      <c r="F20" s="35"/>
      <c r="G20" s="35"/>
      <c r="H20" s="34"/>
      <c r="I20" s="37"/>
      <c r="J20" s="34"/>
      <c r="K20" s="38"/>
      <c r="L20" s="39"/>
      <c r="M20" s="39"/>
      <c r="N20" s="34"/>
    </row>
    <row r="21" spans="2:14" x14ac:dyDescent="0.25">
      <c r="B21" s="40" t="str">
        <f>"Total "&amp;B16&amp;":"&amp;C16</f>
        <v>Total 0002:Task 2 - Data Analytics/ Modeling</v>
      </c>
      <c r="C21" s="41"/>
      <c r="D21" s="42"/>
      <c r="E21" s="41"/>
      <c r="F21" s="40"/>
      <c r="G21" s="40"/>
      <c r="H21" s="43"/>
      <c r="I21" s="44"/>
      <c r="J21" s="43"/>
      <c r="K21" s="45">
        <f>SUM(K16:K20)</f>
        <v>40</v>
      </c>
      <c r="L21" s="46"/>
      <c r="M21" s="46"/>
      <c r="N21" s="43">
        <f>SUM(N16:N20)</f>
        <v>653.40000000000009</v>
      </c>
    </row>
    <row r="23" spans="2:14" s="1" customFormat="1" x14ac:dyDescent="0.25">
      <c r="B23" s="14" t="s">
        <v>8</v>
      </c>
      <c r="D23" s="18"/>
      <c r="E23" s="19"/>
      <c r="K23" s="20"/>
    </row>
    <row r="24" spans="2:14" ht="47.25" x14ac:dyDescent="0.25">
      <c r="B24" s="21" t="s">
        <v>2</v>
      </c>
      <c r="C24" s="21" t="s">
        <v>15</v>
      </c>
      <c r="D24" s="22" t="s">
        <v>16</v>
      </c>
      <c r="E24" s="21" t="s">
        <v>17</v>
      </c>
      <c r="F24" s="21" t="s">
        <v>18</v>
      </c>
      <c r="G24" s="21" t="s">
        <v>19</v>
      </c>
      <c r="H24" s="21" t="s">
        <v>20</v>
      </c>
      <c r="I24" s="21" t="s">
        <v>21</v>
      </c>
      <c r="J24" s="21" t="s">
        <v>22</v>
      </c>
      <c r="K24" s="23" t="s">
        <v>23</v>
      </c>
      <c r="L24" s="21" t="s">
        <v>24</v>
      </c>
      <c r="M24" s="21" t="s">
        <v>25</v>
      </c>
      <c r="N24" s="21" t="s">
        <v>26</v>
      </c>
    </row>
    <row r="25" spans="2:14" x14ac:dyDescent="0.25">
      <c r="B25" s="24" t="s">
        <v>9</v>
      </c>
      <c r="C25" s="25" t="str">
        <f t="shared" ref="C25:C28" si="10">$C$7</f>
        <v>Task 2 - Data Analytics/ Modeling</v>
      </c>
      <c r="D25" s="26" t="s">
        <v>28</v>
      </c>
      <c r="E25" s="27" t="str">
        <f>E16</f>
        <v>Sr. Health Data Scientist</v>
      </c>
      <c r="F25" s="28" t="str">
        <f>VLOOKUP(D25,'Level of Effort'!$D:$G,3,FALSE)</f>
        <v>Prime</v>
      </c>
      <c r="G25" s="28" t="str">
        <f>VLOOKUP(D25,'Level of Effort'!$D:$G,4,FALSE)</f>
        <v>Vendor</v>
      </c>
      <c r="H25" s="29">
        <f>VLOOKUP(E25,'Vendor GSA MAS 541611 Rates'!$C:$H,6,FALSE)</f>
        <v>23</v>
      </c>
      <c r="I25" s="30">
        <v>0.01</v>
      </c>
      <c r="J25" s="29">
        <f>ROUND(H25-H25*I25,2)</f>
        <v>22.77</v>
      </c>
      <c r="K25" s="31">
        <f>SUMIFS('Level of Effort'!$I:$I,'Level of Effort'!$C:$C,$B25,'Level of Effort'!$D:$D,$D25)</f>
        <v>10</v>
      </c>
      <c r="L25" s="32">
        <f>1880</f>
        <v>1880</v>
      </c>
      <c r="M25" s="33">
        <f>K25/L25</f>
        <v>5.3191489361702126E-3</v>
      </c>
      <c r="N25" s="29">
        <f>J25*K25</f>
        <v>227.7</v>
      </c>
    </row>
    <row r="26" spans="2:14" x14ac:dyDescent="0.25">
      <c r="B26" s="24" t="str">
        <f t="shared" ref="B26:B28" si="11">B25</f>
        <v>0003</v>
      </c>
      <c r="C26" s="25" t="str">
        <f t="shared" si="10"/>
        <v>Task 2 - Data Analytics/ Modeling</v>
      </c>
      <c r="D26" s="26" t="s">
        <v>29</v>
      </c>
      <c r="E26" s="27" t="str">
        <f>E17</f>
        <v>Sr. Health Research Analyst</v>
      </c>
      <c r="F26" s="28" t="str">
        <f>VLOOKUP(D26,'Level of Effort'!$D:$G,3,FALSE)</f>
        <v>Prime</v>
      </c>
      <c r="G26" s="28" t="str">
        <f>VLOOKUP(D26,'Level of Effort'!$D:$G,4,FALSE)</f>
        <v>Vendor</v>
      </c>
      <c r="H26" s="29">
        <f>VLOOKUP(E26,'Vendor GSA MAS 541611 Rates'!$C:$H,6,FALSE)</f>
        <v>17</v>
      </c>
      <c r="I26" s="30">
        <v>0.01</v>
      </c>
      <c r="J26" s="29">
        <f t="shared" ref="J26:J28" si="12">ROUND(H26-H26*I26,2)</f>
        <v>16.829999999999998</v>
      </c>
      <c r="K26" s="31">
        <f>SUMIFS('Level of Effort'!$I:$I,'Level of Effort'!$C:$C,$B26,'Level of Effort'!$D:$D,$D26)</f>
        <v>10</v>
      </c>
      <c r="L26" s="32">
        <f>1880</f>
        <v>1880</v>
      </c>
      <c r="M26" s="33">
        <f t="shared" ref="M26:M28" si="13">K26/L26</f>
        <v>5.3191489361702126E-3</v>
      </c>
      <c r="N26" s="34">
        <f t="shared" ref="N26:N28" si="14">J26*K26</f>
        <v>168.29999999999998</v>
      </c>
    </row>
    <row r="27" spans="2:14" x14ac:dyDescent="0.25">
      <c r="B27" s="24" t="str">
        <f t="shared" si="11"/>
        <v>0003</v>
      </c>
      <c r="C27" s="25" t="str">
        <f t="shared" si="10"/>
        <v>Task 2 - Data Analytics/ Modeling</v>
      </c>
      <c r="D27" s="26" t="s">
        <v>30</v>
      </c>
      <c r="E27" s="27" t="str">
        <f>E18</f>
        <v>Sr. Health Informatics Developer</v>
      </c>
      <c r="F27" s="28" t="str">
        <f>VLOOKUP(D27,'Level of Effort'!$D:$G,3,FALSE)</f>
        <v>Subcontractor</v>
      </c>
      <c r="G27" s="28" t="str">
        <f>VLOOKUP(D27,'Level of Effort'!$D:$G,4,FALSE)</f>
        <v>Sub</v>
      </c>
      <c r="H27" s="29">
        <f>VLOOKUP(E27,'Vendor GSA MAS 541611 Rates'!$C:$H,6,FALSE)</f>
        <v>16</v>
      </c>
      <c r="I27" s="30">
        <v>0.01</v>
      </c>
      <c r="J27" s="29">
        <f t="shared" si="12"/>
        <v>15.84</v>
      </c>
      <c r="K27" s="31">
        <f>SUMIFS('Level of Effort'!$I:$I,'Level of Effort'!$C:$C,$B27,'Level of Effort'!$D:$D,$D27)</f>
        <v>10</v>
      </c>
      <c r="L27" s="32">
        <f>1880</f>
        <v>1880</v>
      </c>
      <c r="M27" s="33">
        <f t="shared" si="13"/>
        <v>5.3191489361702126E-3</v>
      </c>
      <c r="N27" s="34">
        <f t="shared" si="14"/>
        <v>158.4</v>
      </c>
    </row>
    <row r="28" spans="2:14" x14ac:dyDescent="0.25">
      <c r="B28" s="24" t="str">
        <f t="shared" si="11"/>
        <v>0003</v>
      </c>
      <c r="C28" s="25" t="str">
        <f t="shared" si="10"/>
        <v>Task 2 - Data Analytics/ Modeling</v>
      </c>
      <c r="D28" s="26" t="s">
        <v>31</v>
      </c>
      <c r="E28" s="27" t="str">
        <f>E19</f>
        <v>Subject Matter Expert</v>
      </c>
      <c r="F28" s="28" t="str">
        <f>VLOOKUP(D28,'Level of Effort'!$D:$G,3,FALSE)</f>
        <v>Prime</v>
      </c>
      <c r="G28" s="28" t="str">
        <f>VLOOKUP(D28,'Level of Effort'!$D:$G,4,FALSE)</f>
        <v>Vendor</v>
      </c>
      <c r="H28" s="29">
        <f>VLOOKUP(E28,'Vendor GSA MAS 541611 Rates'!$C:$H,6,FALSE)</f>
        <v>14</v>
      </c>
      <c r="I28" s="30">
        <v>0.01</v>
      </c>
      <c r="J28" s="29">
        <f t="shared" si="12"/>
        <v>13.86</v>
      </c>
      <c r="K28" s="31">
        <f>SUMIFS('Level of Effort'!$I:$I,'Level of Effort'!$C:$C,$B28,'Level of Effort'!$D:$D,$D28)</f>
        <v>10</v>
      </c>
      <c r="L28" s="32">
        <f>1880</f>
        <v>1880</v>
      </c>
      <c r="M28" s="33">
        <f t="shared" si="13"/>
        <v>5.3191489361702126E-3</v>
      </c>
      <c r="N28" s="34">
        <f t="shared" si="14"/>
        <v>138.6</v>
      </c>
    </row>
    <row r="29" spans="2:14" ht="5.0999999999999996" customHeight="1" x14ac:dyDescent="0.25">
      <c r="B29" s="35"/>
      <c r="C29" s="27"/>
      <c r="D29" s="36"/>
      <c r="E29" s="27"/>
      <c r="F29" s="35"/>
      <c r="G29" s="35"/>
      <c r="H29" s="34"/>
      <c r="I29" s="37"/>
      <c r="J29" s="34"/>
      <c r="K29" s="38"/>
      <c r="L29" s="39"/>
      <c r="M29" s="39"/>
      <c r="N29" s="34"/>
    </row>
    <row r="30" spans="2:14" x14ac:dyDescent="0.25">
      <c r="B30" s="40" t="str">
        <f>"Total "&amp;B25&amp;":"&amp;C25</f>
        <v>Total 0003:Task 2 - Data Analytics/ Modeling</v>
      </c>
      <c r="C30" s="41"/>
      <c r="D30" s="42"/>
      <c r="E30" s="41"/>
      <c r="F30" s="40"/>
      <c r="G30" s="40"/>
      <c r="H30" s="43"/>
      <c r="I30" s="44"/>
      <c r="J30" s="43"/>
      <c r="K30" s="45">
        <f>SUM(K25:K29)</f>
        <v>40</v>
      </c>
      <c r="L30" s="46"/>
      <c r="M30" s="46"/>
      <c r="N30" s="43">
        <f>SUM(N25:N29)</f>
        <v>693</v>
      </c>
    </row>
    <row r="32" spans="2:14" s="1" customFormat="1" x14ac:dyDescent="0.25">
      <c r="B32" s="14" t="s">
        <v>10</v>
      </c>
      <c r="D32" s="18"/>
      <c r="E32" s="19"/>
      <c r="K32" s="20"/>
    </row>
    <row r="33" spans="2:14" ht="47.25" x14ac:dyDescent="0.25">
      <c r="B33" s="21" t="s">
        <v>2</v>
      </c>
      <c r="C33" s="21" t="s">
        <v>15</v>
      </c>
      <c r="D33" s="22" t="s">
        <v>16</v>
      </c>
      <c r="E33" s="21" t="s">
        <v>17</v>
      </c>
      <c r="F33" s="21" t="s">
        <v>18</v>
      </c>
      <c r="G33" s="21" t="s">
        <v>19</v>
      </c>
      <c r="H33" s="21" t="s">
        <v>20</v>
      </c>
      <c r="I33" s="21" t="s">
        <v>21</v>
      </c>
      <c r="J33" s="21" t="s">
        <v>22</v>
      </c>
      <c r="K33" s="23" t="s">
        <v>23</v>
      </c>
      <c r="L33" s="21" t="s">
        <v>24</v>
      </c>
      <c r="M33" s="21" t="s">
        <v>25</v>
      </c>
      <c r="N33" s="21" t="s">
        <v>26</v>
      </c>
    </row>
    <row r="34" spans="2:14" x14ac:dyDescent="0.25">
      <c r="B34" s="24" t="s">
        <v>11</v>
      </c>
      <c r="C34" s="25" t="str">
        <f t="shared" ref="C34:C37" si="15">$C$7</f>
        <v>Task 2 - Data Analytics/ Modeling</v>
      </c>
      <c r="D34" s="26" t="s">
        <v>28</v>
      </c>
      <c r="E34" s="27" t="str">
        <f>E25</f>
        <v>Sr. Health Data Scientist</v>
      </c>
      <c r="F34" s="28" t="str">
        <f>VLOOKUP(D34,'Level of Effort'!$D:$G,3,FALSE)</f>
        <v>Prime</v>
      </c>
      <c r="G34" s="28" t="str">
        <f>VLOOKUP(D34,'Level of Effort'!$D:$G,4,FALSE)</f>
        <v>Vendor</v>
      </c>
      <c r="H34" s="29">
        <f>VLOOKUP(E34,'Vendor GSA MAS 541611 Rates'!$C:$H,6,FALSE)</f>
        <v>23</v>
      </c>
      <c r="I34" s="30">
        <v>0.01</v>
      </c>
      <c r="J34" s="29">
        <f>ROUND(H34-H34*I34,2)</f>
        <v>22.77</v>
      </c>
      <c r="K34" s="31">
        <f>SUMIFS('Level of Effort'!$I:$I,'Level of Effort'!$C:$C,$B34,'Level of Effort'!$D:$D,$D34)</f>
        <v>10</v>
      </c>
      <c r="L34" s="32">
        <f>1880</f>
        <v>1880</v>
      </c>
      <c r="M34" s="33">
        <f>K34/L34</f>
        <v>5.3191489361702126E-3</v>
      </c>
      <c r="N34" s="29">
        <f>J34*K34</f>
        <v>227.7</v>
      </c>
    </row>
    <row r="35" spans="2:14" x14ac:dyDescent="0.25">
      <c r="B35" s="24" t="str">
        <f t="shared" ref="B35:B37" si="16">B34</f>
        <v>0004</v>
      </c>
      <c r="C35" s="25" t="str">
        <f t="shared" si="15"/>
        <v>Task 2 - Data Analytics/ Modeling</v>
      </c>
      <c r="D35" s="26" t="s">
        <v>29</v>
      </c>
      <c r="E35" s="27" t="str">
        <f>E26</f>
        <v>Sr. Health Research Analyst</v>
      </c>
      <c r="F35" s="28" t="str">
        <f>VLOOKUP(D35,'Level of Effort'!$D:$G,3,FALSE)</f>
        <v>Prime</v>
      </c>
      <c r="G35" s="28" t="str">
        <f>VLOOKUP(D35,'Level of Effort'!$D:$G,4,FALSE)</f>
        <v>Vendor</v>
      </c>
      <c r="H35" s="29">
        <f>VLOOKUP(E35,'Vendor GSA MAS 541611 Rates'!$C:$H,6,FALSE)</f>
        <v>17</v>
      </c>
      <c r="I35" s="30">
        <v>0.01</v>
      </c>
      <c r="J35" s="29">
        <f t="shared" ref="J35:J37" si="17">ROUND(H35-H35*I35,2)</f>
        <v>16.829999999999998</v>
      </c>
      <c r="K35" s="31">
        <f>SUMIFS('Level of Effort'!$I:$I,'Level of Effort'!$C:$C,$B35,'Level of Effort'!$D:$D,$D35)</f>
        <v>10</v>
      </c>
      <c r="L35" s="32">
        <f>1880</f>
        <v>1880</v>
      </c>
      <c r="M35" s="33">
        <f t="shared" ref="M35:M37" si="18">K35/L35</f>
        <v>5.3191489361702126E-3</v>
      </c>
      <c r="N35" s="34">
        <f t="shared" ref="N35:N37" si="19">J35*K35</f>
        <v>168.29999999999998</v>
      </c>
    </row>
    <row r="36" spans="2:14" x14ac:dyDescent="0.25">
      <c r="B36" s="24" t="str">
        <f t="shared" si="16"/>
        <v>0004</v>
      </c>
      <c r="C36" s="25" t="str">
        <f t="shared" si="15"/>
        <v>Task 2 - Data Analytics/ Modeling</v>
      </c>
      <c r="D36" s="26" t="s">
        <v>30</v>
      </c>
      <c r="E36" s="27" t="str">
        <f>E27</f>
        <v>Sr. Health Informatics Developer</v>
      </c>
      <c r="F36" s="28" t="str">
        <f>VLOOKUP(D36,'Level of Effort'!$D:$G,3,FALSE)</f>
        <v>Subcontractor</v>
      </c>
      <c r="G36" s="28" t="str">
        <f>VLOOKUP(D36,'Level of Effort'!$D:$G,4,FALSE)</f>
        <v>Sub</v>
      </c>
      <c r="H36" s="29">
        <f>VLOOKUP(E36,'Vendor GSA MAS 541611 Rates'!$C:$H,6,FALSE)</f>
        <v>16</v>
      </c>
      <c r="I36" s="30">
        <v>0.01</v>
      </c>
      <c r="J36" s="29">
        <f t="shared" si="17"/>
        <v>15.84</v>
      </c>
      <c r="K36" s="31">
        <f>SUMIFS('Level of Effort'!$I:$I,'Level of Effort'!$C:$C,$B36,'Level of Effort'!$D:$D,$D36)</f>
        <v>10</v>
      </c>
      <c r="L36" s="32">
        <f>1880</f>
        <v>1880</v>
      </c>
      <c r="M36" s="33">
        <f t="shared" si="18"/>
        <v>5.3191489361702126E-3</v>
      </c>
      <c r="N36" s="34">
        <f t="shared" si="19"/>
        <v>158.4</v>
      </c>
    </row>
    <row r="37" spans="2:14" x14ac:dyDescent="0.25">
      <c r="B37" s="24" t="str">
        <f t="shared" si="16"/>
        <v>0004</v>
      </c>
      <c r="C37" s="25" t="str">
        <f t="shared" si="15"/>
        <v>Task 2 - Data Analytics/ Modeling</v>
      </c>
      <c r="D37" s="26" t="s">
        <v>31</v>
      </c>
      <c r="E37" s="27" t="str">
        <f>E28</f>
        <v>Subject Matter Expert</v>
      </c>
      <c r="F37" s="28" t="str">
        <f>VLOOKUP(D37,'Level of Effort'!$D:$G,3,FALSE)</f>
        <v>Prime</v>
      </c>
      <c r="G37" s="28" t="str">
        <f>VLOOKUP(D37,'Level of Effort'!$D:$G,4,FALSE)</f>
        <v>Vendor</v>
      </c>
      <c r="H37" s="29">
        <f>VLOOKUP(E37,'Vendor GSA MAS 541611 Rates'!$C:$H,6,FALSE)</f>
        <v>14</v>
      </c>
      <c r="I37" s="30">
        <v>0.01</v>
      </c>
      <c r="J37" s="29">
        <f t="shared" si="17"/>
        <v>13.86</v>
      </c>
      <c r="K37" s="31">
        <f>SUMIFS('Level of Effort'!$I:$I,'Level of Effort'!$C:$C,$B37,'Level of Effort'!$D:$D,$D37)</f>
        <v>10</v>
      </c>
      <c r="L37" s="32">
        <f>1880</f>
        <v>1880</v>
      </c>
      <c r="M37" s="33">
        <f t="shared" si="18"/>
        <v>5.3191489361702126E-3</v>
      </c>
      <c r="N37" s="34">
        <f t="shared" si="19"/>
        <v>138.6</v>
      </c>
    </row>
    <row r="38" spans="2:14" ht="5.0999999999999996" customHeight="1" x14ac:dyDescent="0.25">
      <c r="B38" s="35"/>
      <c r="C38" s="27"/>
      <c r="D38" s="36"/>
      <c r="E38" s="27"/>
      <c r="F38" s="35"/>
      <c r="G38" s="35"/>
      <c r="H38" s="34"/>
      <c r="I38" s="37"/>
      <c r="J38" s="34"/>
      <c r="K38" s="38"/>
      <c r="L38" s="39"/>
      <c r="M38" s="39"/>
      <c r="N38" s="34"/>
    </row>
    <row r="39" spans="2:14" x14ac:dyDescent="0.25">
      <c r="B39" s="40" t="str">
        <f>"Total "&amp;B34&amp;":"&amp;C34</f>
        <v>Total 0004:Task 2 - Data Analytics/ Modeling</v>
      </c>
      <c r="C39" s="41"/>
      <c r="D39" s="42"/>
      <c r="E39" s="41"/>
      <c r="F39" s="40"/>
      <c r="G39" s="40"/>
      <c r="H39" s="43"/>
      <c r="I39" s="44"/>
      <c r="J39" s="43"/>
      <c r="K39" s="45">
        <f>SUM(K34:K38)</f>
        <v>40</v>
      </c>
      <c r="L39" s="46"/>
      <c r="M39" s="46"/>
      <c r="N39" s="43">
        <f>SUM(N34:N38)</f>
        <v>693</v>
      </c>
    </row>
    <row r="41" spans="2:14" s="1" customFormat="1" x14ac:dyDescent="0.25">
      <c r="B41" s="14" t="s">
        <v>12</v>
      </c>
      <c r="D41" s="18"/>
      <c r="E41" s="19"/>
      <c r="K41" s="20"/>
    </row>
    <row r="42" spans="2:14" ht="47.25" x14ac:dyDescent="0.25">
      <c r="B42" s="21" t="s">
        <v>2</v>
      </c>
      <c r="C42" s="21" t="s">
        <v>15</v>
      </c>
      <c r="D42" s="22" t="s">
        <v>16</v>
      </c>
      <c r="E42" s="21" t="s">
        <v>17</v>
      </c>
      <c r="F42" s="21" t="s">
        <v>18</v>
      </c>
      <c r="G42" s="21" t="s">
        <v>19</v>
      </c>
      <c r="H42" s="21" t="s">
        <v>20</v>
      </c>
      <c r="I42" s="21" t="s">
        <v>21</v>
      </c>
      <c r="J42" s="21" t="s">
        <v>22</v>
      </c>
      <c r="K42" s="23" t="s">
        <v>23</v>
      </c>
      <c r="L42" s="21" t="s">
        <v>24</v>
      </c>
      <c r="M42" s="21" t="s">
        <v>25</v>
      </c>
      <c r="N42" s="21" t="s">
        <v>26</v>
      </c>
    </row>
    <row r="43" spans="2:14" x14ac:dyDescent="0.25">
      <c r="B43" s="24" t="s">
        <v>13</v>
      </c>
      <c r="C43" s="25" t="str">
        <f t="shared" ref="C43:C46" si="20">$C$7</f>
        <v>Task 2 - Data Analytics/ Modeling</v>
      </c>
      <c r="D43" s="26" t="s">
        <v>28</v>
      </c>
      <c r="E43" s="27" t="str">
        <f>E34</f>
        <v>Sr. Health Data Scientist</v>
      </c>
      <c r="F43" s="28" t="str">
        <f>VLOOKUP(D43,'Level of Effort'!$D:$G,3,FALSE)</f>
        <v>Prime</v>
      </c>
      <c r="G43" s="28" t="str">
        <f>VLOOKUP(D43,'Level of Effort'!$D:$G,4,FALSE)</f>
        <v>Vendor</v>
      </c>
      <c r="H43" s="29">
        <f>VLOOKUP(E43,'Vendor GSA MAS 541611 Rates'!$C:$H,6,FALSE)</f>
        <v>23</v>
      </c>
      <c r="I43" s="30">
        <v>0.01</v>
      </c>
      <c r="J43" s="29">
        <f>ROUND(H43-H43*I43,2)</f>
        <v>22.77</v>
      </c>
      <c r="K43" s="31">
        <f>SUMIFS('Level of Effort'!$I:$I,'Level of Effort'!$C:$C,$B43,'Level of Effort'!$D:$D,$D43)</f>
        <v>10</v>
      </c>
      <c r="L43" s="32">
        <f>1880</f>
        <v>1880</v>
      </c>
      <c r="M43" s="33">
        <f>K43/L43</f>
        <v>5.3191489361702126E-3</v>
      </c>
      <c r="N43" s="29">
        <f>J43*K43</f>
        <v>227.7</v>
      </c>
    </row>
    <row r="44" spans="2:14" x14ac:dyDescent="0.25">
      <c r="B44" s="24" t="str">
        <f t="shared" ref="B44:B46" si="21">B43</f>
        <v>0005</v>
      </c>
      <c r="C44" s="25" t="str">
        <f t="shared" si="20"/>
        <v>Task 2 - Data Analytics/ Modeling</v>
      </c>
      <c r="D44" s="26" t="s">
        <v>29</v>
      </c>
      <c r="E44" s="27" t="str">
        <f>E35</f>
        <v>Sr. Health Research Analyst</v>
      </c>
      <c r="F44" s="28" t="str">
        <f>VLOOKUP(D44,'Level of Effort'!$D:$G,3,FALSE)</f>
        <v>Prime</v>
      </c>
      <c r="G44" s="28" t="str">
        <f>VLOOKUP(D44,'Level of Effort'!$D:$G,4,FALSE)</f>
        <v>Vendor</v>
      </c>
      <c r="H44" s="29">
        <f>VLOOKUP(E44,'Vendor GSA MAS 541611 Rates'!$C:$H,6,FALSE)</f>
        <v>17</v>
      </c>
      <c r="I44" s="30">
        <v>0.01</v>
      </c>
      <c r="J44" s="29">
        <f t="shared" ref="J44:J46" si="22">ROUND(H44-H44*I44,2)</f>
        <v>16.829999999999998</v>
      </c>
      <c r="K44" s="31">
        <f>SUMIFS('Level of Effort'!$I:$I,'Level of Effort'!$C:$C,$B44,'Level of Effort'!$D:$D,$D44)</f>
        <v>10</v>
      </c>
      <c r="L44" s="32">
        <f>1880</f>
        <v>1880</v>
      </c>
      <c r="M44" s="33">
        <f t="shared" ref="M44:M46" si="23">K44/L44</f>
        <v>5.3191489361702126E-3</v>
      </c>
      <c r="N44" s="34">
        <f t="shared" ref="N44:N46" si="24">J44*K44</f>
        <v>168.29999999999998</v>
      </c>
    </row>
    <row r="45" spans="2:14" x14ac:dyDescent="0.25">
      <c r="B45" s="24" t="str">
        <f t="shared" si="21"/>
        <v>0005</v>
      </c>
      <c r="C45" s="25" t="str">
        <f t="shared" si="20"/>
        <v>Task 2 - Data Analytics/ Modeling</v>
      </c>
      <c r="D45" s="26" t="s">
        <v>30</v>
      </c>
      <c r="E45" s="27" t="str">
        <f>E36</f>
        <v>Sr. Health Informatics Developer</v>
      </c>
      <c r="F45" s="28" t="str">
        <f>VLOOKUP(D45,'Level of Effort'!$D:$G,3,FALSE)</f>
        <v>Subcontractor</v>
      </c>
      <c r="G45" s="28" t="str">
        <f>VLOOKUP(D45,'Level of Effort'!$D:$G,4,FALSE)</f>
        <v>Sub</v>
      </c>
      <c r="H45" s="29">
        <f>VLOOKUP(E45,'Vendor GSA MAS 541611 Rates'!$C:$H,6,FALSE)</f>
        <v>16</v>
      </c>
      <c r="I45" s="30">
        <v>0.01</v>
      </c>
      <c r="J45" s="29">
        <f t="shared" si="22"/>
        <v>15.84</v>
      </c>
      <c r="K45" s="31">
        <f>SUMIFS('Level of Effort'!$I:$I,'Level of Effort'!$C:$C,$B45,'Level of Effort'!$D:$D,$D45)</f>
        <v>10</v>
      </c>
      <c r="L45" s="32">
        <f>1880</f>
        <v>1880</v>
      </c>
      <c r="M45" s="33">
        <f t="shared" si="23"/>
        <v>5.3191489361702126E-3</v>
      </c>
      <c r="N45" s="34">
        <f t="shared" si="24"/>
        <v>158.4</v>
      </c>
    </row>
    <row r="46" spans="2:14" x14ac:dyDescent="0.25">
      <c r="B46" s="24" t="str">
        <f t="shared" si="21"/>
        <v>0005</v>
      </c>
      <c r="C46" s="25" t="str">
        <f t="shared" si="20"/>
        <v>Task 2 - Data Analytics/ Modeling</v>
      </c>
      <c r="D46" s="26" t="s">
        <v>31</v>
      </c>
      <c r="E46" s="27" t="str">
        <f>E37</f>
        <v>Subject Matter Expert</v>
      </c>
      <c r="F46" s="28" t="str">
        <f>VLOOKUP(D46,'Level of Effort'!$D:$G,3,FALSE)</f>
        <v>Prime</v>
      </c>
      <c r="G46" s="28" t="str">
        <f>VLOOKUP(D46,'Level of Effort'!$D:$G,4,FALSE)</f>
        <v>Vendor</v>
      </c>
      <c r="H46" s="29">
        <f>VLOOKUP(E46,'Vendor GSA MAS 541611 Rates'!$C:$H,6,FALSE)</f>
        <v>14</v>
      </c>
      <c r="I46" s="30">
        <v>0.01</v>
      </c>
      <c r="J46" s="29">
        <f t="shared" si="22"/>
        <v>13.86</v>
      </c>
      <c r="K46" s="31">
        <f>SUMIFS('Level of Effort'!$I:$I,'Level of Effort'!$C:$C,$B46,'Level of Effort'!$D:$D,$D46)</f>
        <v>10</v>
      </c>
      <c r="L46" s="32">
        <f>1880</f>
        <v>1880</v>
      </c>
      <c r="M46" s="33">
        <f t="shared" si="23"/>
        <v>5.3191489361702126E-3</v>
      </c>
      <c r="N46" s="34">
        <f t="shared" si="24"/>
        <v>138.6</v>
      </c>
    </row>
    <row r="47" spans="2:14" ht="5.0999999999999996" customHeight="1" x14ac:dyDescent="0.25">
      <c r="B47" s="35"/>
      <c r="C47" s="27"/>
      <c r="D47" s="36"/>
      <c r="E47" s="27"/>
      <c r="F47" s="35"/>
      <c r="G47" s="35"/>
      <c r="H47" s="34"/>
      <c r="I47" s="37"/>
      <c r="J47" s="34"/>
      <c r="K47" s="38"/>
      <c r="L47" s="39"/>
      <c r="M47" s="39"/>
      <c r="N47" s="34"/>
    </row>
    <row r="48" spans="2:14" x14ac:dyDescent="0.25">
      <c r="B48" s="40" t="str">
        <f>"Total "&amp;B43&amp;":"&amp;C43</f>
        <v>Total 0005:Task 2 - Data Analytics/ Modeling</v>
      </c>
      <c r="C48" s="41"/>
      <c r="D48" s="42"/>
      <c r="E48" s="41"/>
      <c r="F48" s="40"/>
      <c r="G48" s="40"/>
      <c r="H48" s="43"/>
      <c r="I48" s="44"/>
      <c r="J48" s="43"/>
      <c r="K48" s="45">
        <f>SUM(K43:K47)</f>
        <v>40</v>
      </c>
      <c r="L48" s="46"/>
      <c r="M48" s="46"/>
      <c r="N48" s="43">
        <f>SUM(N43:N47)</f>
        <v>693</v>
      </c>
    </row>
  </sheetData>
  <pageMargins left="1" right="1" top="1" bottom="1" header="0.5" footer="0.5"/>
  <pageSetup orientation="landscape" r:id="rId1"/>
  <headerFooter>
    <oddFooter>&amp;L&amp;"Arial Narrow,Italic"&amp;10Use or disclosure of data contained on this page is subject to the restriction on the cover sheet of this proposal or quotation.&amp;R
&amp;P of &amp;N</oddFooter>
  </headerFooter>
  <rowBreaks count="2" manualBreakCount="2">
    <brk id="22" min="1" max="13" man="1"/>
    <brk id="40" min="1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5DAE-F4AA-44D8-9816-3338475E0364}">
  <sheetPr>
    <tabColor theme="4" tint="0.59999389629810485"/>
  </sheetPr>
  <dimension ref="B1:N48"/>
  <sheetViews>
    <sheetView zoomScaleNormal="100" zoomScaleSheetLayoutView="100" workbookViewId="0">
      <selection activeCell="E12" sqref="E12"/>
    </sheetView>
  </sheetViews>
  <sheetFormatPr defaultColWidth="9" defaultRowHeight="15.75" x14ac:dyDescent="0.25"/>
  <cols>
    <col min="1" max="1" width="4.625" style="3" customWidth="1"/>
    <col min="2" max="2" width="7.625" style="3" customWidth="1"/>
    <col min="3" max="3" width="35.625" style="3" customWidth="1"/>
    <col min="4" max="4" width="15.625" style="47" customWidth="1"/>
    <col min="5" max="5" width="26.625" style="48" customWidth="1"/>
    <col min="6" max="6" width="13.625" style="3" customWidth="1"/>
    <col min="7" max="7" width="12.625" style="3" customWidth="1"/>
    <col min="8" max="8" width="9.625" style="3" customWidth="1"/>
    <col min="9" max="9" width="11.625" style="3" customWidth="1"/>
    <col min="10" max="10" width="10.625" style="3" customWidth="1"/>
    <col min="11" max="11" width="9.625" style="49" customWidth="1"/>
    <col min="12" max="12" width="9.625" style="3" customWidth="1"/>
    <col min="13" max="13" width="7.625" style="3" customWidth="1"/>
    <col min="14" max="14" width="12.625" style="3" customWidth="1"/>
    <col min="15" max="16384" width="9" style="3"/>
  </cols>
  <sheetData>
    <row r="1" spans="2:14" s="14" customFormat="1" x14ac:dyDescent="0.25">
      <c r="B1" s="14" t="s">
        <v>57</v>
      </c>
      <c r="D1" s="15"/>
      <c r="E1" s="16"/>
      <c r="K1" s="17"/>
    </row>
    <row r="2" spans="2:14" s="14" customFormat="1" x14ac:dyDescent="0.25">
      <c r="B2" s="14" t="s">
        <v>0</v>
      </c>
      <c r="D2" s="15"/>
      <c r="E2" s="16"/>
      <c r="K2" s="17"/>
    </row>
    <row r="3" spans="2:14" s="14" customFormat="1" x14ac:dyDescent="0.25">
      <c r="B3" s="1" t="str">
        <f>C7</f>
        <v>Task 3 - Dashboard Development</v>
      </c>
      <c r="D3" s="15"/>
      <c r="E3" s="16"/>
      <c r="K3" s="17"/>
    </row>
    <row r="5" spans="2:14" s="14" customFormat="1" x14ac:dyDescent="0.25">
      <c r="B5" s="14" t="s">
        <v>4</v>
      </c>
      <c r="D5" s="15"/>
      <c r="E5" s="16"/>
      <c r="K5" s="17"/>
    </row>
    <row r="6" spans="2:14" ht="47.25" x14ac:dyDescent="0.25">
      <c r="B6" s="21" t="s">
        <v>2</v>
      </c>
      <c r="C6" s="21" t="s">
        <v>15</v>
      </c>
      <c r="D6" s="22" t="s">
        <v>16</v>
      </c>
      <c r="E6" s="21" t="s">
        <v>17</v>
      </c>
      <c r="F6" s="21" t="s">
        <v>18</v>
      </c>
      <c r="G6" s="21" t="s">
        <v>19</v>
      </c>
      <c r="H6" s="21" t="s">
        <v>20</v>
      </c>
      <c r="I6" s="21" t="s">
        <v>21</v>
      </c>
      <c r="J6" s="21" t="s">
        <v>22</v>
      </c>
      <c r="K6" s="23" t="s">
        <v>23</v>
      </c>
      <c r="L6" s="21" t="s">
        <v>24</v>
      </c>
      <c r="M6" s="21" t="s">
        <v>25</v>
      </c>
      <c r="N6" s="21" t="s">
        <v>26</v>
      </c>
    </row>
    <row r="7" spans="2:14" x14ac:dyDescent="0.25">
      <c r="B7" s="24" t="s">
        <v>5</v>
      </c>
      <c r="C7" s="25" t="s">
        <v>33</v>
      </c>
      <c r="D7" s="26" t="s">
        <v>28</v>
      </c>
      <c r="E7" s="27" t="str">
        <f>'Level of Effort'!E27</f>
        <v>Sr. Health Data Scientist</v>
      </c>
      <c r="F7" s="28" t="str">
        <f>VLOOKUP(D7,'Level of Effort'!$D:$G,3,FALSE)</f>
        <v>Prime</v>
      </c>
      <c r="G7" s="28" t="str">
        <f>VLOOKUP(D7,'Level of Effort'!$D:$G,4,FALSE)</f>
        <v>Vendor</v>
      </c>
      <c r="H7" s="29">
        <f>VLOOKUP(E7,'Vendor GSA MAS 541611 Rates'!$C:$H,4,FALSE)</f>
        <v>21</v>
      </c>
      <c r="I7" s="30">
        <v>0.01</v>
      </c>
      <c r="J7" s="29">
        <f>ROUND(H7-H7*I7,2)</f>
        <v>20.79</v>
      </c>
      <c r="K7" s="31">
        <f>SUMIFS('Level of Effort'!$J:$J,'Level of Effort'!$C:$C,$B7,'Level of Effort'!$D:$D,$D7)</f>
        <v>10</v>
      </c>
      <c r="L7" s="32">
        <f>1880</f>
        <v>1880</v>
      </c>
      <c r="M7" s="33">
        <f>K7/L7</f>
        <v>5.3191489361702126E-3</v>
      </c>
      <c r="N7" s="29">
        <f>J7*K7</f>
        <v>207.89999999999998</v>
      </c>
    </row>
    <row r="8" spans="2:14" x14ac:dyDescent="0.25">
      <c r="B8" s="24" t="str">
        <f t="shared" ref="B8:B10" si="0">B7</f>
        <v>0001</v>
      </c>
      <c r="C8" s="25" t="str">
        <f>$C$7</f>
        <v>Task 3 - Dashboard Development</v>
      </c>
      <c r="D8" s="26" t="s">
        <v>29</v>
      </c>
      <c r="E8" s="27" t="str">
        <f>'Level of Effort'!E28</f>
        <v>Sr. Health Research Analyst</v>
      </c>
      <c r="F8" s="28" t="str">
        <f>VLOOKUP(D8,'Level of Effort'!$D:$G,3,FALSE)</f>
        <v>Prime</v>
      </c>
      <c r="G8" s="28" t="str">
        <f>VLOOKUP(D8,'Level of Effort'!$D:$G,4,FALSE)</f>
        <v>Vendor</v>
      </c>
      <c r="H8" s="29">
        <f>VLOOKUP(E8,'Vendor GSA MAS 541611 Rates'!$C:$H,4,FALSE)</f>
        <v>15</v>
      </c>
      <c r="I8" s="30">
        <v>0.01</v>
      </c>
      <c r="J8" s="29">
        <f t="shared" ref="J8:J10" si="1">ROUND(H8-H8*I8,2)</f>
        <v>14.85</v>
      </c>
      <c r="K8" s="31">
        <f>SUMIFS('Level of Effort'!$J:$J,'Level of Effort'!$C:$C,$B8,'Level of Effort'!$D:$D,$D8)</f>
        <v>10</v>
      </c>
      <c r="L8" s="32">
        <f>1880</f>
        <v>1880</v>
      </c>
      <c r="M8" s="33">
        <f t="shared" ref="M8:M10" si="2">K8/L8</f>
        <v>5.3191489361702126E-3</v>
      </c>
      <c r="N8" s="34">
        <f t="shared" ref="N8:N10" si="3">J8*K8</f>
        <v>148.5</v>
      </c>
    </row>
    <row r="9" spans="2:14" x14ac:dyDescent="0.25">
      <c r="B9" s="24" t="str">
        <f t="shared" si="0"/>
        <v>0001</v>
      </c>
      <c r="C9" s="25" t="str">
        <f t="shared" ref="C9:C10" si="4">$C$7</f>
        <v>Task 3 - Dashboard Development</v>
      </c>
      <c r="D9" s="26" t="s">
        <v>30</v>
      </c>
      <c r="E9" s="27" t="str">
        <f>'Level of Effort'!E29</f>
        <v>Sr. Health Informatics Developer</v>
      </c>
      <c r="F9" s="28" t="str">
        <f>VLOOKUP(D9,'Level of Effort'!$D:$G,3,FALSE)</f>
        <v>Subcontractor</v>
      </c>
      <c r="G9" s="28" t="str">
        <f>VLOOKUP(D9,'Level of Effort'!$D:$G,4,FALSE)</f>
        <v>Sub</v>
      </c>
      <c r="H9" s="29">
        <f>VLOOKUP(E9,'Vendor GSA MAS 541611 Rates'!$C:$H,4,FALSE)</f>
        <v>14</v>
      </c>
      <c r="I9" s="30">
        <v>0.01</v>
      </c>
      <c r="J9" s="29">
        <f t="shared" si="1"/>
        <v>13.86</v>
      </c>
      <c r="K9" s="31">
        <f>SUMIFS('Level of Effort'!$J:$J,'Level of Effort'!$C:$C,$B9,'Level of Effort'!$D:$D,$D9)</f>
        <v>10</v>
      </c>
      <c r="L9" s="32">
        <f>1880</f>
        <v>1880</v>
      </c>
      <c r="M9" s="33">
        <f t="shared" si="2"/>
        <v>5.3191489361702126E-3</v>
      </c>
      <c r="N9" s="34">
        <f t="shared" si="3"/>
        <v>138.6</v>
      </c>
    </row>
    <row r="10" spans="2:14" x14ac:dyDescent="0.25">
      <c r="B10" s="24" t="str">
        <f t="shared" si="0"/>
        <v>0001</v>
      </c>
      <c r="C10" s="25" t="str">
        <f t="shared" si="4"/>
        <v>Task 3 - Dashboard Development</v>
      </c>
      <c r="D10" s="26" t="s">
        <v>31</v>
      </c>
      <c r="E10" s="27" t="str">
        <f>'Level of Effort'!E30</f>
        <v>Subject Matter Expert</v>
      </c>
      <c r="F10" s="28" t="str">
        <f>VLOOKUP(D10,'Level of Effort'!$D:$G,3,FALSE)</f>
        <v>Prime</v>
      </c>
      <c r="G10" s="28" t="str">
        <f>VLOOKUP(D10,'Level of Effort'!$D:$G,4,FALSE)</f>
        <v>Vendor</v>
      </c>
      <c r="H10" s="29">
        <f>VLOOKUP(E10,'Vendor GSA MAS 541611 Rates'!$C:$H,4,FALSE)</f>
        <v>12</v>
      </c>
      <c r="I10" s="30">
        <v>0.01</v>
      </c>
      <c r="J10" s="29">
        <f t="shared" si="1"/>
        <v>11.88</v>
      </c>
      <c r="K10" s="31">
        <f>SUMIFS('Level of Effort'!$J:$J,'Level of Effort'!$C:$C,$B10,'Level of Effort'!$D:$D,$D10)</f>
        <v>10</v>
      </c>
      <c r="L10" s="32">
        <f>1880</f>
        <v>1880</v>
      </c>
      <c r="M10" s="33">
        <f t="shared" si="2"/>
        <v>5.3191489361702126E-3</v>
      </c>
      <c r="N10" s="34">
        <f t="shared" si="3"/>
        <v>118.80000000000001</v>
      </c>
    </row>
    <row r="11" spans="2:14" ht="5.0999999999999996" customHeight="1" x14ac:dyDescent="0.25">
      <c r="B11" s="35"/>
      <c r="C11" s="27"/>
      <c r="D11" s="36"/>
      <c r="E11" s="27"/>
      <c r="F11" s="35"/>
      <c r="G11" s="35"/>
      <c r="H11" s="34"/>
      <c r="I11" s="37"/>
      <c r="J11" s="34"/>
      <c r="K11" s="38"/>
      <c r="L11" s="39"/>
      <c r="M11" s="39"/>
      <c r="N11" s="34"/>
    </row>
    <row r="12" spans="2:14" x14ac:dyDescent="0.25">
      <c r="B12" s="40" t="str">
        <f>"Total "&amp;B7&amp;":"&amp;C7</f>
        <v>Total 0001:Task 3 - Dashboard Development</v>
      </c>
      <c r="C12" s="41"/>
      <c r="D12" s="42"/>
      <c r="E12" s="41"/>
      <c r="F12" s="40"/>
      <c r="G12" s="40"/>
      <c r="H12" s="43"/>
      <c r="I12" s="44"/>
      <c r="J12" s="43"/>
      <c r="K12" s="45">
        <f>SUM(K7:K11)</f>
        <v>40</v>
      </c>
      <c r="L12" s="46"/>
      <c r="M12" s="46"/>
      <c r="N12" s="43">
        <f>SUM(N7:N11)</f>
        <v>613.79999999999995</v>
      </c>
    </row>
    <row r="14" spans="2:14" s="1" customFormat="1" x14ac:dyDescent="0.25">
      <c r="B14" s="14" t="s">
        <v>6</v>
      </c>
      <c r="D14" s="18"/>
      <c r="E14" s="19"/>
      <c r="K14" s="20"/>
    </row>
    <row r="15" spans="2:14" ht="47.25" x14ac:dyDescent="0.25">
      <c r="B15" s="21" t="s">
        <v>2</v>
      </c>
      <c r="C15" s="21" t="s">
        <v>15</v>
      </c>
      <c r="D15" s="22" t="s">
        <v>16</v>
      </c>
      <c r="E15" s="21" t="s">
        <v>17</v>
      </c>
      <c r="F15" s="21" t="s">
        <v>18</v>
      </c>
      <c r="G15" s="21" t="s">
        <v>19</v>
      </c>
      <c r="H15" s="21" t="s">
        <v>20</v>
      </c>
      <c r="I15" s="21" t="s">
        <v>21</v>
      </c>
      <c r="J15" s="21" t="s">
        <v>22</v>
      </c>
      <c r="K15" s="23" t="s">
        <v>23</v>
      </c>
      <c r="L15" s="21" t="s">
        <v>24</v>
      </c>
      <c r="M15" s="21" t="s">
        <v>25</v>
      </c>
      <c r="N15" s="21" t="s">
        <v>26</v>
      </c>
    </row>
    <row r="16" spans="2:14" x14ac:dyDescent="0.25">
      <c r="B16" s="24" t="s">
        <v>7</v>
      </c>
      <c r="C16" s="25" t="str">
        <f t="shared" ref="C16:C19" si="5">$C$7</f>
        <v>Task 3 - Dashboard Development</v>
      </c>
      <c r="D16" s="26" t="s">
        <v>28</v>
      </c>
      <c r="E16" s="27" t="str">
        <f>E7</f>
        <v>Sr. Health Data Scientist</v>
      </c>
      <c r="F16" s="28" t="str">
        <f>VLOOKUP(D16,'Level of Effort'!$D:$G,3,FALSE)</f>
        <v>Prime</v>
      </c>
      <c r="G16" s="28" t="str">
        <f>VLOOKUP(D16,'Level of Effort'!$D:$G,4,FALSE)</f>
        <v>Vendor</v>
      </c>
      <c r="H16" s="29">
        <f>VLOOKUP(E16,'Vendor GSA MAS 541611 Rates'!$C:$H,5,FALSE)</f>
        <v>22</v>
      </c>
      <c r="I16" s="30">
        <v>0.01</v>
      </c>
      <c r="J16" s="29">
        <f>ROUND(H16-H16*I16,2)</f>
        <v>21.78</v>
      </c>
      <c r="K16" s="31">
        <f>SUMIFS('Level of Effort'!$J:$J,'Level of Effort'!$C:$C,$B16,'Level of Effort'!$D:$D,$D16)</f>
        <v>10</v>
      </c>
      <c r="L16" s="32">
        <f>1880</f>
        <v>1880</v>
      </c>
      <c r="M16" s="33">
        <f>K16/L16</f>
        <v>5.3191489361702126E-3</v>
      </c>
      <c r="N16" s="29">
        <f>J16*K16</f>
        <v>217.8</v>
      </c>
    </row>
    <row r="17" spans="2:14" x14ac:dyDescent="0.25">
      <c r="B17" s="24" t="str">
        <f t="shared" ref="B17:B19" si="6">B16</f>
        <v>0002</v>
      </c>
      <c r="C17" s="25" t="str">
        <f t="shared" si="5"/>
        <v>Task 3 - Dashboard Development</v>
      </c>
      <c r="D17" s="26" t="s">
        <v>29</v>
      </c>
      <c r="E17" s="27" t="str">
        <f>E8</f>
        <v>Sr. Health Research Analyst</v>
      </c>
      <c r="F17" s="28" t="str">
        <f>VLOOKUP(D17,'Level of Effort'!$D:$G,3,FALSE)</f>
        <v>Prime</v>
      </c>
      <c r="G17" s="28" t="str">
        <f>VLOOKUP(D17,'Level of Effort'!$D:$G,4,FALSE)</f>
        <v>Vendor</v>
      </c>
      <c r="H17" s="29">
        <f>VLOOKUP(E17,'Vendor GSA MAS 541611 Rates'!$C:$H,5,FALSE)</f>
        <v>16</v>
      </c>
      <c r="I17" s="30">
        <v>0.01</v>
      </c>
      <c r="J17" s="29">
        <f t="shared" ref="J17:J19" si="7">ROUND(H17-H17*I17,2)</f>
        <v>15.84</v>
      </c>
      <c r="K17" s="31">
        <f>SUMIFS('Level of Effort'!$J:$J,'Level of Effort'!$C:$C,$B17,'Level of Effort'!$D:$D,$D17)</f>
        <v>10</v>
      </c>
      <c r="L17" s="32">
        <f>1880</f>
        <v>1880</v>
      </c>
      <c r="M17" s="33">
        <f t="shared" ref="M17:M19" si="8">K17/L17</f>
        <v>5.3191489361702126E-3</v>
      </c>
      <c r="N17" s="34">
        <f t="shared" ref="N17:N19" si="9">J17*K17</f>
        <v>158.4</v>
      </c>
    </row>
    <row r="18" spans="2:14" x14ac:dyDescent="0.25">
      <c r="B18" s="24" t="str">
        <f t="shared" si="6"/>
        <v>0002</v>
      </c>
      <c r="C18" s="25" t="str">
        <f t="shared" si="5"/>
        <v>Task 3 - Dashboard Development</v>
      </c>
      <c r="D18" s="26" t="s">
        <v>30</v>
      </c>
      <c r="E18" s="27" t="str">
        <f>E9</f>
        <v>Sr. Health Informatics Developer</v>
      </c>
      <c r="F18" s="28" t="str">
        <f>VLOOKUP(D18,'Level of Effort'!$D:$G,3,FALSE)</f>
        <v>Subcontractor</v>
      </c>
      <c r="G18" s="28" t="str">
        <f>VLOOKUP(D18,'Level of Effort'!$D:$G,4,FALSE)</f>
        <v>Sub</v>
      </c>
      <c r="H18" s="29">
        <f>VLOOKUP(E18,'Vendor GSA MAS 541611 Rates'!$C:$H,5,FALSE)</f>
        <v>15</v>
      </c>
      <c r="I18" s="30">
        <v>0.01</v>
      </c>
      <c r="J18" s="29">
        <f t="shared" si="7"/>
        <v>14.85</v>
      </c>
      <c r="K18" s="31">
        <f>SUMIFS('Level of Effort'!$J:$J,'Level of Effort'!$C:$C,$B18,'Level of Effort'!$D:$D,$D18)</f>
        <v>10</v>
      </c>
      <c r="L18" s="32">
        <f>1880</f>
        <v>1880</v>
      </c>
      <c r="M18" s="33">
        <f t="shared" si="8"/>
        <v>5.3191489361702126E-3</v>
      </c>
      <c r="N18" s="34">
        <f t="shared" si="9"/>
        <v>148.5</v>
      </c>
    </row>
    <row r="19" spans="2:14" x14ac:dyDescent="0.25">
      <c r="B19" s="24" t="str">
        <f t="shared" si="6"/>
        <v>0002</v>
      </c>
      <c r="C19" s="25" t="str">
        <f t="shared" si="5"/>
        <v>Task 3 - Dashboard Development</v>
      </c>
      <c r="D19" s="26" t="s">
        <v>31</v>
      </c>
      <c r="E19" s="27" t="str">
        <f>E10</f>
        <v>Subject Matter Expert</v>
      </c>
      <c r="F19" s="28" t="str">
        <f>VLOOKUP(D19,'Level of Effort'!$D:$G,3,FALSE)</f>
        <v>Prime</v>
      </c>
      <c r="G19" s="28" t="str">
        <f>VLOOKUP(D19,'Level of Effort'!$D:$G,4,FALSE)</f>
        <v>Vendor</v>
      </c>
      <c r="H19" s="29">
        <f>VLOOKUP(E19,'Vendor GSA MAS 541611 Rates'!$C:$H,5,FALSE)</f>
        <v>13</v>
      </c>
      <c r="I19" s="30">
        <v>0.01</v>
      </c>
      <c r="J19" s="29">
        <f t="shared" si="7"/>
        <v>12.87</v>
      </c>
      <c r="K19" s="31">
        <f>SUMIFS('Level of Effort'!$J:$J,'Level of Effort'!$C:$C,$B19,'Level of Effort'!$D:$D,$D19)</f>
        <v>10</v>
      </c>
      <c r="L19" s="32">
        <f>1880</f>
        <v>1880</v>
      </c>
      <c r="M19" s="33">
        <f t="shared" si="8"/>
        <v>5.3191489361702126E-3</v>
      </c>
      <c r="N19" s="34">
        <f t="shared" si="9"/>
        <v>128.69999999999999</v>
      </c>
    </row>
    <row r="20" spans="2:14" ht="5.0999999999999996" customHeight="1" x14ac:dyDescent="0.25">
      <c r="B20" s="35"/>
      <c r="C20" s="27"/>
      <c r="D20" s="36"/>
      <c r="E20" s="27"/>
      <c r="F20" s="35"/>
      <c r="G20" s="35"/>
      <c r="H20" s="34"/>
      <c r="I20" s="37"/>
      <c r="J20" s="34"/>
      <c r="K20" s="38"/>
      <c r="L20" s="39"/>
      <c r="M20" s="39"/>
      <c r="N20" s="34"/>
    </row>
    <row r="21" spans="2:14" x14ac:dyDescent="0.25">
      <c r="B21" s="40" t="str">
        <f>"Total "&amp;B16&amp;":"&amp;C16</f>
        <v>Total 0002:Task 3 - Dashboard Development</v>
      </c>
      <c r="C21" s="41"/>
      <c r="D21" s="42"/>
      <c r="E21" s="41"/>
      <c r="F21" s="40"/>
      <c r="G21" s="40"/>
      <c r="H21" s="43"/>
      <c r="I21" s="44"/>
      <c r="J21" s="43"/>
      <c r="K21" s="45">
        <f>SUM(K16:K20)</f>
        <v>40</v>
      </c>
      <c r="L21" s="46"/>
      <c r="M21" s="46"/>
      <c r="N21" s="43">
        <f>SUM(N16:N20)</f>
        <v>653.40000000000009</v>
      </c>
    </row>
    <row r="23" spans="2:14" s="1" customFormat="1" x14ac:dyDescent="0.25">
      <c r="B23" s="14" t="s">
        <v>8</v>
      </c>
      <c r="D23" s="18"/>
      <c r="E23" s="19"/>
      <c r="K23" s="20"/>
    </row>
    <row r="24" spans="2:14" ht="47.25" x14ac:dyDescent="0.25">
      <c r="B24" s="21" t="s">
        <v>2</v>
      </c>
      <c r="C24" s="21" t="s">
        <v>15</v>
      </c>
      <c r="D24" s="22" t="s">
        <v>16</v>
      </c>
      <c r="E24" s="21" t="s">
        <v>17</v>
      </c>
      <c r="F24" s="21" t="s">
        <v>18</v>
      </c>
      <c r="G24" s="21" t="s">
        <v>19</v>
      </c>
      <c r="H24" s="21" t="s">
        <v>20</v>
      </c>
      <c r="I24" s="21" t="s">
        <v>21</v>
      </c>
      <c r="J24" s="21" t="s">
        <v>22</v>
      </c>
      <c r="K24" s="23" t="s">
        <v>23</v>
      </c>
      <c r="L24" s="21" t="s">
        <v>24</v>
      </c>
      <c r="M24" s="21" t="s">
        <v>25</v>
      </c>
      <c r="N24" s="21" t="s">
        <v>26</v>
      </c>
    </row>
    <row r="25" spans="2:14" x14ac:dyDescent="0.25">
      <c r="B25" s="24" t="s">
        <v>9</v>
      </c>
      <c r="C25" s="25" t="str">
        <f t="shared" ref="C25:C28" si="10">$C$7</f>
        <v>Task 3 - Dashboard Development</v>
      </c>
      <c r="D25" s="26" t="s">
        <v>28</v>
      </c>
      <c r="E25" s="27" t="str">
        <f>E16</f>
        <v>Sr. Health Data Scientist</v>
      </c>
      <c r="F25" s="28" t="str">
        <f>VLOOKUP(D25,'Level of Effort'!$D:$G,3,FALSE)</f>
        <v>Prime</v>
      </c>
      <c r="G25" s="28" t="str">
        <f>VLOOKUP(D25,'Level of Effort'!$D:$G,4,FALSE)</f>
        <v>Vendor</v>
      </c>
      <c r="H25" s="29">
        <f>VLOOKUP(E25,'Vendor GSA MAS 541611 Rates'!$C:$H,6,FALSE)</f>
        <v>23</v>
      </c>
      <c r="I25" s="30">
        <v>0.01</v>
      </c>
      <c r="J25" s="29">
        <f>ROUND(H25-H25*I25,2)</f>
        <v>22.77</v>
      </c>
      <c r="K25" s="31">
        <f>SUMIFS('Level of Effort'!$J:$J,'Level of Effort'!$C:$C,$B25,'Level of Effort'!$D:$D,$D25)</f>
        <v>10</v>
      </c>
      <c r="L25" s="32">
        <f>1880</f>
        <v>1880</v>
      </c>
      <c r="M25" s="33">
        <f>K25/L25</f>
        <v>5.3191489361702126E-3</v>
      </c>
      <c r="N25" s="29">
        <f>J25*K25</f>
        <v>227.7</v>
      </c>
    </row>
    <row r="26" spans="2:14" x14ac:dyDescent="0.25">
      <c r="B26" s="24" t="str">
        <f t="shared" ref="B26:B28" si="11">B25</f>
        <v>0003</v>
      </c>
      <c r="C26" s="25" t="str">
        <f t="shared" si="10"/>
        <v>Task 3 - Dashboard Development</v>
      </c>
      <c r="D26" s="26" t="s">
        <v>29</v>
      </c>
      <c r="E26" s="27" t="str">
        <f>E17</f>
        <v>Sr. Health Research Analyst</v>
      </c>
      <c r="F26" s="28" t="str">
        <f>VLOOKUP(D26,'Level of Effort'!$D:$G,3,FALSE)</f>
        <v>Prime</v>
      </c>
      <c r="G26" s="28" t="str">
        <f>VLOOKUP(D26,'Level of Effort'!$D:$G,4,FALSE)</f>
        <v>Vendor</v>
      </c>
      <c r="H26" s="29">
        <f>VLOOKUP(E26,'Vendor GSA MAS 541611 Rates'!$C:$H,6,FALSE)</f>
        <v>17</v>
      </c>
      <c r="I26" s="30">
        <v>0.01</v>
      </c>
      <c r="J26" s="29">
        <f t="shared" ref="J26:J28" si="12">ROUND(H26-H26*I26,2)</f>
        <v>16.829999999999998</v>
      </c>
      <c r="K26" s="31">
        <f>SUMIFS('Level of Effort'!$J:$J,'Level of Effort'!$C:$C,$B26,'Level of Effort'!$D:$D,$D26)</f>
        <v>10</v>
      </c>
      <c r="L26" s="32">
        <f>1880</f>
        <v>1880</v>
      </c>
      <c r="M26" s="33">
        <f t="shared" ref="M26:M28" si="13">K26/L26</f>
        <v>5.3191489361702126E-3</v>
      </c>
      <c r="N26" s="34">
        <f t="shared" ref="N26:N28" si="14">J26*K26</f>
        <v>168.29999999999998</v>
      </c>
    </row>
    <row r="27" spans="2:14" x14ac:dyDescent="0.25">
      <c r="B27" s="24" t="str">
        <f t="shared" si="11"/>
        <v>0003</v>
      </c>
      <c r="C27" s="25" t="str">
        <f t="shared" si="10"/>
        <v>Task 3 - Dashboard Development</v>
      </c>
      <c r="D27" s="26" t="s">
        <v>30</v>
      </c>
      <c r="E27" s="27" t="str">
        <f>E18</f>
        <v>Sr. Health Informatics Developer</v>
      </c>
      <c r="F27" s="28" t="str">
        <f>VLOOKUP(D27,'Level of Effort'!$D:$G,3,FALSE)</f>
        <v>Subcontractor</v>
      </c>
      <c r="G27" s="28" t="str">
        <f>VLOOKUP(D27,'Level of Effort'!$D:$G,4,FALSE)</f>
        <v>Sub</v>
      </c>
      <c r="H27" s="29">
        <f>VLOOKUP(E27,'Vendor GSA MAS 541611 Rates'!$C:$H,6,FALSE)</f>
        <v>16</v>
      </c>
      <c r="I27" s="30">
        <v>0.01</v>
      </c>
      <c r="J27" s="29">
        <f t="shared" si="12"/>
        <v>15.84</v>
      </c>
      <c r="K27" s="31">
        <f>SUMIFS('Level of Effort'!$J:$J,'Level of Effort'!$C:$C,$B27,'Level of Effort'!$D:$D,$D27)</f>
        <v>10</v>
      </c>
      <c r="L27" s="32">
        <f>1880</f>
        <v>1880</v>
      </c>
      <c r="M27" s="33">
        <f t="shared" si="13"/>
        <v>5.3191489361702126E-3</v>
      </c>
      <c r="N27" s="34">
        <f t="shared" si="14"/>
        <v>158.4</v>
      </c>
    </row>
    <row r="28" spans="2:14" x14ac:dyDescent="0.25">
      <c r="B28" s="24" t="str">
        <f t="shared" si="11"/>
        <v>0003</v>
      </c>
      <c r="C28" s="25" t="str">
        <f t="shared" si="10"/>
        <v>Task 3 - Dashboard Development</v>
      </c>
      <c r="D28" s="26" t="s">
        <v>31</v>
      </c>
      <c r="E28" s="27" t="str">
        <f>E19</f>
        <v>Subject Matter Expert</v>
      </c>
      <c r="F28" s="28" t="str">
        <f>VLOOKUP(D28,'Level of Effort'!$D:$G,3,FALSE)</f>
        <v>Prime</v>
      </c>
      <c r="G28" s="28" t="str">
        <f>VLOOKUP(D28,'Level of Effort'!$D:$G,4,FALSE)</f>
        <v>Vendor</v>
      </c>
      <c r="H28" s="29">
        <f>VLOOKUP(E28,'Vendor GSA MAS 541611 Rates'!$C:$H,6,FALSE)</f>
        <v>14</v>
      </c>
      <c r="I28" s="30">
        <v>0.01</v>
      </c>
      <c r="J28" s="29">
        <f t="shared" si="12"/>
        <v>13.86</v>
      </c>
      <c r="K28" s="31">
        <f>SUMIFS('Level of Effort'!$J:$J,'Level of Effort'!$C:$C,$B28,'Level of Effort'!$D:$D,$D28)</f>
        <v>10</v>
      </c>
      <c r="L28" s="32">
        <f>1880</f>
        <v>1880</v>
      </c>
      <c r="M28" s="33">
        <f t="shared" si="13"/>
        <v>5.3191489361702126E-3</v>
      </c>
      <c r="N28" s="34">
        <f t="shared" si="14"/>
        <v>138.6</v>
      </c>
    </row>
    <row r="29" spans="2:14" ht="5.0999999999999996" customHeight="1" x14ac:dyDescent="0.25">
      <c r="B29" s="35"/>
      <c r="C29" s="27"/>
      <c r="D29" s="36"/>
      <c r="E29" s="27"/>
      <c r="F29" s="35"/>
      <c r="G29" s="35"/>
      <c r="H29" s="34"/>
      <c r="I29" s="37"/>
      <c r="J29" s="34"/>
      <c r="K29" s="38"/>
      <c r="L29" s="39"/>
      <c r="M29" s="39"/>
      <c r="N29" s="34"/>
    </row>
    <row r="30" spans="2:14" x14ac:dyDescent="0.25">
      <c r="B30" s="40" t="str">
        <f>"Total "&amp;B25&amp;":"&amp;C25</f>
        <v>Total 0003:Task 3 - Dashboard Development</v>
      </c>
      <c r="C30" s="41"/>
      <c r="D30" s="42"/>
      <c r="E30" s="41"/>
      <c r="F30" s="40"/>
      <c r="G30" s="40"/>
      <c r="H30" s="43"/>
      <c r="I30" s="44"/>
      <c r="J30" s="43"/>
      <c r="K30" s="45">
        <f>SUM(K25:K29)</f>
        <v>40</v>
      </c>
      <c r="L30" s="46"/>
      <c r="M30" s="46"/>
      <c r="N30" s="43">
        <f>SUM(N25:N29)</f>
        <v>693</v>
      </c>
    </row>
    <row r="32" spans="2:14" s="1" customFormat="1" x14ac:dyDescent="0.25">
      <c r="B32" s="14" t="s">
        <v>10</v>
      </c>
      <c r="D32" s="18"/>
      <c r="E32" s="19"/>
      <c r="K32" s="20"/>
    </row>
    <row r="33" spans="2:14" ht="47.25" x14ac:dyDescent="0.25">
      <c r="B33" s="21" t="s">
        <v>2</v>
      </c>
      <c r="C33" s="21" t="s">
        <v>15</v>
      </c>
      <c r="D33" s="22" t="s">
        <v>16</v>
      </c>
      <c r="E33" s="21" t="s">
        <v>17</v>
      </c>
      <c r="F33" s="21" t="s">
        <v>18</v>
      </c>
      <c r="G33" s="21" t="s">
        <v>19</v>
      </c>
      <c r="H33" s="21" t="s">
        <v>20</v>
      </c>
      <c r="I33" s="21" t="s">
        <v>21</v>
      </c>
      <c r="J33" s="21" t="s">
        <v>22</v>
      </c>
      <c r="K33" s="23" t="s">
        <v>23</v>
      </c>
      <c r="L33" s="21" t="s">
        <v>24</v>
      </c>
      <c r="M33" s="21" t="s">
        <v>25</v>
      </c>
      <c r="N33" s="21" t="s">
        <v>26</v>
      </c>
    </row>
    <row r="34" spans="2:14" x14ac:dyDescent="0.25">
      <c r="B34" s="24" t="s">
        <v>11</v>
      </c>
      <c r="C34" s="25" t="str">
        <f t="shared" ref="C34:C37" si="15">$C$7</f>
        <v>Task 3 - Dashboard Development</v>
      </c>
      <c r="D34" s="26" t="s">
        <v>28</v>
      </c>
      <c r="E34" s="27" t="str">
        <f>E25</f>
        <v>Sr. Health Data Scientist</v>
      </c>
      <c r="F34" s="28" t="str">
        <f>VLOOKUP(D34,'Level of Effort'!$D:$G,3,FALSE)</f>
        <v>Prime</v>
      </c>
      <c r="G34" s="28" t="str">
        <f>VLOOKUP(D34,'Level of Effort'!$D:$G,4,FALSE)</f>
        <v>Vendor</v>
      </c>
      <c r="H34" s="29">
        <f>VLOOKUP(E34,'Vendor GSA MAS 541611 Rates'!$C:$H,6,FALSE)</f>
        <v>23</v>
      </c>
      <c r="I34" s="30">
        <v>0.01</v>
      </c>
      <c r="J34" s="29">
        <f>ROUND(H34-H34*I34,2)</f>
        <v>22.77</v>
      </c>
      <c r="K34" s="31">
        <f>SUMIFS('Level of Effort'!$J:$J,'Level of Effort'!$C:$C,$B34,'Level of Effort'!$D:$D,$D34)</f>
        <v>10</v>
      </c>
      <c r="L34" s="32">
        <f>1880</f>
        <v>1880</v>
      </c>
      <c r="M34" s="33">
        <f>K34/L34</f>
        <v>5.3191489361702126E-3</v>
      </c>
      <c r="N34" s="29">
        <f>J34*K34</f>
        <v>227.7</v>
      </c>
    </row>
    <row r="35" spans="2:14" x14ac:dyDescent="0.25">
      <c r="B35" s="24" t="str">
        <f t="shared" ref="B35:B37" si="16">B34</f>
        <v>0004</v>
      </c>
      <c r="C35" s="25" t="str">
        <f t="shared" si="15"/>
        <v>Task 3 - Dashboard Development</v>
      </c>
      <c r="D35" s="26" t="s">
        <v>29</v>
      </c>
      <c r="E35" s="27" t="str">
        <f>E26</f>
        <v>Sr. Health Research Analyst</v>
      </c>
      <c r="F35" s="28" t="str">
        <f>VLOOKUP(D35,'Level of Effort'!$D:$G,3,FALSE)</f>
        <v>Prime</v>
      </c>
      <c r="G35" s="28" t="str">
        <f>VLOOKUP(D35,'Level of Effort'!$D:$G,4,FALSE)</f>
        <v>Vendor</v>
      </c>
      <c r="H35" s="29">
        <f>VLOOKUP(E35,'Vendor GSA MAS 541611 Rates'!$C:$H,6,FALSE)</f>
        <v>17</v>
      </c>
      <c r="I35" s="30">
        <v>0.01</v>
      </c>
      <c r="J35" s="29">
        <f t="shared" ref="J35:J37" si="17">ROUND(H35-H35*I35,2)</f>
        <v>16.829999999999998</v>
      </c>
      <c r="K35" s="31">
        <f>SUMIFS('Level of Effort'!$J:$J,'Level of Effort'!$C:$C,$B35,'Level of Effort'!$D:$D,$D35)</f>
        <v>10</v>
      </c>
      <c r="L35" s="32">
        <f>1880</f>
        <v>1880</v>
      </c>
      <c r="M35" s="33">
        <f t="shared" ref="M35:M37" si="18">K35/L35</f>
        <v>5.3191489361702126E-3</v>
      </c>
      <c r="N35" s="34">
        <f t="shared" ref="N35:N37" si="19">J35*K35</f>
        <v>168.29999999999998</v>
      </c>
    </row>
    <row r="36" spans="2:14" x14ac:dyDescent="0.25">
      <c r="B36" s="24" t="str">
        <f t="shared" si="16"/>
        <v>0004</v>
      </c>
      <c r="C36" s="25" t="str">
        <f t="shared" si="15"/>
        <v>Task 3 - Dashboard Development</v>
      </c>
      <c r="D36" s="26" t="s">
        <v>30</v>
      </c>
      <c r="E36" s="27" t="str">
        <f>E27</f>
        <v>Sr. Health Informatics Developer</v>
      </c>
      <c r="F36" s="28" t="str">
        <f>VLOOKUP(D36,'Level of Effort'!$D:$G,3,FALSE)</f>
        <v>Subcontractor</v>
      </c>
      <c r="G36" s="28" t="str">
        <f>VLOOKUP(D36,'Level of Effort'!$D:$G,4,FALSE)</f>
        <v>Sub</v>
      </c>
      <c r="H36" s="29">
        <f>VLOOKUP(E36,'Vendor GSA MAS 541611 Rates'!$C:$H,6,FALSE)</f>
        <v>16</v>
      </c>
      <c r="I36" s="30">
        <v>0.01</v>
      </c>
      <c r="J36" s="29">
        <f t="shared" si="17"/>
        <v>15.84</v>
      </c>
      <c r="K36" s="31">
        <f>SUMIFS('Level of Effort'!$J:$J,'Level of Effort'!$C:$C,$B36,'Level of Effort'!$D:$D,$D36)</f>
        <v>10</v>
      </c>
      <c r="L36" s="32">
        <f>1880</f>
        <v>1880</v>
      </c>
      <c r="M36" s="33">
        <f t="shared" si="18"/>
        <v>5.3191489361702126E-3</v>
      </c>
      <c r="N36" s="34">
        <f t="shared" si="19"/>
        <v>158.4</v>
      </c>
    </row>
    <row r="37" spans="2:14" x14ac:dyDescent="0.25">
      <c r="B37" s="24" t="str">
        <f t="shared" si="16"/>
        <v>0004</v>
      </c>
      <c r="C37" s="25" t="str">
        <f t="shared" si="15"/>
        <v>Task 3 - Dashboard Development</v>
      </c>
      <c r="D37" s="26" t="s">
        <v>31</v>
      </c>
      <c r="E37" s="27" t="str">
        <f>E28</f>
        <v>Subject Matter Expert</v>
      </c>
      <c r="F37" s="28" t="str">
        <f>VLOOKUP(D37,'Level of Effort'!$D:$G,3,FALSE)</f>
        <v>Prime</v>
      </c>
      <c r="G37" s="28" t="str">
        <f>VLOOKUP(D37,'Level of Effort'!$D:$G,4,FALSE)</f>
        <v>Vendor</v>
      </c>
      <c r="H37" s="29">
        <f>VLOOKUP(E37,'Vendor GSA MAS 541611 Rates'!$C:$H,6,FALSE)</f>
        <v>14</v>
      </c>
      <c r="I37" s="30">
        <v>0.01</v>
      </c>
      <c r="J37" s="29">
        <f t="shared" si="17"/>
        <v>13.86</v>
      </c>
      <c r="K37" s="31">
        <f>SUMIFS('Level of Effort'!$J:$J,'Level of Effort'!$C:$C,$B37,'Level of Effort'!$D:$D,$D37)</f>
        <v>10</v>
      </c>
      <c r="L37" s="32">
        <f>1880</f>
        <v>1880</v>
      </c>
      <c r="M37" s="33">
        <f t="shared" si="18"/>
        <v>5.3191489361702126E-3</v>
      </c>
      <c r="N37" s="34">
        <f t="shared" si="19"/>
        <v>138.6</v>
      </c>
    </row>
    <row r="38" spans="2:14" ht="14.25" customHeight="1" x14ac:dyDescent="0.25">
      <c r="B38" s="35"/>
      <c r="C38" s="27"/>
      <c r="D38" s="36"/>
      <c r="E38" s="27"/>
      <c r="F38" s="35"/>
      <c r="G38" s="35"/>
      <c r="H38" s="34"/>
      <c r="I38" s="37"/>
      <c r="J38" s="34"/>
      <c r="K38" s="38"/>
      <c r="L38" s="39"/>
      <c r="M38" s="39"/>
      <c r="N38" s="34"/>
    </row>
    <row r="39" spans="2:14" x14ac:dyDescent="0.25">
      <c r="B39" s="40" t="str">
        <f>"Total "&amp;B34&amp;":"&amp;C34</f>
        <v>Total 0004:Task 3 - Dashboard Development</v>
      </c>
      <c r="C39" s="41"/>
      <c r="D39" s="42"/>
      <c r="E39" s="41"/>
      <c r="F39" s="40"/>
      <c r="G39" s="40"/>
      <c r="H39" s="43"/>
      <c r="I39" s="44"/>
      <c r="J39" s="43"/>
      <c r="K39" s="45">
        <f>SUM(K34:K38)</f>
        <v>40</v>
      </c>
      <c r="L39" s="46"/>
      <c r="M39" s="46"/>
      <c r="N39" s="43">
        <f>SUM(N34:N38)</f>
        <v>693</v>
      </c>
    </row>
    <row r="41" spans="2:14" s="1" customFormat="1" x14ac:dyDescent="0.25">
      <c r="B41" s="14" t="s">
        <v>12</v>
      </c>
      <c r="D41" s="18"/>
      <c r="E41" s="19"/>
      <c r="K41" s="20"/>
    </row>
    <row r="42" spans="2:14" ht="47.25" x14ac:dyDescent="0.25">
      <c r="B42" s="21" t="s">
        <v>2</v>
      </c>
      <c r="C42" s="21" t="s">
        <v>15</v>
      </c>
      <c r="D42" s="22" t="s">
        <v>16</v>
      </c>
      <c r="E42" s="21" t="s">
        <v>17</v>
      </c>
      <c r="F42" s="21" t="s">
        <v>18</v>
      </c>
      <c r="G42" s="21" t="s">
        <v>19</v>
      </c>
      <c r="H42" s="21" t="s">
        <v>20</v>
      </c>
      <c r="I42" s="21" t="s">
        <v>21</v>
      </c>
      <c r="J42" s="21" t="s">
        <v>22</v>
      </c>
      <c r="K42" s="23" t="s">
        <v>23</v>
      </c>
      <c r="L42" s="21" t="s">
        <v>24</v>
      </c>
      <c r="M42" s="21" t="s">
        <v>25</v>
      </c>
      <c r="N42" s="21" t="s">
        <v>26</v>
      </c>
    </row>
    <row r="43" spans="2:14" x14ac:dyDescent="0.25">
      <c r="B43" s="24" t="s">
        <v>13</v>
      </c>
      <c r="C43" s="25" t="str">
        <f t="shared" ref="C43:C46" si="20">$C$7</f>
        <v>Task 3 - Dashboard Development</v>
      </c>
      <c r="D43" s="26" t="s">
        <v>28</v>
      </c>
      <c r="E43" s="27" t="str">
        <f>E34</f>
        <v>Sr. Health Data Scientist</v>
      </c>
      <c r="F43" s="28" t="str">
        <f>VLOOKUP(D43,'Level of Effort'!$D:$G,3,FALSE)</f>
        <v>Prime</v>
      </c>
      <c r="G43" s="28" t="str">
        <f>VLOOKUP(D43,'Level of Effort'!$D:$G,4,FALSE)</f>
        <v>Vendor</v>
      </c>
      <c r="H43" s="29">
        <f>VLOOKUP(E43,'Vendor GSA MAS 541611 Rates'!$C:$H,6,FALSE)</f>
        <v>23</v>
      </c>
      <c r="I43" s="30">
        <v>0.01</v>
      </c>
      <c r="J43" s="29">
        <f>ROUND(H43-H43*I43,2)</f>
        <v>22.77</v>
      </c>
      <c r="K43" s="31">
        <f>SUMIFS('Level of Effort'!$J:$J,'Level of Effort'!$C:$C,$B43,'Level of Effort'!$D:$D,$D43)</f>
        <v>10</v>
      </c>
      <c r="L43" s="32">
        <f>1880</f>
        <v>1880</v>
      </c>
      <c r="M43" s="33">
        <f>K43/L43</f>
        <v>5.3191489361702126E-3</v>
      </c>
      <c r="N43" s="29">
        <f>J43*K43</f>
        <v>227.7</v>
      </c>
    </row>
    <row r="44" spans="2:14" x14ac:dyDescent="0.25">
      <c r="B44" s="24" t="str">
        <f t="shared" ref="B44:B46" si="21">B43</f>
        <v>0005</v>
      </c>
      <c r="C44" s="25" t="str">
        <f t="shared" si="20"/>
        <v>Task 3 - Dashboard Development</v>
      </c>
      <c r="D44" s="26" t="s">
        <v>29</v>
      </c>
      <c r="E44" s="27" t="str">
        <f>E35</f>
        <v>Sr. Health Research Analyst</v>
      </c>
      <c r="F44" s="28" t="str">
        <f>VLOOKUP(D44,'Level of Effort'!$D:$G,3,FALSE)</f>
        <v>Prime</v>
      </c>
      <c r="G44" s="28" t="str">
        <f>VLOOKUP(D44,'Level of Effort'!$D:$G,4,FALSE)</f>
        <v>Vendor</v>
      </c>
      <c r="H44" s="29">
        <f>VLOOKUP(E44,'Vendor GSA MAS 541611 Rates'!$C:$H,6,FALSE)</f>
        <v>17</v>
      </c>
      <c r="I44" s="30">
        <v>0.01</v>
      </c>
      <c r="J44" s="29">
        <f t="shared" ref="J44:J46" si="22">ROUND(H44-H44*I44,2)</f>
        <v>16.829999999999998</v>
      </c>
      <c r="K44" s="31">
        <f>SUMIFS('Level of Effort'!$J:$J,'Level of Effort'!$C:$C,$B44,'Level of Effort'!$D:$D,$D44)</f>
        <v>10</v>
      </c>
      <c r="L44" s="32">
        <f>1880</f>
        <v>1880</v>
      </c>
      <c r="M44" s="33">
        <f t="shared" ref="M44:M46" si="23">K44/L44</f>
        <v>5.3191489361702126E-3</v>
      </c>
      <c r="N44" s="34">
        <f t="shared" ref="N44:N46" si="24">J44*K44</f>
        <v>168.29999999999998</v>
      </c>
    </row>
    <row r="45" spans="2:14" x14ac:dyDescent="0.25">
      <c r="B45" s="24" t="str">
        <f t="shared" si="21"/>
        <v>0005</v>
      </c>
      <c r="C45" s="25" t="str">
        <f t="shared" si="20"/>
        <v>Task 3 - Dashboard Development</v>
      </c>
      <c r="D45" s="26" t="s">
        <v>30</v>
      </c>
      <c r="E45" s="27" t="str">
        <f>E36</f>
        <v>Sr. Health Informatics Developer</v>
      </c>
      <c r="F45" s="28" t="str">
        <f>VLOOKUP(D45,'Level of Effort'!$D:$G,3,FALSE)</f>
        <v>Subcontractor</v>
      </c>
      <c r="G45" s="28" t="str">
        <f>VLOOKUP(D45,'Level of Effort'!$D:$G,4,FALSE)</f>
        <v>Sub</v>
      </c>
      <c r="H45" s="29">
        <f>VLOOKUP(E45,'Vendor GSA MAS 541611 Rates'!$C:$H,6,FALSE)</f>
        <v>16</v>
      </c>
      <c r="I45" s="30">
        <v>0.01</v>
      </c>
      <c r="J45" s="29">
        <f t="shared" si="22"/>
        <v>15.84</v>
      </c>
      <c r="K45" s="31">
        <f>SUMIFS('Level of Effort'!$J:$J,'Level of Effort'!$C:$C,$B45,'Level of Effort'!$D:$D,$D45)</f>
        <v>10</v>
      </c>
      <c r="L45" s="32">
        <f>1880</f>
        <v>1880</v>
      </c>
      <c r="M45" s="33">
        <f t="shared" si="23"/>
        <v>5.3191489361702126E-3</v>
      </c>
      <c r="N45" s="34">
        <f t="shared" si="24"/>
        <v>158.4</v>
      </c>
    </row>
    <row r="46" spans="2:14" x14ac:dyDescent="0.25">
      <c r="B46" s="24" t="str">
        <f t="shared" si="21"/>
        <v>0005</v>
      </c>
      <c r="C46" s="25" t="str">
        <f t="shared" si="20"/>
        <v>Task 3 - Dashboard Development</v>
      </c>
      <c r="D46" s="26" t="s">
        <v>31</v>
      </c>
      <c r="E46" s="27" t="str">
        <f>E37</f>
        <v>Subject Matter Expert</v>
      </c>
      <c r="F46" s="28" t="str">
        <f>VLOOKUP(D46,'Level of Effort'!$D:$G,3,FALSE)</f>
        <v>Prime</v>
      </c>
      <c r="G46" s="28" t="str">
        <f>VLOOKUP(D46,'Level of Effort'!$D:$G,4,FALSE)</f>
        <v>Vendor</v>
      </c>
      <c r="H46" s="29">
        <f>VLOOKUP(E46,'Vendor GSA MAS 541611 Rates'!$C:$H,6,FALSE)</f>
        <v>14</v>
      </c>
      <c r="I46" s="30">
        <v>0.01</v>
      </c>
      <c r="J46" s="29">
        <f t="shared" si="22"/>
        <v>13.86</v>
      </c>
      <c r="K46" s="31">
        <f>SUMIFS('Level of Effort'!$J:$J,'Level of Effort'!$C:$C,$B46,'Level of Effort'!$D:$D,$D46)</f>
        <v>10</v>
      </c>
      <c r="L46" s="32">
        <f>1880</f>
        <v>1880</v>
      </c>
      <c r="M46" s="33">
        <f t="shared" si="23"/>
        <v>5.3191489361702126E-3</v>
      </c>
      <c r="N46" s="34">
        <f t="shared" si="24"/>
        <v>138.6</v>
      </c>
    </row>
    <row r="47" spans="2:14" ht="5.0999999999999996" customHeight="1" x14ac:dyDescent="0.25">
      <c r="B47" s="35"/>
      <c r="C47" s="27"/>
      <c r="D47" s="36"/>
      <c r="E47" s="27"/>
      <c r="F47" s="35"/>
      <c r="G47" s="35"/>
      <c r="H47" s="34"/>
      <c r="I47" s="37"/>
      <c r="J47" s="34"/>
      <c r="K47" s="38"/>
      <c r="L47" s="39"/>
      <c r="M47" s="39"/>
      <c r="N47" s="34"/>
    </row>
    <row r="48" spans="2:14" x14ac:dyDescent="0.25">
      <c r="B48" s="40" t="str">
        <f>"Total "&amp;B43&amp;":"&amp;C43</f>
        <v>Total 0005:Task 3 - Dashboard Development</v>
      </c>
      <c r="C48" s="41"/>
      <c r="D48" s="42"/>
      <c r="E48" s="41"/>
      <c r="F48" s="40"/>
      <c r="G48" s="40"/>
      <c r="H48" s="43"/>
      <c r="I48" s="44"/>
      <c r="J48" s="43"/>
      <c r="K48" s="45">
        <f>SUM(K43:K47)</f>
        <v>40</v>
      </c>
      <c r="L48" s="46"/>
      <c r="M48" s="46"/>
      <c r="N48" s="43">
        <f>SUM(N43:N47)</f>
        <v>693</v>
      </c>
    </row>
  </sheetData>
  <pageMargins left="1" right="1" top="1" bottom="1" header="0.5" footer="0.5"/>
  <pageSetup orientation="landscape" r:id="rId1"/>
  <headerFooter>
    <oddFooter>&amp;L&amp;"Arial Narrow,Italic"&amp;10Use or disclosure of data contained on this page is subject to the restriction on the cover sheet of this proposal or quotation.&amp;R
&amp;P of &amp;N</oddFooter>
  </headerFooter>
  <rowBreaks count="2" manualBreakCount="2">
    <brk id="22" min="1" max="13" man="1"/>
    <brk id="40" min="1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82AC-E381-46ED-B310-BE00E63EF2F0}">
  <sheetPr>
    <tabColor theme="4" tint="0.59999389629810485"/>
  </sheetPr>
  <dimension ref="B1:N48"/>
  <sheetViews>
    <sheetView zoomScaleNormal="100" zoomScaleSheetLayoutView="100" workbookViewId="0">
      <selection activeCell="J7" sqref="J7"/>
    </sheetView>
  </sheetViews>
  <sheetFormatPr defaultColWidth="9" defaultRowHeight="15.75" x14ac:dyDescent="0.25"/>
  <cols>
    <col min="1" max="1" width="4.625" style="3" customWidth="1"/>
    <col min="2" max="2" width="7.625" style="3" customWidth="1"/>
    <col min="3" max="3" width="35.625" style="3" customWidth="1"/>
    <col min="4" max="4" width="15.625" style="47" customWidth="1"/>
    <col min="5" max="5" width="26.625" style="48" customWidth="1"/>
    <col min="6" max="6" width="13.625" style="3" customWidth="1"/>
    <col min="7" max="7" width="12.625" style="3" customWidth="1"/>
    <col min="8" max="8" width="9.625" style="3" customWidth="1"/>
    <col min="9" max="9" width="11.625" style="3" customWidth="1"/>
    <col min="10" max="10" width="10.625" style="3" customWidth="1"/>
    <col min="11" max="11" width="9.625" style="49" customWidth="1"/>
    <col min="12" max="12" width="9.625" style="3" customWidth="1"/>
    <col min="13" max="13" width="7.625" style="3" customWidth="1"/>
    <col min="14" max="14" width="12.625" style="3" customWidth="1"/>
    <col min="15" max="16384" width="9" style="3"/>
  </cols>
  <sheetData>
    <row r="1" spans="2:14" s="14" customFormat="1" x14ac:dyDescent="0.25">
      <c r="B1" s="14" t="s">
        <v>57</v>
      </c>
      <c r="D1" s="15"/>
      <c r="E1" s="16"/>
      <c r="K1" s="17"/>
    </row>
    <row r="2" spans="2:14" s="14" customFormat="1" x14ac:dyDescent="0.25">
      <c r="B2" s="14" t="s">
        <v>0</v>
      </c>
      <c r="D2" s="15"/>
      <c r="E2" s="16"/>
      <c r="K2" s="17"/>
    </row>
    <row r="3" spans="2:14" s="14" customFormat="1" x14ac:dyDescent="0.25">
      <c r="B3" s="1" t="str">
        <f>C7</f>
        <v>Task 4 - Ad Hoc Analysis</v>
      </c>
      <c r="D3" s="15"/>
      <c r="E3" s="16"/>
      <c r="K3" s="17"/>
    </row>
    <row r="5" spans="2:14" s="14" customFormat="1" x14ac:dyDescent="0.25">
      <c r="B5" s="14" t="s">
        <v>4</v>
      </c>
      <c r="D5" s="15"/>
      <c r="E5" s="16"/>
      <c r="K5" s="17"/>
    </row>
    <row r="6" spans="2:14" ht="47.25" x14ac:dyDescent="0.25">
      <c r="B6" s="21" t="s">
        <v>2</v>
      </c>
      <c r="C6" s="21" t="s">
        <v>15</v>
      </c>
      <c r="D6" s="22" t="s">
        <v>16</v>
      </c>
      <c r="E6" s="21" t="s">
        <v>17</v>
      </c>
      <c r="F6" s="21" t="s">
        <v>18</v>
      </c>
      <c r="G6" s="21" t="s">
        <v>19</v>
      </c>
      <c r="H6" s="21" t="s">
        <v>20</v>
      </c>
      <c r="I6" s="21" t="s">
        <v>21</v>
      </c>
      <c r="J6" s="21" t="s">
        <v>22</v>
      </c>
      <c r="K6" s="23" t="s">
        <v>23</v>
      </c>
      <c r="L6" s="21" t="s">
        <v>24</v>
      </c>
      <c r="M6" s="21" t="s">
        <v>25</v>
      </c>
      <c r="N6" s="21" t="s">
        <v>26</v>
      </c>
    </row>
    <row r="7" spans="2:14" x14ac:dyDescent="0.25">
      <c r="B7" s="24" t="s">
        <v>5</v>
      </c>
      <c r="C7" s="25" t="s">
        <v>34</v>
      </c>
      <c r="D7" s="26" t="s">
        <v>28</v>
      </c>
      <c r="E7" s="27" t="str">
        <f>'Level of Effort'!E34</f>
        <v>Sr. Health Data Scientist</v>
      </c>
      <c r="F7" s="28" t="str">
        <f>VLOOKUP(D7,'Level of Effort'!$D:$G,3,FALSE)</f>
        <v>Prime</v>
      </c>
      <c r="G7" s="28" t="str">
        <f>VLOOKUP(D7,'Level of Effort'!$D:$G,4,FALSE)</f>
        <v>Vendor</v>
      </c>
      <c r="H7" s="29">
        <f>VLOOKUP(E7,'Vendor GSA MAS 541611 Rates'!$C:$H,4,FALSE)</f>
        <v>21</v>
      </c>
      <c r="I7" s="30">
        <v>0.01</v>
      </c>
      <c r="J7" s="29">
        <f>ROUND(H7-H7*I7,2)</f>
        <v>20.79</v>
      </c>
      <c r="K7" s="31">
        <f>SUMIFS('Level of Effort'!$K:$K,'Level of Effort'!$C:$C,$B7,'Level of Effort'!$D:$D,$D7)</f>
        <v>10</v>
      </c>
      <c r="L7" s="32">
        <f>1880</f>
        <v>1880</v>
      </c>
      <c r="M7" s="33">
        <f>K7/L7</f>
        <v>5.3191489361702126E-3</v>
      </c>
      <c r="N7" s="29">
        <f>J7*K7</f>
        <v>207.89999999999998</v>
      </c>
    </row>
    <row r="8" spans="2:14" x14ac:dyDescent="0.25">
      <c r="B8" s="24" t="str">
        <f t="shared" ref="B8:B10" si="0">B7</f>
        <v>0001</v>
      </c>
      <c r="C8" s="25" t="str">
        <f>$C$7</f>
        <v>Task 4 - Ad Hoc Analysis</v>
      </c>
      <c r="D8" s="26" t="s">
        <v>29</v>
      </c>
      <c r="E8" s="27" t="str">
        <f>'Level of Effort'!E35</f>
        <v>Sr. Health Research Analyst</v>
      </c>
      <c r="F8" s="28" t="str">
        <f>VLOOKUP(D8,'Level of Effort'!$D:$G,3,FALSE)</f>
        <v>Prime</v>
      </c>
      <c r="G8" s="28" t="str">
        <f>VLOOKUP(D8,'Level of Effort'!$D:$G,4,FALSE)</f>
        <v>Vendor</v>
      </c>
      <c r="H8" s="29">
        <f>VLOOKUP(E8,'Vendor GSA MAS 541611 Rates'!$C:$H,4,FALSE)</f>
        <v>15</v>
      </c>
      <c r="I8" s="30">
        <v>0.01</v>
      </c>
      <c r="J8" s="29">
        <f t="shared" ref="J8:J10" si="1">ROUND(H8-H8*I8,2)</f>
        <v>14.85</v>
      </c>
      <c r="K8" s="31">
        <f>SUMIFS('Level of Effort'!$K:$K,'Level of Effort'!$C:$C,$B8,'Level of Effort'!$D:$D,$D8)</f>
        <v>10</v>
      </c>
      <c r="L8" s="32">
        <f>1880</f>
        <v>1880</v>
      </c>
      <c r="M8" s="33">
        <f t="shared" ref="M8:M10" si="2">K8/L8</f>
        <v>5.3191489361702126E-3</v>
      </c>
      <c r="N8" s="34">
        <f t="shared" ref="N8:N10" si="3">J8*K8</f>
        <v>148.5</v>
      </c>
    </row>
    <row r="9" spans="2:14" x14ac:dyDescent="0.25">
      <c r="B9" s="24" t="str">
        <f t="shared" si="0"/>
        <v>0001</v>
      </c>
      <c r="C9" s="25" t="str">
        <f t="shared" ref="C9:C10" si="4">$C$7</f>
        <v>Task 4 - Ad Hoc Analysis</v>
      </c>
      <c r="D9" s="26" t="s">
        <v>30</v>
      </c>
      <c r="E9" s="27" t="str">
        <f>'Level of Effort'!E36</f>
        <v>Sr. Health Informatics Developer</v>
      </c>
      <c r="F9" s="28" t="str">
        <f>VLOOKUP(D9,'Level of Effort'!$D:$G,3,FALSE)</f>
        <v>Subcontractor</v>
      </c>
      <c r="G9" s="28" t="str">
        <f>VLOOKUP(D9,'Level of Effort'!$D:$G,4,FALSE)</f>
        <v>Sub</v>
      </c>
      <c r="H9" s="29">
        <f>VLOOKUP(E9,'Vendor GSA MAS 541611 Rates'!$C:$H,4,FALSE)</f>
        <v>14</v>
      </c>
      <c r="I9" s="30">
        <v>0.01</v>
      </c>
      <c r="J9" s="29">
        <f t="shared" si="1"/>
        <v>13.86</v>
      </c>
      <c r="K9" s="31">
        <f>SUMIFS('Level of Effort'!$K:$K,'Level of Effort'!$C:$C,$B9,'Level of Effort'!$D:$D,$D9)</f>
        <v>10</v>
      </c>
      <c r="L9" s="32">
        <f>1880</f>
        <v>1880</v>
      </c>
      <c r="M9" s="33">
        <f t="shared" si="2"/>
        <v>5.3191489361702126E-3</v>
      </c>
      <c r="N9" s="34">
        <f t="shared" si="3"/>
        <v>138.6</v>
      </c>
    </row>
    <row r="10" spans="2:14" x14ac:dyDescent="0.25">
      <c r="B10" s="24" t="str">
        <f t="shared" si="0"/>
        <v>0001</v>
      </c>
      <c r="C10" s="25" t="str">
        <f t="shared" si="4"/>
        <v>Task 4 - Ad Hoc Analysis</v>
      </c>
      <c r="D10" s="26" t="s">
        <v>31</v>
      </c>
      <c r="E10" s="27" t="str">
        <f>'Level of Effort'!E37</f>
        <v>Subject Matter Expert</v>
      </c>
      <c r="F10" s="28" t="str">
        <f>VLOOKUP(D10,'Level of Effort'!$D:$G,3,FALSE)</f>
        <v>Prime</v>
      </c>
      <c r="G10" s="28" t="str">
        <f>VLOOKUP(D10,'Level of Effort'!$D:$G,4,FALSE)</f>
        <v>Vendor</v>
      </c>
      <c r="H10" s="29">
        <f>VLOOKUP(E10,'Vendor GSA MAS 541611 Rates'!$C:$H,4,FALSE)</f>
        <v>12</v>
      </c>
      <c r="I10" s="30">
        <v>0.01</v>
      </c>
      <c r="J10" s="29">
        <f t="shared" si="1"/>
        <v>11.88</v>
      </c>
      <c r="K10" s="31">
        <f>SUMIFS('Level of Effort'!$K:$K,'Level of Effort'!$C:$C,$B10,'Level of Effort'!$D:$D,$D10)</f>
        <v>10</v>
      </c>
      <c r="L10" s="32">
        <f>1880</f>
        <v>1880</v>
      </c>
      <c r="M10" s="33">
        <f t="shared" si="2"/>
        <v>5.3191489361702126E-3</v>
      </c>
      <c r="N10" s="34">
        <f t="shared" si="3"/>
        <v>118.80000000000001</v>
      </c>
    </row>
    <row r="11" spans="2:14" ht="5.0999999999999996" customHeight="1" x14ac:dyDescent="0.25">
      <c r="B11" s="35"/>
      <c r="C11" s="27"/>
      <c r="D11" s="36"/>
      <c r="E11" s="27"/>
      <c r="F11" s="35"/>
      <c r="G11" s="35"/>
      <c r="H11" s="34"/>
      <c r="I11" s="37"/>
      <c r="J11" s="34"/>
      <c r="K11" s="38"/>
      <c r="L11" s="39"/>
      <c r="M11" s="39"/>
      <c r="N11" s="34"/>
    </row>
    <row r="12" spans="2:14" x14ac:dyDescent="0.25">
      <c r="B12" s="40" t="str">
        <f>"Total "&amp;B7&amp;":"&amp;C7</f>
        <v>Total 0001:Task 4 - Ad Hoc Analysis</v>
      </c>
      <c r="C12" s="41"/>
      <c r="D12" s="42"/>
      <c r="E12" s="41"/>
      <c r="F12" s="40"/>
      <c r="G12" s="40"/>
      <c r="H12" s="43"/>
      <c r="I12" s="44"/>
      <c r="J12" s="43"/>
      <c r="K12" s="45">
        <f>SUM(K7:K11)</f>
        <v>40</v>
      </c>
      <c r="L12" s="46"/>
      <c r="M12" s="46"/>
      <c r="N12" s="43">
        <f>SUM(N7:N11)</f>
        <v>613.79999999999995</v>
      </c>
    </row>
    <row r="14" spans="2:14" s="1" customFormat="1" x14ac:dyDescent="0.25">
      <c r="B14" s="14" t="s">
        <v>6</v>
      </c>
      <c r="D14" s="18"/>
      <c r="E14" s="19"/>
      <c r="K14" s="20"/>
    </row>
    <row r="15" spans="2:14" ht="47.25" x14ac:dyDescent="0.25">
      <c r="B15" s="21" t="s">
        <v>2</v>
      </c>
      <c r="C15" s="21" t="s">
        <v>15</v>
      </c>
      <c r="D15" s="22" t="s">
        <v>16</v>
      </c>
      <c r="E15" s="21" t="s">
        <v>17</v>
      </c>
      <c r="F15" s="21" t="s">
        <v>18</v>
      </c>
      <c r="G15" s="21" t="s">
        <v>19</v>
      </c>
      <c r="H15" s="21" t="s">
        <v>20</v>
      </c>
      <c r="I15" s="21" t="s">
        <v>21</v>
      </c>
      <c r="J15" s="21" t="s">
        <v>22</v>
      </c>
      <c r="K15" s="23" t="s">
        <v>23</v>
      </c>
      <c r="L15" s="21" t="s">
        <v>24</v>
      </c>
      <c r="M15" s="21" t="s">
        <v>25</v>
      </c>
      <c r="N15" s="21" t="s">
        <v>26</v>
      </c>
    </row>
    <row r="16" spans="2:14" x14ac:dyDescent="0.25">
      <c r="B16" s="24" t="s">
        <v>7</v>
      </c>
      <c r="C16" s="25" t="str">
        <f t="shared" ref="C16:C19" si="5">$C$7</f>
        <v>Task 4 - Ad Hoc Analysis</v>
      </c>
      <c r="D16" s="26" t="s">
        <v>28</v>
      </c>
      <c r="E16" s="27" t="str">
        <f>E7</f>
        <v>Sr. Health Data Scientist</v>
      </c>
      <c r="F16" s="28" t="str">
        <f>VLOOKUP(D16,'Level of Effort'!$D:$G,3,FALSE)</f>
        <v>Prime</v>
      </c>
      <c r="G16" s="28" t="str">
        <f>VLOOKUP(D16,'Level of Effort'!$D:$G,4,FALSE)</f>
        <v>Vendor</v>
      </c>
      <c r="H16" s="29">
        <f>VLOOKUP(E16,'Vendor GSA MAS 541611 Rates'!$C:$H,5,FALSE)</f>
        <v>22</v>
      </c>
      <c r="I16" s="30">
        <v>0.01</v>
      </c>
      <c r="J16" s="29">
        <f>ROUND(H16-H16*I16,2)</f>
        <v>21.78</v>
      </c>
      <c r="K16" s="31">
        <f>SUMIFS('Level of Effort'!$K:$K,'Level of Effort'!$C:$C,$B16,'Level of Effort'!$D:$D,$D16)</f>
        <v>10</v>
      </c>
      <c r="L16" s="32">
        <f>1880</f>
        <v>1880</v>
      </c>
      <c r="M16" s="33">
        <f>K16/L16</f>
        <v>5.3191489361702126E-3</v>
      </c>
      <c r="N16" s="29">
        <f>J16*K16</f>
        <v>217.8</v>
      </c>
    </row>
    <row r="17" spans="2:14" x14ac:dyDescent="0.25">
      <c r="B17" s="24" t="str">
        <f t="shared" ref="B17:B19" si="6">B16</f>
        <v>0002</v>
      </c>
      <c r="C17" s="25" t="str">
        <f t="shared" si="5"/>
        <v>Task 4 - Ad Hoc Analysis</v>
      </c>
      <c r="D17" s="26" t="s">
        <v>29</v>
      </c>
      <c r="E17" s="27" t="str">
        <f>E8</f>
        <v>Sr. Health Research Analyst</v>
      </c>
      <c r="F17" s="28" t="str">
        <f>VLOOKUP(D17,'Level of Effort'!$D:$G,3,FALSE)</f>
        <v>Prime</v>
      </c>
      <c r="G17" s="28" t="str">
        <f>VLOOKUP(D17,'Level of Effort'!$D:$G,4,FALSE)</f>
        <v>Vendor</v>
      </c>
      <c r="H17" s="29">
        <f>VLOOKUP(E17,'Vendor GSA MAS 541611 Rates'!$C:$H,5,FALSE)</f>
        <v>16</v>
      </c>
      <c r="I17" s="30">
        <v>0.01</v>
      </c>
      <c r="J17" s="29">
        <f t="shared" ref="J17:J19" si="7">ROUND(H17-H17*I17,2)</f>
        <v>15.84</v>
      </c>
      <c r="K17" s="31">
        <f>SUMIFS('Level of Effort'!$K:$K,'Level of Effort'!$C:$C,$B17,'Level of Effort'!$D:$D,$D17)</f>
        <v>10</v>
      </c>
      <c r="L17" s="32">
        <f>1880</f>
        <v>1880</v>
      </c>
      <c r="M17" s="33">
        <f t="shared" ref="M17:M19" si="8">K17/L17</f>
        <v>5.3191489361702126E-3</v>
      </c>
      <c r="N17" s="34">
        <f t="shared" ref="N17:N19" si="9">J17*K17</f>
        <v>158.4</v>
      </c>
    </row>
    <row r="18" spans="2:14" x14ac:dyDescent="0.25">
      <c r="B18" s="24" t="str">
        <f t="shared" si="6"/>
        <v>0002</v>
      </c>
      <c r="C18" s="25" t="str">
        <f t="shared" si="5"/>
        <v>Task 4 - Ad Hoc Analysis</v>
      </c>
      <c r="D18" s="26" t="s">
        <v>30</v>
      </c>
      <c r="E18" s="27" t="str">
        <f>E9</f>
        <v>Sr. Health Informatics Developer</v>
      </c>
      <c r="F18" s="28" t="str">
        <f>VLOOKUP(D18,'Level of Effort'!$D:$G,3,FALSE)</f>
        <v>Subcontractor</v>
      </c>
      <c r="G18" s="28" t="str">
        <f>VLOOKUP(D18,'Level of Effort'!$D:$G,4,FALSE)</f>
        <v>Sub</v>
      </c>
      <c r="H18" s="29">
        <f>VLOOKUP(E18,'Vendor GSA MAS 541611 Rates'!$C:$H,5,FALSE)</f>
        <v>15</v>
      </c>
      <c r="I18" s="30">
        <v>0.01</v>
      </c>
      <c r="J18" s="29">
        <f t="shared" si="7"/>
        <v>14.85</v>
      </c>
      <c r="K18" s="31">
        <f>SUMIFS('Level of Effort'!$K:$K,'Level of Effort'!$C:$C,$B18,'Level of Effort'!$D:$D,$D18)</f>
        <v>10</v>
      </c>
      <c r="L18" s="32">
        <f>1880</f>
        <v>1880</v>
      </c>
      <c r="M18" s="33">
        <f t="shared" si="8"/>
        <v>5.3191489361702126E-3</v>
      </c>
      <c r="N18" s="34">
        <f t="shared" si="9"/>
        <v>148.5</v>
      </c>
    </row>
    <row r="19" spans="2:14" x14ac:dyDescent="0.25">
      <c r="B19" s="24" t="str">
        <f t="shared" si="6"/>
        <v>0002</v>
      </c>
      <c r="C19" s="25" t="str">
        <f t="shared" si="5"/>
        <v>Task 4 - Ad Hoc Analysis</v>
      </c>
      <c r="D19" s="26" t="s">
        <v>31</v>
      </c>
      <c r="E19" s="27" t="str">
        <f>E10</f>
        <v>Subject Matter Expert</v>
      </c>
      <c r="F19" s="28" t="str">
        <f>VLOOKUP(D19,'Level of Effort'!$D:$G,3,FALSE)</f>
        <v>Prime</v>
      </c>
      <c r="G19" s="28" t="str">
        <f>VLOOKUP(D19,'Level of Effort'!$D:$G,4,FALSE)</f>
        <v>Vendor</v>
      </c>
      <c r="H19" s="29">
        <f>VLOOKUP(E19,'Vendor GSA MAS 541611 Rates'!$C:$H,5,FALSE)</f>
        <v>13</v>
      </c>
      <c r="I19" s="30">
        <v>0.01</v>
      </c>
      <c r="J19" s="29">
        <f t="shared" si="7"/>
        <v>12.87</v>
      </c>
      <c r="K19" s="31">
        <f>SUMIFS('Level of Effort'!$K:$K,'Level of Effort'!$C:$C,$B19,'Level of Effort'!$D:$D,$D19)</f>
        <v>10</v>
      </c>
      <c r="L19" s="32">
        <f>1880</f>
        <v>1880</v>
      </c>
      <c r="M19" s="33">
        <f t="shared" si="8"/>
        <v>5.3191489361702126E-3</v>
      </c>
      <c r="N19" s="34">
        <f t="shared" si="9"/>
        <v>128.69999999999999</v>
      </c>
    </row>
    <row r="20" spans="2:14" ht="5.0999999999999996" customHeight="1" x14ac:dyDescent="0.25">
      <c r="B20" s="35"/>
      <c r="C20" s="27"/>
      <c r="D20" s="36"/>
      <c r="E20" s="27"/>
      <c r="F20" s="35"/>
      <c r="G20" s="35"/>
      <c r="H20" s="34"/>
      <c r="I20" s="37"/>
      <c r="J20" s="34"/>
      <c r="K20" s="38"/>
      <c r="L20" s="39"/>
      <c r="M20" s="39"/>
      <c r="N20" s="34"/>
    </row>
    <row r="21" spans="2:14" x14ac:dyDescent="0.25">
      <c r="B21" s="40" t="str">
        <f>"Total "&amp;B16&amp;":"&amp;C16</f>
        <v>Total 0002:Task 4 - Ad Hoc Analysis</v>
      </c>
      <c r="C21" s="41"/>
      <c r="D21" s="42"/>
      <c r="E21" s="41"/>
      <c r="F21" s="40"/>
      <c r="G21" s="40"/>
      <c r="H21" s="43"/>
      <c r="I21" s="44"/>
      <c r="J21" s="43"/>
      <c r="K21" s="45">
        <f>SUM(K16:K20)</f>
        <v>40</v>
      </c>
      <c r="L21" s="46"/>
      <c r="M21" s="46"/>
      <c r="N21" s="43">
        <f>SUM(N16:N20)</f>
        <v>653.40000000000009</v>
      </c>
    </row>
    <row r="23" spans="2:14" s="1" customFormat="1" x14ac:dyDescent="0.25">
      <c r="B23" s="14" t="s">
        <v>8</v>
      </c>
      <c r="D23" s="18"/>
      <c r="E23" s="19"/>
      <c r="K23" s="20"/>
    </row>
    <row r="24" spans="2:14" ht="47.25" x14ac:dyDescent="0.25">
      <c r="B24" s="21" t="s">
        <v>2</v>
      </c>
      <c r="C24" s="21" t="s">
        <v>15</v>
      </c>
      <c r="D24" s="22" t="s">
        <v>16</v>
      </c>
      <c r="E24" s="21" t="s">
        <v>17</v>
      </c>
      <c r="F24" s="21" t="s">
        <v>18</v>
      </c>
      <c r="G24" s="21" t="s">
        <v>19</v>
      </c>
      <c r="H24" s="21" t="s">
        <v>20</v>
      </c>
      <c r="I24" s="21" t="s">
        <v>21</v>
      </c>
      <c r="J24" s="21" t="s">
        <v>22</v>
      </c>
      <c r="K24" s="23" t="s">
        <v>23</v>
      </c>
      <c r="L24" s="21" t="s">
        <v>24</v>
      </c>
      <c r="M24" s="21" t="s">
        <v>25</v>
      </c>
      <c r="N24" s="21" t="s">
        <v>26</v>
      </c>
    </row>
    <row r="25" spans="2:14" x14ac:dyDescent="0.25">
      <c r="B25" s="24" t="s">
        <v>9</v>
      </c>
      <c r="C25" s="25" t="str">
        <f t="shared" ref="C25:C28" si="10">$C$7</f>
        <v>Task 4 - Ad Hoc Analysis</v>
      </c>
      <c r="D25" s="26" t="s">
        <v>28</v>
      </c>
      <c r="E25" s="27" t="str">
        <f>E16</f>
        <v>Sr. Health Data Scientist</v>
      </c>
      <c r="F25" s="28" t="str">
        <f>VLOOKUP(D25,'Level of Effort'!$D:$G,3,FALSE)</f>
        <v>Prime</v>
      </c>
      <c r="G25" s="28" t="str">
        <f>VLOOKUP(D25,'Level of Effort'!$D:$G,4,FALSE)</f>
        <v>Vendor</v>
      </c>
      <c r="H25" s="29">
        <f>VLOOKUP(E25,'Vendor GSA MAS 541611 Rates'!$C:$H,6,FALSE)</f>
        <v>23</v>
      </c>
      <c r="I25" s="30">
        <v>0.01</v>
      </c>
      <c r="J25" s="29">
        <f>ROUND(H25-H25*I25,2)</f>
        <v>22.77</v>
      </c>
      <c r="K25" s="31">
        <f>SUMIFS('Level of Effort'!$K:$K,'Level of Effort'!$C:$C,$B25,'Level of Effort'!$D:$D,$D25)</f>
        <v>10</v>
      </c>
      <c r="L25" s="32">
        <f>1880</f>
        <v>1880</v>
      </c>
      <c r="M25" s="33">
        <f>K25/L25</f>
        <v>5.3191489361702126E-3</v>
      </c>
      <c r="N25" s="29">
        <f>J25*K25</f>
        <v>227.7</v>
      </c>
    </row>
    <row r="26" spans="2:14" x14ac:dyDescent="0.25">
      <c r="B26" s="24" t="str">
        <f t="shared" ref="B26:B28" si="11">B25</f>
        <v>0003</v>
      </c>
      <c r="C26" s="25" t="str">
        <f t="shared" si="10"/>
        <v>Task 4 - Ad Hoc Analysis</v>
      </c>
      <c r="D26" s="26" t="s">
        <v>29</v>
      </c>
      <c r="E26" s="27" t="str">
        <f>E17</f>
        <v>Sr. Health Research Analyst</v>
      </c>
      <c r="F26" s="28" t="str">
        <f>VLOOKUP(D26,'Level of Effort'!$D:$G,3,FALSE)</f>
        <v>Prime</v>
      </c>
      <c r="G26" s="28" t="str">
        <f>VLOOKUP(D26,'Level of Effort'!$D:$G,4,FALSE)</f>
        <v>Vendor</v>
      </c>
      <c r="H26" s="29">
        <f>VLOOKUP(E26,'Vendor GSA MAS 541611 Rates'!$C:$H,6,FALSE)</f>
        <v>17</v>
      </c>
      <c r="I26" s="30">
        <v>0.01</v>
      </c>
      <c r="J26" s="29">
        <f t="shared" ref="J26:J28" si="12">ROUND(H26-H26*I26,2)</f>
        <v>16.829999999999998</v>
      </c>
      <c r="K26" s="31">
        <f>SUMIFS('Level of Effort'!$K:$K,'Level of Effort'!$C:$C,$B26,'Level of Effort'!$D:$D,$D26)</f>
        <v>10</v>
      </c>
      <c r="L26" s="32">
        <f>1880</f>
        <v>1880</v>
      </c>
      <c r="M26" s="33">
        <f t="shared" ref="M26:M28" si="13">K26/L26</f>
        <v>5.3191489361702126E-3</v>
      </c>
      <c r="N26" s="34">
        <f t="shared" ref="N26:N28" si="14">J26*K26</f>
        <v>168.29999999999998</v>
      </c>
    </row>
    <row r="27" spans="2:14" x14ac:dyDescent="0.25">
      <c r="B27" s="24" t="str">
        <f t="shared" si="11"/>
        <v>0003</v>
      </c>
      <c r="C27" s="25" t="str">
        <f t="shared" si="10"/>
        <v>Task 4 - Ad Hoc Analysis</v>
      </c>
      <c r="D27" s="26" t="s">
        <v>30</v>
      </c>
      <c r="E27" s="27" t="str">
        <f>E18</f>
        <v>Sr. Health Informatics Developer</v>
      </c>
      <c r="F27" s="28" t="str">
        <f>VLOOKUP(D27,'Level of Effort'!$D:$G,3,FALSE)</f>
        <v>Subcontractor</v>
      </c>
      <c r="G27" s="28" t="str">
        <f>VLOOKUP(D27,'Level of Effort'!$D:$G,4,FALSE)</f>
        <v>Sub</v>
      </c>
      <c r="H27" s="29">
        <f>VLOOKUP(E27,'Vendor GSA MAS 541611 Rates'!$C:$H,6,FALSE)</f>
        <v>16</v>
      </c>
      <c r="I27" s="30">
        <v>0.01</v>
      </c>
      <c r="J27" s="29">
        <f t="shared" si="12"/>
        <v>15.84</v>
      </c>
      <c r="K27" s="31">
        <f>SUMIFS('Level of Effort'!$K:$K,'Level of Effort'!$C:$C,$B27,'Level of Effort'!$D:$D,$D27)</f>
        <v>10</v>
      </c>
      <c r="L27" s="32">
        <f>1880</f>
        <v>1880</v>
      </c>
      <c r="M27" s="33">
        <f t="shared" si="13"/>
        <v>5.3191489361702126E-3</v>
      </c>
      <c r="N27" s="34">
        <f t="shared" si="14"/>
        <v>158.4</v>
      </c>
    </row>
    <row r="28" spans="2:14" x14ac:dyDescent="0.25">
      <c r="B28" s="24" t="str">
        <f t="shared" si="11"/>
        <v>0003</v>
      </c>
      <c r="C28" s="25" t="str">
        <f t="shared" si="10"/>
        <v>Task 4 - Ad Hoc Analysis</v>
      </c>
      <c r="D28" s="26" t="s">
        <v>31</v>
      </c>
      <c r="E28" s="27" t="str">
        <f>E19</f>
        <v>Subject Matter Expert</v>
      </c>
      <c r="F28" s="28" t="str">
        <f>VLOOKUP(D28,'Level of Effort'!$D:$G,3,FALSE)</f>
        <v>Prime</v>
      </c>
      <c r="G28" s="28" t="str">
        <f>VLOOKUP(D28,'Level of Effort'!$D:$G,4,FALSE)</f>
        <v>Vendor</v>
      </c>
      <c r="H28" s="29">
        <f>VLOOKUP(E28,'Vendor GSA MAS 541611 Rates'!$C:$H,6,FALSE)</f>
        <v>14</v>
      </c>
      <c r="I28" s="30">
        <v>0.01</v>
      </c>
      <c r="J28" s="29">
        <f t="shared" si="12"/>
        <v>13.86</v>
      </c>
      <c r="K28" s="31">
        <f>SUMIFS('Level of Effort'!$K:$K,'Level of Effort'!$C:$C,$B28,'Level of Effort'!$D:$D,$D28)</f>
        <v>10</v>
      </c>
      <c r="L28" s="32">
        <f>1880</f>
        <v>1880</v>
      </c>
      <c r="M28" s="33">
        <f t="shared" si="13"/>
        <v>5.3191489361702126E-3</v>
      </c>
      <c r="N28" s="34">
        <f t="shared" si="14"/>
        <v>138.6</v>
      </c>
    </row>
    <row r="29" spans="2:14" ht="5.0999999999999996" customHeight="1" x14ac:dyDescent="0.25">
      <c r="B29" s="35"/>
      <c r="C29" s="27"/>
      <c r="D29" s="36"/>
      <c r="E29" s="27"/>
      <c r="F29" s="35"/>
      <c r="G29" s="35"/>
      <c r="H29" s="34"/>
      <c r="I29" s="37"/>
      <c r="J29" s="34"/>
      <c r="K29" s="38"/>
      <c r="L29" s="39"/>
      <c r="M29" s="39"/>
      <c r="N29" s="34"/>
    </row>
    <row r="30" spans="2:14" x14ac:dyDescent="0.25">
      <c r="B30" s="40" t="str">
        <f>"Total "&amp;B25&amp;":"&amp;C25</f>
        <v>Total 0003:Task 4 - Ad Hoc Analysis</v>
      </c>
      <c r="C30" s="41"/>
      <c r="D30" s="42"/>
      <c r="E30" s="41"/>
      <c r="F30" s="40"/>
      <c r="G30" s="40"/>
      <c r="H30" s="43"/>
      <c r="I30" s="44"/>
      <c r="J30" s="43"/>
      <c r="K30" s="45">
        <f>SUM(K25:K29)</f>
        <v>40</v>
      </c>
      <c r="L30" s="46"/>
      <c r="M30" s="46"/>
      <c r="N30" s="43">
        <f>SUM(N25:N29)</f>
        <v>693</v>
      </c>
    </row>
    <row r="32" spans="2:14" s="1" customFormat="1" x14ac:dyDescent="0.25">
      <c r="B32" s="14" t="s">
        <v>10</v>
      </c>
      <c r="D32" s="18"/>
      <c r="E32" s="19"/>
      <c r="K32" s="20"/>
    </row>
    <row r="33" spans="2:14" ht="47.25" x14ac:dyDescent="0.25">
      <c r="B33" s="21" t="s">
        <v>2</v>
      </c>
      <c r="C33" s="21" t="s">
        <v>15</v>
      </c>
      <c r="D33" s="22" t="s">
        <v>16</v>
      </c>
      <c r="E33" s="21" t="s">
        <v>17</v>
      </c>
      <c r="F33" s="21" t="s">
        <v>18</v>
      </c>
      <c r="G33" s="21" t="s">
        <v>19</v>
      </c>
      <c r="H33" s="21" t="s">
        <v>20</v>
      </c>
      <c r="I33" s="21" t="s">
        <v>21</v>
      </c>
      <c r="J33" s="21" t="s">
        <v>22</v>
      </c>
      <c r="K33" s="23" t="s">
        <v>23</v>
      </c>
      <c r="L33" s="21" t="s">
        <v>24</v>
      </c>
      <c r="M33" s="21" t="s">
        <v>25</v>
      </c>
      <c r="N33" s="21" t="s">
        <v>26</v>
      </c>
    </row>
    <row r="34" spans="2:14" x14ac:dyDescent="0.25">
      <c r="B34" s="24" t="s">
        <v>11</v>
      </c>
      <c r="C34" s="25" t="str">
        <f t="shared" ref="C34:C37" si="15">$C$7</f>
        <v>Task 4 - Ad Hoc Analysis</v>
      </c>
      <c r="D34" s="26" t="s">
        <v>28</v>
      </c>
      <c r="E34" s="27" t="str">
        <f>E25</f>
        <v>Sr. Health Data Scientist</v>
      </c>
      <c r="F34" s="28" t="str">
        <f>VLOOKUP(D34,'Level of Effort'!$D:$G,3,FALSE)</f>
        <v>Prime</v>
      </c>
      <c r="G34" s="28" t="str">
        <f>VLOOKUP(D34,'Level of Effort'!$D:$G,4,FALSE)</f>
        <v>Vendor</v>
      </c>
      <c r="H34" s="29">
        <f>VLOOKUP(E34,'Vendor GSA MAS 541611 Rates'!$C:$H,6,FALSE)</f>
        <v>23</v>
      </c>
      <c r="I34" s="30">
        <v>0.01</v>
      </c>
      <c r="J34" s="29">
        <f>ROUND(H34-H34*I34,2)</f>
        <v>22.77</v>
      </c>
      <c r="K34" s="31">
        <f>SUMIFS('Level of Effort'!$K:$K,'Level of Effort'!$C:$C,$B34,'Level of Effort'!$D:$D,$D34)</f>
        <v>10</v>
      </c>
      <c r="L34" s="32">
        <f>1880</f>
        <v>1880</v>
      </c>
      <c r="M34" s="33">
        <f>K34/L34</f>
        <v>5.3191489361702126E-3</v>
      </c>
      <c r="N34" s="29">
        <f>J34*K34</f>
        <v>227.7</v>
      </c>
    </row>
    <row r="35" spans="2:14" x14ac:dyDescent="0.25">
      <c r="B35" s="24" t="str">
        <f t="shared" ref="B35:B37" si="16">B34</f>
        <v>0004</v>
      </c>
      <c r="C35" s="25" t="str">
        <f t="shared" si="15"/>
        <v>Task 4 - Ad Hoc Analysis</v>
      </c>
      <c r="D35" s="26" t="s">
        <v>29</v>
      </c>
      <c r="E35" s="27" t="str">
        <f>E26</f>
        <v>Sr. Health Research Analyst</v>
      </c>
      <c r="F35" s="28" t="str">
        <f>VLOOKUP(D35,'Level of Effort'!$D:$G,3,FALSE)</f>
        <v>Prime</v>
      </c>
      <c r="G35" s="28" t="str">
        <f>VLOOKUP(D35,'Level of Effort'!$D:$G,4,FALSE)</f>
        <v>Vendor</v>
      </c>
      <c r="H35" s="29">
        <f>VLOOKUP(E35,'Vendor GSA MAS 541611 Rates'!$C:$H,6,FALSE)</f>
        <v>17</v>
      </c>
      <c r="I35" s="30">
        <v>0.01</v>
      </c>
      <c r="J35" s="29">
        <f t="shared" ref="J35:J37" si="17">ROUND(H35-H35*I35,2)</f>
        <v>16.829999999999998</v>
      </c>
      <c r="K35" s="31">
        <f>SUMIFS('Level of Effort'!$K:$K,'Level of Effort'!$C:$C,$B35,'Level of Effort'!$D:$D,$D35)</f>
        <v>10</v>
      </c>
      <c r="L35" s="32">
        <f>1880</f>
        <v>1880</v>
      </c>
      <c r="M35" s="33">
        <f t="shared" ref="M35:M37" si="18">K35/L35</f>
        <v>5.3191489361702126E-3</v>
      </c>
      <c r="N35" s="34">
        <f t="shared" ref="N35:N37" si="19">J35*K35</f>
        <v>168.29999999999998</v>
      </c>
    </row>
    <row r="36" spans="2:14" x14ac:dyDescent="0.25">
      <c r="B36" s="24" t="str">
        <f t="shared" si="16"/>
        <v>0004</v>
      </c>
      <c r="C36" s="25" t="str">
        <f t="shared" si="15"/>
        <v>Task 4 - Ad Hoc Analysis</v>
      </c>
      <c r="D36" s="26" t="s">
        <v>30</v>
      </c>
      <c r="E36" s="27" t="str">
        <f>E27</f>
        <v>Sr. Health Informatics Developer</v>
      </c>
      <c r="F36" s="28" t="str">
        <f>VLOOKUP(D36,'Level of Effort'!$D:$G,3,FALSE)</f>
        <v>Subcontractor</v>
      </c>
      <c r="G36" s="28" t="str">
        <f>VLOOKUP(D36,'Level of Effort'!$D:$G,4,FALSE)</f>
        <v>Sub</v>
      </c>
      <c r="H36" s="29">
        <f>VLOOKUP(E36,'Vendor GSA MAS 541611 Rates'!$C:$H,6,FALSE)</f>
        <v>16</v>
      </c>
      <c r="I36" s="30">
        <v>0.01</v>
      </c>
      <c r="J36" s="29">
        <f t="shared" si="17"/>
        <v>15.84</v>
      </c>
      <c r="K36" s="31">
        <f>SUMIFS('Level of Effort'!$K:$K,'Level of Effort'!$C:$C,$B36,'Level of Effort'!$D:$D,$D36)</f>
        <v>10</v>
      </c>
      <c r="L36" s="32">
        <f>1880</f>
        <v>1880</v>
      </c>
      <c r="M36" s="33">
        <f t="shared" si="18"/>
        <v>5.3191489361702126E-3</v>
      </c>
      <c r="N36" s="34">
        <f t="shared" si="19"/>
        <v>158.4</v>
      </c>
    </row>
    <row r="37" spans="2:14" x14ac:dyDescent="0.25">
      <c r="B37" s="24" t="str">
        <f t="shared" si="16"/>
        <v>0004</v>
      </c>
      <c r="C37" s="25" t="str">
        <f t="shared" si="15"/>
        <v>Task 4 - Ad Hoc Analysis</v>
      </c>
      <c r="D37" s="26" t="s">
        <v>31</v>
      </c>
      <c r="E37" s="27" t="str">
        <f>E28</f>
        <v>Subject Matter Expert</v>
      </c>
      <c r="F37" s="28" t="str">
        <f>VLOOKUP(D37,'Level of Effort'!$D:$G,3,FALSE)</f>
        <v>Prime</v>
      </c>
      <c r="G37" s="28" t="str">
        <f>VLOOKUP(D37,'Level of Effort'!$D:$G,4,FALSE)</f>
        <v>Vendor</v>
      </c>
      <c r="H37" s="29">
        <f>VLOOKUP(E37,'Vendor GSA MAS 541611 Rates'!$C:$H,6,FALSE)</f>
        <v>14</v>
      </c>
      <c r="I37" s="30">
        <v>0.01</v>
      </c>
      <c r="J37" s="29">
        <f t="shared" si="17"/>
        <v>13.86</v>
      </c>
      <c r="K37" s="31">
        <f>SUMIFS('Level of Effort'!$K:$K,'Level of Effort'!$C:$C,$B37,'Level of Effort'!$D:$D,$D37)</f>
        <v>10</v>
      </c>
      <c r="L37" s="32">
        <f>1880</f>
        <v>1880</v>
      </c>
      <c r="M37" s="33">
        <f t="shared" si="18"/>
        <v>5.3191489361702126E-3</v>
      </c>
      <c r="N37" s="34">
        <f t="shared" si="19"/>
        <v>138.6</v>
      </c>
    </row>
    <row r="38" spans="2:14" ht="5.0999999999999996" customHeight="1" x14ac:dyDescent="0.25">
      <c r="B38" s="35"/>
      <c r="C38" s="27"/>
      <c r="D38" s="36"/>
      <c r="E38" s="27"/>
      <c r="F38" s="35"/>
      <c r="G38" s="35"/>
      <c r="H38" s="34"/>
      <c r="I38" s="37"/>
      <c r="J38" s="34"/>
      <c r="K38" s="38"/>
      <c r="L38" s="39"/>
      <c r="M38" s="39"/>
      <c r="N38" s="34"/>
    </row>
    <row r="39" spans="2:14" x14ac:dyDescent="0.25">
      <c r="B39" s="40" t="str">
        <f>"Total "&amp;B34&amp;":"&amp;C34</f>
        <v>Total 0004:Task 4 - Ad Hoc Analysis</v>
      </c>
      <c r="C39" s="41"/>
      <c r="D39" s="42"/>
      <c r="E39" s="41"/>
      <c r="F39" s="40"/>
      <c r="G39" s="40"/>
      <c r="H39" s="43"/>
      <c r="I39" s="44"/>
      <c r="J39" s="43"/>
      <c r="K39" s="45">
        <f>SUM(K34:K38)</f>
        <v>40</v>
      </c>
      <c r="L39" s="46"/>
      <c r="M39" s="46"/>
      <c r="N39" s="43">
        <f>SUM(N34:N38)</f>
        <v>693</v>
      </c>
    </row>
    <row r="41" spans="2:14" s="1" customFormat="1" x14ac:dyDescent="0.25">
      <c r="B41" s="14" t="s">
        <v>12</v>
      </c>
      <c r="D41" s="18"/>
      <c r="E41" s="19"/>
      <c r="K41" s="20"/>
    </row>
    <row r="42" spans="2:14" ht="47.25" x14ac:dyDescent="0.25">
      <c r="B42" s="21" t="s">
        <v>2</v>
      </c>
      <c r="C42" s="21" t="s">
        <v>15</v>
      </c>
      <c r="D42" s="22" t="s">
        <v>16</v>
      </c>
      <c r="E42" s="21" t="s">
        <v>17</v>
      </c>
      <c r="F42" s="21" t="s">
        <v>18</v>
      </c>
      <c r="G42" s="21" t="s">
        <v>19</v>
      </c>
      <c r="H42" s="21" t="s">
        <v>20</v>
      </c>
      <c r="I42" s="21" t="s">
        <v>21</v>
      </c>
      <c r="J42" s="21" t="s">
        <v>22</v>
      </c>
      <c r="K42" s="23" t="s">
        <v>23</v>
      </c>
      <c r="L42" s="21" t="s">
        <v>24</v>
      </c>
      <c r="M42" s="21" t="s">
        <v>25</v>
      </c>
      <c r="N42" s="21" t="s">
        <v>26</v>
      </c>
    </row>
    <row r="43" spans="2:14" x14ac:dyDescent="0.25">
      <c r="B43" s="24" t="s">
        <v>13</v>
      </c>
      <c r="C43" s="25" t="str">
        <f t="shared" ref="C43:C46" si="20">$C$7</f>
        <v>Task 4 - Ad Hoc Analysis</v>
      </c>
      <c r="D43" s="26" t="s">
        <v>28</v>
      </c>
      <c r="E43" s="27" t="str">
        <f>E34</f>
        <v>Sr. Health Data Scientist</v>
      </c>
      <c r="F43" s="28" t="str">
        <f>VLOOKUP(D43,'Level of Effort'!$D:$G,3,FALSE)</f>
        <v>Prime</v>
      </c>
      <c r="G43" s="28" t="str">
        <f>VLOOKUP(D43,'Level of Effort'!$D:$G,4,FALSE)</f>
        <v>Vendor</v>
      </c>
      <c r="H43" s="29">
        <f>VLOOKUP(E43,'Vendor GSA MAS 541611 Rates'!$C:$H,6,FALSE)</f>
        <v>23</v>
      </c>
      <c r="I43" s="30">
        <v>0.01</v>
      </c>
      <c r="J43" s="29">
        <f>ROUND(H43-H43*I43,2)</f>
        <v>22.77</v>
      </c>
      <c r="K43" s="31">
        <f>SUMIFS('Level of Effort'!$K:$K,'Level of Effort'!$C:$C,$B43,'Level of Effort'!$D:$D,$D43)</f>
        <v>10</v>
      </c>
      <c r="L43" s="32">
        <f>1880</f>
        <v>1880</v>
      </c>
      <c r="M43" s="33">
        <f>K43/L43</f>
        <v>5.3191489361702126E-3</v>
      </c>
      <c r="N43" s="29">
        <f>J43*K43</f>
        <v>227.7</v>
      </c>
    </row>
    <row r="44" spans="2:14" x14ac:dyDescent="0.25">
      <c r="B44" s="24" t="str">
        <f t="shared" ref="B44:B46" si="21">B43</f>
        <v>0005</v>
      </c>
      <c r="C44" s="25" t="str">
        <f t="shared" si="20"/>
        <v>Task 4 - Ad Hoc Analysis</v>
      </c>
      <c r="D44" s="26" t="s">
        <v>29</v>
      </c>
      <c r="E44" s="27" t="str">
        <f>E35</f>
        <v>Sr. Health Research Analyst</v>
      </c>
      <c r="F44" s="28" t="str">
        <f>VLOOKUP(D44,'Level of Effort'!$D:$G,3,FALSE)</f>
        <v>Prime</v>
      </c>
      <c r="G44" s="28" t="str">
        <f>VLOOKUP(D44,'Level of Effort'!$D:$G,4,FALSE)</f>
        <v>Vendor</v>
      </c>
      <c r="H44" s="29">
        <f>VLOOKUP(E44,'Vendor GSA MAS 541611 Rates'!$C:$H,6,FALSE)</f>
        <v>17</v>
      </c>
      <c r="I44" s="30">
        <v>0.01</v>
      </c>
      <c r="J44" s="29">
        <f t="shared" ref="J44:J46" si="22">ROUND(H44-H44*I44,2)</f>
        <v>16.829999999999998</v>
      </c>
      <c r="K44" s="31">
        <f>SUMIFS('Level of Effort'!$K:$K,'Level of Effort'!$C:$C,$B44,'Level of Effort'!$D:$D,$D44)</f>
        <v>10</v>
      </c>
      <c r="L44" s="32">
        <f>1880</f>
        <v>1880</v>
      </c>
      <c r="M44" s="33">
        <f t="shared" ref="M44:M46" si="23">K44/L44</f>
        <v>5.3191489361702126E-3</v>
      </c>
      <c r="N44" s="34">
        <f t="shared" ref="N44:N46" si="24">J44*K44</f>
        <v>168.29999999999998</v>
      </c>
    </row>
    <row r="45" spans="2:14" x14ac:dyDescent="0.25">
      <c r="B45" s="24" t="str">
        <f t="shared" si="21"/>
        <v>0005</v>
      </c>
      <c r="C45" s="25" t="str">
        <f t="shared" si="20"/>
        <v>Task 4 - Ad Hoc Analysis</v>
      </c>
      <c r="D45" s="26" t="s">
        <v>30</v>
      </c>
      <c r="E45" s="27" t="str">
        <f>E36</f>
        <v>Sr. Health Informatics Developer</v>
      </c>
      <c r="F45" s="28" t="str">
        <f>VLOOKUP(D45,'Level of Effort'!$D:$G,3,FALSE)</f>
        <v>Subcontractor</v>
      </c>
      <c r="G45" s="28" t="str">
        <f>VLOOKUP(D45,'Level of Effort'!$D:$G,4,FALSE)</f>
        <v>Sub</v>
      </c>
      <c r="H45" s="29">
        <f>VLOOKUP(E45,'Vendor GSA MAS 541611 Rates'!$C:$H,6,FALSE)</f>
        <v>16</v>
      </c>
      <c r="I45" s="30">
        <v>0.01</v>
      </c>
      <c r="J45" s="29">
        <f t="shared" si="22"/>
        <v>15.84</v>
      </c>
      <c r="K45" s="31">
        <f>SUMIFS('Level of Effort'!$K:$K,'Level of Effort'!$C:$C,$B45,'Level of Effort'!$D:$D,$D45)</f>
        <v>10</v>
      </c>
      <c r="L45" s="32">
        <f>1880</f>
        <v>1880</v>
      </c>
      <c r="M45" s="33">
        <f t="shared" si="23"/>
        <v>5.3191489361702126E-3</v>
      </c>
      <c r="N45" s="34">
        <f t="shared" si="24"/>
        <v>158.4</v>
      </c>
    </row>
    <row r="46" spans="2:14" x14ac:dyDescent="0.25">
      <c r="B46" s="24" t="str">
        <f t="shared" si="21"/>
        <v>0005</v>
      </c>
      <c r="C46" s="25" t="str">
        <f t="shared" si="20"/>
        <v>Task 4 - Ad Hoc Analysis</v>
      </c>
      <c r="D46" s="26" t="s">
        <v>31</v>
      </c>
      <c r="E46" s="27" t="str">
        <f>E37</f>
        <v>Subject Matter Expert</v>
      </c>
      <c r="F46" s="28" t="str">
        <f>VLOOKUP(D46,'Level of Effort'!$D:$G,3,FALSE)</f>
        <v>Prime</v>
      </c>
      <c r="G46" s="28" t="str">
        <f>VLOOKUP(D46,'Level of Effort'!$D:$G,4,FALSE)</f>
        <v>Vendor</v>
      </c>
      <c r="H46" s="29">
        <f>VLOOKUP(E46,'Vendor GSA MAS 541611 Rates'!$C:$H,6,FALSE)</f>
        <v>14</v>
      </c>
      <c r="I46" s="30">
        <v>0.01</v>
      </c>
      <c r="J46" s="29">
        <f t="shared" si="22"/>
        <v>13.86</v>
      </c>
      <c r="K46" s="31">
        <f>SUMIFS('Level of Effort'!$K:$K,'Level of Effort'!$C:$C,$B46,'Level of Effort'!$D:$D,$D46)</f>
        <v>10</v>
      </c>
      <c r="L46" s="32">
        <f>1880</f>
        <v>1880</v>
      </c>
      <c r="M46" s="33">
        <f t="shared" si="23"/>
        <v>5.3191489361702126E-3</v>
      </c>
      <c r="N46" s="34">
        <f t="shared" si="24"/>
        <v>138.6</v>
      </c>
    </row>
    <row r="47" spans="2:14" ht="5.0999999999999996" customHeight="1" x14ac:dyDescent="0.25">
      <c r="B47" s="35"/>
      <c r="C47" s="27"/>
      <c r="D47" s="36"/>
      <c r="E47" s="27"/>
      <c r="F47" s="35"/>
      <c r="G47" s="35"/>
      <c r="H47" s="34"/>
      <c r="I47" s="37"/>
      <c r="J47" s="34"/>
      <c r="K47" s="38"/>
      <c r="L47" s="39"/>
      <c r="M47" s="39"/>
      <c r="N47" s="34"/>
    </row>
    <row r="48" spans="2:14" x14ac:dyDescent="0.25">
      <c r="B48" s="40" t="str">
        <f>"Total "&amp;B43&amp;":"&amp;C43</f>
        <v>Total 0005:Task 4 - Ad Hoc Analysis</v>
      </c>
      <c r="C48" s="41"/>
      <c r="D48" s="42"/>
      <c r="E48" s="41"/>
      <c r="F48" s="40"/>
      <c r="G48" s="40"/>
      <c r="H48" s="43"/>
      <c r="I48" s="44"/>
      <c r="J48" s="43"/>
      <c r="K48" s="45">
        <f>SUM(K43:K47)</f>
        <v>40</v>
      </c>
      <c r="L48" s="46"/>
      <c r="M48" s="46"/>
      <c r="N48" s="43">
        <f>SUM(N43:N47)</f>
        <v>693</v>
      </c>
    </row>
  </sheetData>
  <pageMargins left="1" right="1" top="1" bottom="1" header="0.5" footer="0.5"/>
  <pageSetup orientation="landscape" r:id="rId1"/>
  <headerFooter>
    <oddFooter>&amp;L&amp;"Arial Narrow,Italic"&amp;10Use or disclosure of data contained on this page is subject to the restriction on the cover sheet of this proposal or quotation.&amp;R
&amp;P of &amp;N</oddFooter>
  </headerFooter>
  <rowBreaks count="2" manualBreakCount="2">
    <brk id="22" min="1" max="13" man="1"/>
    <brk id="40" min="1" max="1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2B68-8295-4FB0-A074-BA8B5F49B702}">
  <sheetPr>
    <tabColor theme="4" tint="0.59999389629810485"/>
  </sheetPr>
  <dimension ref="B1:N41"/>
  <sheetViews>
    <sheetView zoomScaleNormal="100" zoomScaleSheetLayoutView="100" workbookViewId="0">
      <selection activeCell="H6" sqref="H6"/>
    </sheetView>
  </sheetViews>
  <sheetFormatPr defaultRowHeight="15.75" x14ac:dyDescent="0.25"/>
  <cols>
    <col min="1" max="1" width="4.625" customWidth="1"/>
    <col min="2" max="2" width="13.25" customWidth="1"/>
    <col min="3" max="3" width="5.75" bestFit="1" customWidth="1"/>
    <col min="4" max="4" width="14.25" bestFit="1" customWidth="1"/>
    <col min="5" max="5" width="33" bestFit="1" customWidth="1"/>
    <col min="6" max="6" width="13.125" customWidth="1"/>
    <col min="7" max="7" width="12.5" bestFit="1" customWidth="1"/>
    <col min="8" max="8" width="12.125" bestFit="1" customWidth="1"/>
    <col min="9" max="9" width="12.375" bestFit="1" customWidth="1"/>
    <col min="10" max="10" width="13.75" bestFit="1" customWidth="1"/>
    <col min="11" max="11" width="12.375" bestFit="1" customWidth="1"/>
    <col min="12" max="12" width="7.625" bestFit="1" customWidth="1"/>
    <col min="13" max="13" width="6.75" bestFit="1" customWidth="1"/>
    <col min="14" max="14" width="5.625" bestFit="1" customWidth="1"/>
  </cols>
  <sheetData>
    <row r="1" spans="2:14" x14ac:dyDescent="0.25">
      <c r="B1" s="14" t="s">
        <v>57</v>
      </c>
    </row>
    <row r="2" spans="2:14" x14ac:dyDescent="0.25">
      <c r="B2" s="14" t="s">
        <v>0</v>
      </c>
    </row>
    <row r="3" spans="2:14" x14ac:dyDescent="0.25">
      <c r="B3" s="1" t="str" cm="1">
        <f t="array" aca="1" ref="B3" ca="1">MID(CELL("filename",A2),FIND("]",CELL("filename",A2))+1,256)</f>
        <v>Level of Effort</v>
      </c>
    </row>
    <row r="5" spans="2:14" ht="63" x14ac:dyDescent="0.25">
      <c r="B5" s="21" t="s">
        <v>35</v>
      </c>
      <c r="C5" s="21" t="s">
        <v>2</v>
      </c>
      <c r="D5" s="21" t="s">
        <v>16</v>
      </c>
      <c r="E5" s="21" t="s">
        <v>36</v>
      </c>
      <c r="F5" s="21" t="s">
        <v>18</v>
      </c>
      <c r="G5" s="21" t="s">
        <v>19</v>
      </c>
      <c r="H5" s="21" t="s">
        <v>27</v>
      </c>
      <c r="I5" s="21" t="s">
        <v>32</v>
      </c>
      <c r="J5" s="21" t="s">
        <v>33</v>
      </c>
      <c r="K5" s="21" t="s">
        <v>34</v>
      </c>
      <c r="L5" s="21" t="s">
        <v>37</v>
      </c>
      <c r="M5" s="21" t="s">
        <v>24</v>
      </c>
      <c r="N5" s="50" t="s">
        <v>25</v>
      </c>
    </row>
    <row r="6" spans="2:14" x14ac:dyDescent="0.25">
      <c r="B6" s="51" t="s">
        <v>4</v>
      </c>
      <c r="C6" s="52" t="s">
        <v>5</v>
      </c>
      <c r="D6" s="53" t="s">
        <v>28</v>
      </c>
      <c r="E6" s="53" t="s">
        <v>53</v>
      </c>
      <c r="F6" s="54" t="s">
        <v>38</v>
      </c>
      <c r="G6" s="54" t="s">
        <v>58</v>
      </c>
      <c r="H6" s="55">
        <v>10</v>
      </c>
      <c r="I6" s="55">
        <v>10</v>
      </c>
      <c r="J6" s="55">
        <v>10</v>
      </c>
      <c r="K6" s="55">
        <v>10</v>
      </c>
      <c r="L6" s="32">
        <f>SUM(H6:K6)</f>
        <v>40</v>
      </c>
      <c r="M6" s="32">
        <f>1880</f>
        <v>1880</v>
      </c>
      <c r="N6" s="33">
        <f>L6/M6</f>
        <v>2.1276595744680851E-2</v>
      </c>
    </row>
    <row r="7" spans="2:14" x14ac:dyDescent="0.25">
      <c r="B7" s="51" t="s">
        <v>4</v>
      </c>
      <c r="C7" s="52" t="s">
        <v>5</v>
      </c>
      <c r="D7" s="53" t="s">
        <v>29</v>
      </c>
      <c r="E7" s="53" t="s">
        <v>49</v>
      </c>
      <c r="F7" s="54" t="s">
        <v>38</v>
      </c>
      <c r="G7" s="54" t="s">
        <v>58</v>
      </c>
      <c r="H7" s="55">
        <v>10</v>
      </c>
      <c r="I7" s="55">
        <v>10</v>
      </c>
      <c r="J7" s="55">
        <v>10</v>
      </c>
      <c r="K7" s="55">
        <v>10</v>
      </c>
      <c r="L7" s="32">
        <f>SUM(H7:K7)</f>
        <v>40</v>
      </c>
      <c r="M7" s="32">
        <f>1880</f>
        <v>1880</v>
      </c>
      <c r="N7" s="33">
        <f t="shared" ref="N7:N9" si="0">L7/M7</f>
        <v>2.1276595744680851E-2</v>
      </c>
    </row>
    <row r="8" spans="2:14" x14ac:dyDescent="0.25">
      <c r="B8" s="51" t="s">
        <v>4</v>
      </c>
      <c r="C8" s="52" t="s">
        <v>5</v>
      </c>
      <c r="D8" s="53" t="s">
        <v>30</v>
      </c>
      <c r="E8" s="53" t="s">
        <v>51</v>
      </c>
      <c r="F8" s="54" t="s">
        <v>39</v>
      </c>
      <c r="G8" s="54" t="s">
        <v>59</v>
      </c>
      <c r="H8" s="55">
        <v>10</v>
      </c>
      <c r="I8" s="55">
        <v>10</v>
      </c>
      <c r="J8" s="55">
        <v>10</v>
      </c>
      <c r="K8" s="55">
        <v>10</v>
      </c>
      <c r="L8" s="32">
        <f>SUM(H8:K8)</f>
        <v>40</v>
      </c>
      <c r="M8" s="32">
        <f>1880</f>
        <v>1880</v>
      </c>
      <c r="N8" s="33">
        <f t="shared" si="0"/>
        <v>2.1276595744680851E-2</v>
      </c>
    </row>
    <row r="9" spans="2:14" x14ac:dyDescent="0.25">
      <c r="B9" s="51" t="s">
        <v>4</v>
      </c>
      <c r="C9" s="52" t="s">
        <v>5</v>
      </c>
      <c r="D9" s="53" t="s">
        <v>31</v>
      </c>
      <c r="E9" s="53" t="s">
        <v>54</v>
      </c>
      <c r="F9" s="54" t="s">
        <v>38</v>
      </c>
      <c r="G9" s="54" t="s">
        <v>58</v>
      </c>
      <c r="H9" s="55">
        <v>10</v>
      </c>
      <c r="I9" s="55">
        <v>10</v>
      </c>
      <c r="J9" s="55">
        <v>10</v>
      </c>
      <c r="K9" s="55">
        <v>10</v>
      </c>
      <c r="L9" s="32">
        <f>SUM(H9:K9)</f>
        <v>40</v>
      </c>
      <c r="M9" s="32">
        <f>1880</f>
        <v>1880</v>
      </c>
      <c r="N9" s="33">
        <f t="shared" si="0"/>
        <v>2.1276595744680851E-2</v>
      </c>
    </row>
    <row r="10" spans="2:14" ht="5.0999999999999996" customHeight="1" x14ac:dyDescent="0.25">
      <c r="B10" s="51"/>
      <c r="C10" s="51"/>
      <c r="D10" s="53"/>
      <c r="E10" s="53"/>
      <c r="F10" s="54"/>
      <c r="G10" s="54"/>
      <c r="H10" s="56"/>
      <c r="I10" s="56"/>
      <c r="J10" s="56"/>
      <c r="K10" s="56"/>
      <c r="L10" s="57"/>
      <c r="M10" s="57"/>
      <c r="N10" s="58"/>
    </row>
    <row r="11" spans="2:14" x14ac:dyDescent="0.25">
      <c r="B11" s="59" t="str">
        <f>"Total Hours "&amp;" "&amp;B6</f>
        <v>Total Hours  Base Year</v>
      </c>
      <c r="C11" s="59"/>
      <c r="D11" s="60"/>
      <c r="E11" s="60"/>
      <c r="F11" s="61"/>
      <c r="G11" s="61"/>
      <c r="H11" s="62">
        <f t="shared" ref="H11:L11" si="1">SUM(H6:H10)</f>
        <v>40</v>
      </c>
      <c r="I11" s="62">
        <f t="shared" si="1"/>
        <v>40</v>
      </c>
      <c r="J11" s="62">
        <f t="shared" si="1"/>
        <v>40</v>
      </c>
      <c r="K11" s="62">
        <f t="shared" si="1"/>
        <v>40</v>
      </c>
      <c r="L11" s="62">
        <f t="shared" si="1"/>
        <v>160</v>
      </c>
      <c r="M11" s="62"/>
      <c r="N11" s="63">
        <f>SUM(N6:N10)</f>
        <v>8.5106382978723402E-2</v>
      </c>
    </row>
    <row r="12" spans="2:14" ht="5.0999999999999996" customHeight="1" x14ac:dyDescent="0.25">
      <c r="B12" s="51"/>
      <c r="C12" s="51"/>
      <c r="D12" s="53"/>
      <c r="E12" s="53"/>
      <c r="F12" s="54"/>
      <c r="G12" s="54"/>
      <c r="H12" s="56"/>
      <c r="I12" s="56"/>
      <c r="J12" s="56"/>
      <c r="K12" s="56"/>
      <c r="L12" s="57"/>
      <c r="M12" s="57"/>
      <c r="N12" s="58"/>
    </row>
    <row r="13" spans="2:14" x14ac:dyDescent="0.25">
      <c r="B13" s="51" t="s">
        <v>6</v>
      </c>
      <c r="C13" s="52" t="s">
        <v>7</v>
      </c>
      <c r="D13" s="53" t="s">
        <v>28</v>
      </c>
      <c r="E13" s="53" t="str">
        <f t="shared" ref="E13:G16" si="2">E6</f>
        <v>Sr. Health Data Scientist</v>
      </c>
      <c r="F13" s="54" t="str">
        <f t="shared" si="2"/>
        <v>Prime</v>
      </c>
      <c r="G13" s="54" t="str">
        <f t="shared" si="2"/>
        <v>Vendor</v>
      </c>
      <c r="H13" s="55">
        <v>10</v>
      </c>
      <c r="I13" s="55">
        <v>10</v>
      </c>
      <c r="J13" s="55">
        <v>10</v>
      </c>
      <c r="K13" s="55">
        <v>10</v>
      </c>
      <c r="L13" s="32">
        <f>SUM(H13:K13)</f>
        <v>40</v>
      </c>
      <c r="M13" s="32">
        <v>1880</v>
      </c>
      <c r="N13" s="33">
        <f>L13/M13</f>
        <v>2.1276595744680851E-2</v>
      </c>
    </row>
    <row r="14" spans="2:14" x14ac:dyDescent="0.25">
      <c r="B14" s="51" t="s">
        <v>6</v>
      </c>
      <c r="C14" s="52" t="s">
        <v>7</v>
      </c>
      <c r="D14" s="53" t="s">
        <v>29</v>
      </c>
      <c r="E14" s="53" t="str">
        <f t="shared" si="2"/>
        <v>Sr. Health Research Analyst</v>
      </c>
      <c r="F14" s="54" t="str">
        <f t="shared" si="2"/>
        <v>Prime</v>
      </c>
      <c r="G14" s="54" t="str">
        <f t="shared" si="2"/>
        <v>Vendor</v>
      </c>
      <c r="H14" s="55">
        <v>10</v>
      </c>
      <c r="I14" s="55">
        <v>10</v>
      </c>
      <c r="J14" s="55">
        <v>10</v>
      </c>
      <c r="K14" s="55">
        <v>10</v>
      </c>
      <c r="L14" s="32">
        <f>SUM(H14:K14)</f>
        <v>40</v>
      </c>
      <c r="M14" s="32">
        <v>1880</v>
      </c>
      <c r="N14" s="33">
        <f t="shared" ref="N14:N16" si="3">L14/M14</f>
        <v>2.1276595744680851E-2</v>
      </c>
    </row>
    <row r="15" spans="2:14" x14ac:dyDescent="0.25">
      <c r="B15" s="51" t="s">
        <v>6</v>
      </c>
      <c r="C15" s="52" t="s">
        <v>7</v>
      </c>
      <c r="D15" s="53" t="s">
        <v>30</v>
      </c>
      <c r="E15" s="53" t="str">
        <f t="shared" si="2"/>
        <v>Sr. Health Informatics Developer</v>
      </c>
      <c r="F15" s="54" t="str">
        <f t="shared" si="2"/>
        <v>Subcontractor</v>
      </c>
      <c r="G15" s="54" t="str">
        <f t="shared" si="2"/>
        <v>Sub</v>
      </c>
      <c r="H15" s="55">
        <v>10</v>
      </c>
      <c r="I15" s="55">
        <v>10</v>
      </c>
      <c r="J15" s="55">
        <v>10</v>
      </c>
      <c r="K15" s="55">
        <v>10</v>
      </c>
      <c r="L15" s="32">
        <f>SUM(H15:K15)</f>
        <v>40</v>
      </c>
      <c r="M15" s="32">
        <v>1880</v>
      </c>
      <c r="N15" s="33">
        <f t="shared" si="3"/>
        <v>2.1276595744680851E-2</v>
      </c>
    </row>
    <row r="16" spans="2:14" x14ac:dyDescent="0.25">
      <c r="B16" s="51" t="s">
        <v>6</v>
      </c>
      <c r="C16" s="52" t="s">
        <v>7</v>
      </c>
      <c r="D16" s="53" t="s">
        <v>31</v>
      </c>
      <c r="E16" s="53" t="str">
        <f t="shared" si="2"/>
        <v>Subject Matter Expert</v>
      </c>
      <c r="F16" s="54" t="str">
        <f t="shared" si="2"/>
        <v>Prime</v>
      </c>
      <c r="G16" s="54" t="str">
        <f t="shared" si="2"/>
        <v>Vendor</v>
      </c>
      <c r="H16" s="55">
        <v>10</v>
      </c>
      <c r="I16" s="55">
        <v>10</v>
      </c>
      <c r="J16" s="55">
        <v>10</v>
      </c>
      <c r="K16" s="55">
        <v>10</v>
      </c>
      <c r="L16" s="32">
        <f>SUM(H16:K16)</f>
        <v>40</v>
      </c>
      <c r="M16" s="32">
        <v>1880</v>
      </c>
      <c r="N16" s="33">
        <f t="shared" si="3"/>
        <v>2.1276595744680851E-2</v>
      </c>
    </row>
    <row r="17" spans="2:14" ht="5.0999999999999996" customHeight="1" x14ac:dyDescent="0.25">
      <c r="B17" s="51"/>
      <c r="C17" s="51"/>
      <c r="D17" s="53"/>
      <c r="E17" s="53"/>
      <c r="F17" s="54"/>
      <c r="G17" s="54"/>
      <c r="H17" s="56"/>
      <c r="I17" s="56"/>
      <c r="J17" s="56"/>
      <c r="K17" s="56"/>
      <c r="L17" s="57"/>
      <c r="M17" s="57"/>
      <c r="N17" s="58"/>
    </row>
    <row r="18" spans="2:14" x14ac:dyDescent="0.25">
      <c r="B18" s="59" t="str">
        <f>"Total Hours "&amp;" "&amp;B13</f>
        <v>Total Hours  Option Year 1</v>
      </c>
      <c r="C18" s="59"/>
      <c r="D18" s="60"/>
      <c r="E18" s="60"/>
      <c r="F18" s="61"/>
      <c r="G18" s="61"/>
      <c r="H18" s="62">
        <f t="shared" ref="H18:L18" si="4">SUM(H13:H17)</f>
        <v>40</v>
      </c>
      <c r="I18" s="62">
        <f t="shared" si="4"/>
        <v>40</v>
      </c>
      <c r="J18" s="62">
        <f t="shared" si="4"/>
        <v>40</v>
      </c>
      <c r="K18" s="62">
        <f t="shared" si="4"/>
        <v>40</v>
      </c>
      <c r="L18" s="62">
        <f t="shared" si="4"/>
        <v>160</v>
      </c>
      <c r="M18" s="62"/>
      <c r="N18" s="63">
        <f>SUM(N13:N17)</f>
        <v>8.5106382978723402E-2</v>
      </c>
    </row>
    <row r="19" spans="2:14" ht="5.0999999999999996" customHeight="1" x14ac:dyDescent="0.25">
      <c r="B19" s="51"/>
      <c r="C19" s="51"/>
      <c r="D19" s="53"/>
      <c r="E19" s="53"/>
      <c r="F19" s="54"/>
      <c r="G19" s="54"/>
      <c r="H19" s="56"/>
      <c r="I19" s="56"/>
      <c r="J19" s="56"/>
      <c r="K19" s="56"/>
      <c r="L19" s="57"/>
      <c r="M19" s="57"/>
      <c r="N19" s="58"/>
    </row>
    <row r="20" spans="2:14" x14ac:dyDescent="0.25">
      <c r="B20" s="51" t="s">
        <v>8</v>
      </c>
      <c r="C20" s="52" t="s">
        <v>9</v>
      </c>
      <c r="D20" s="53" t="str">
        <f t="shared" ref="D20:G23" si="5">D13</f>
        <v>Lead Statistician</v>
      </c>
      <c r="E20" s="53" t="str">
        <f t="shared" si="5"/>
        <v>Sr. Health Data Scientist</v>
      </c>
      <c r="F20" s="54" t="str">
        <f t="shared" si="5"/>
        <v>Prime</v>
      </c>
      <c r="G20" s="54" t="str">
        <f t="shared" si="5"/>
        <v>Vendor</v>
      </c>
      <c r="H20" s="55">
        <v>10</v>
      </c>
      <c r="I20" s="55">
        <v>10</v>
      </c>
      <c r="J20" s="55">
        <v>10</v>
      </c>
      <c r="K20" s="55">
        <v>10</v>
      </c>
      <c r="L20" s="32">
        <f>SUM(H20:K20)</f>
        <v>40</v>
      </c>
      <c r="M20" s="32">
        <v>1880</v>
      </c>
      <c r="N20" s="33">
        <f>L20/M20</f>
        <v>2.1276595744680851E-2</v>
      </c>
    </row>
    <row r="21" spans="2:14" x14ac:dyDescent="0.25">
      <c r="B21" s="51" t="s">
        <v>8</v>
      </c>
      <c r="C21" s="52" t="s">
        <v>9</v>
      </c>
      <c r="D21" s="53" t="str">
        <f t="shared" si="5"/>
        <v>Data Analyst</v>
      </c>
      <c r="E21" s="53" t="str">
        <f t="shared" si="5"/>
        <v>Sr. Health Research Analyst</v>
      </c>
      <c r="F21" s="54" t="str">
        <f t="shared" si="5"/>
        <v>Prime</v>
      </c>
      <c r="G21" s="54" t="str">
        <f t="shared" si="5"/>
        <v>Vendor</v>
      </c>
      <c r="H21" s="55">
        <v>10</v>
      </c>
      <c r="I21" s="55">
        <v>10</v>
      </c>
      <c r="J21" s="55">
        <v>10</v>
      </c>
      <c r="K21" s="55">
        <v>10</v>
      </c>
      <c r="L21" s="32">
        <f>SUM(H21:K21)</f>
        <v>40</v>
      </c>
      <c r="M21" s="32">
        <v>1880</v>
      </c>
      <c r="N21" s="33">
        <f t="shared" ref="N21:N23" si="6">L21/M21</f>
        <v>2.1276595744680851E-2</v>
      </c>
    </row>
    <row r="22" spans="2:14" x14ac:dyDescent="0.25">
      <c r="B22" s="51" t="s">
        <v>8</v>
      </c>
      <c r="C22" s="52" t="s">
        <v>9</v>
      </c>
      <c r="D22" s="53" t="str">
        <f t="shared" si="5"/>
        <v>Senior Developer</v>
      </c>
      <c r="E22" s="53" t="str">
        <f t="shared" si="5"/>
        <v>Sr. Health Informatics Developer</v>
      </c>
      <c r="F22" s="54" t="str">
        <f t="shared" si="5"/>
        <v>Subcontractor</v>
      </c>
      <c r="G22" s="54" t="str">
        <f t="shared" si="5"/>
        <v>Sub</v>
      </c>
      <c r="H22" s="55">
        <v>10</v>
      </c>
      <c r="I22" s="55">
        <v>10</v>
      </c>
      <c r="J22" s="55">
        <v>10</v>
      </c>
      <c r="K22" s="55">
        <v>10</v>
      </c>
      <c r="L22" s="32">
        <f>SUM(H22:K22)</f>
        <v>40</v>
      </c>
      <c r="M22" s="32">
        <v>1880</v>
      </c>
      <c r="N22" s="33">
        <f t="shared" si="6"/>
        <v>2.1276595744680851E-2</v>
      </c>
    </row>
    <row r="23" spans="2:14" x14ac:dyDescent="0.25">
      <c r="B23" s="51" t="s">
        <v>8</v>
      </c>
      <c r="C23" s="52" t="s">
        <v>9</v>
      </c>
      <c r="D23" s="53" t="str">
        <f t="shared" si="5"/>
        <v>Project Manager</v>
      </c>
      <c r="E23" s="53" t="str">
        <f t="shared" si="5"/>
        <v>Subject Matter Expert</v>
      </c>
      <c r="F23" s="54" t="str">
        <f t="shared" si="5"/>
        <v>Prime</v>
      </c>
      <c r="G23" s="54" t="str">
        <f t="shared" si="5"/>
        <v>Vendor</v>
      </c>
      <c r="H23" s="55">
        <v>10</v>
      </c>
      <c r="I23" s="55">
        <v>10</v>
      </c>
      <c r="J23" s="55">
        <v>10</v>
      </c>
      <c r="K23" s="55">
        <v>10</v>
      </c>
      <c r="L23" s="32">
        <f>SUM(H23:K23)</f>
        <v>40</v>
      </c>
      <c r="M23" s="32">
        <v>1880</v>
      </c>
      <c r="N23" s="33">
        <f t="shared" si="6"/>
        <v>2.1276595744680851E-2</v>
      </c>
    </row>
    <row r="24" spans="2:14" ht="5.0999999999999996" customHeight="1" x14ac:dyDescent="0.25">
      <c r="B24" s="51"/>
      <c r="C24" s="51"/>
      <c r="D24" s="53"/>
      <c r="E24" s="53"/>
      <c r="F24" s="54"/>
      <c r="G24" s="54"/>
      <c r="H24" s="56"/>
      <c r="I24" s="56"/>
      <c r="J24" s="56"/>
      <c r="K24" s="56"/>
      <c r="L24" s="57"/>
      <c r="M24" s="57"/>
      <c r="N24" s="58"/>
    </row>
    <row r="25" spans="2:14" x14ac:dyDescent="0.25">
      <c r="B25" s="59" t="str">
        <f>"Total Hours "&amp;" "&amp;B20</f>
        <v>Total Hours  Option Year 2</v>
      </c>
      <c r="C25" s="59"/>
      <c r="D25" s="60"/>
      <c r="E25" s="60"/>
      <c r="F25" s="61"/>
      <c r="G25" s="61"/>
      <c r="H25" s="62">
        <f t="shared" ref="H25:L25" si="7">SUM(H20:H24)</f>
        <v>40</v>
      </c>
      <c r="I25" s="62">
        <f t="shared" si="7"/>
        <v>40</v>
      </c>
      <c r="J25" s="62">
        <f t="shared" si="7"/>
        <v>40</v>
      </c>
      <c r="K25" s="62">
        <f t="shared" si="7"/>
        <v>40</v>
      </c>
      <c r="L25" s="62">
        <f t="shared" si="7"/>
        <v>160</v>
      </c>
      <c r="M25" s="62"/>
      <c r="N25" s="63">
        <f>SUM(N20:N24)</f>
        <v>8.5106382978723402E-2</v>
      </c>
    </row>
    <row r="26" spans="2:14" ht="5.0999999999999996" customHeight="1" x14ac:dyDescent="0.25">
      <c r="B26" s="51"/>
      <c r="C26" s="51"/>
      <c r="D26" s="53"/>
      <c r="E26" s="53"/>
      <c r="F26" s="54"/>
      <c r="G26" s="54"/>
      <c r="H26" s="56"/>
      <c r="I26" s="56"/>
      <c r="J26" s="56"/>
      <c r="K26" s="56"/>
      <c r="L26" s="57"/>
      <c r="M26" s="57"/>
      <c r="N26" s="58"/>
    </row>
    <row r="27" spans="2:14" x14ac:dyDescent="0.25">
      <c r="B27" s="51" t="s">
        <v>10</v>
      </c>
      <c r="C27" s="52" t="s">
        <v>11</v>
      </c>
      <c r="D27" s="53" t="str">
        <f>D20</f>
        <v>Lead Statistician</v>
      </c>
      <c r="E27" s="53" t="str">
        <f>E20</f>
        <v>Sr. Health Data Scientist</v>
      </c>
      <c r="F27" s="54" t="str">
        <f>F20</f>
        <v>Prime</v>
      </c>
      <c r="G27" s="54" t="str">
        <f>G20</f>
        <v>Vendor</v>
      </c>
      <c r="H27" s="55">
        <v>10</v>
      </c>
      <c r="I27" s="55">
        <v>10</v>
      </c>
      <c r="J27" s="55">
        <v>10</v>
      </c>
      <c r="K27" s="55">
        <v>10</v>
      </c>
      <c r="L27" s="32">
        <f>SUM(H27:K27)</f>
        <v>40</v>
      </c>
      <c r="M27" s="32">
        <v>1880</v>
      </c>
      <c r="N27" s="33">
        <f>L27/M27</f>
        <v>2.1276595744680851E-2</v>
      </c>
    </row>
    <row r="28" spans="2:14" x14ac:dyDescent="0.25">
      <c r="B28" s="51" t="s">
        <v>10</v>
      </c>
      <c r="C28" s="52" t="s">
        <v>11</v>
      </c>
      <c r="D28" s="53" t="str">
        <f t="shared" ref="D28:G30" si="8">D21</f>
        <v>Data Analyst</v>
      </c>
      <c r="E28" s="53" t="str">
        <f t="shared" si="8"/>
        <v>Sr. Health Research Analyst</v>
      </c>
      <c r="F28" s="54" t="str">
        <f t="shared" si="8"/>
        <v>Prime</v>
      </c>
      <c r="G28" s="54" t="str">
        <f t="shared" si="8"/>
        <v>Vendor</v>
      </c>
      <c r="H28" s="55">
        <v>10</v>
      </c>
      <c r="I28" s="55">
        <v>10</v>
      </c>
      <c r="J28" s="55">
        <v>10</v>
      </c>
      <c r="K28" s="55">
        <v>10</v>
      </c>
      <c r="L28" s="32">
        <f>SUM(H28:K28)</f>
        <v>40</v>
      </c>
      <c r="M28" s="32">
        <v>1880</v>
      </c>
      <c r="N28" s="33">
        <f t="shared" ref="N28:N30" si="9">L28/M28</f>
        <v>2.1276595744680851E-2</v>
      </c>
    </row>
    <row r="29" spans="2:14" x14ac:dyDescent="0.25">
      <c r="B29" s="51" t="s">
        <v>10</v>
      </c>
      <c r="C29" s="52" t="s">
        <v>11</v>
      </c>
      <c r="D29" s="53" t="str">
        <f t="shared" si="8"/>
        <v>Senior Developer</v>
      </c>
      <c r="E29" s="53" t="str">
        <f t="shared" si="8"/>
        <v>Sr. Health Informatics Developer</v>
      </c>
      <c r="F29" s="54" t="str">
        <f t="shared" si="8"/>
        <v>Subcontractor</v>
      </c>
      <c r="G29" s="54" t="str">
        <f t="shared" si="8"/>
        <v>Sub</v>
      </c>
      <c r="H29" s="55">
        <v>10</v>
      </c>
      <c r="I29" s="55">
        <v>10</v>
      </c>
      <c r="J29" s="55">
        <v>10</v>
      </c>
      <c r="K29" s="55">
        <v>10</v>
      </c>
      <c r="L29" s="32">
        <f>SUM(H29:K29)</f>
        <v>40</v>
      </c>
      <c r="M29" s="32">
        <v>1880</v>
      </c>
      <c r="N29" s="33">
        <f t="shared" si="9"/>
        <v>2.1276595744680851E-2</v>
      </c>
    </row>
    <row r="30" spans="2:14" x14ac:dyDescent="0.25">
      <c r="B30" s="51" t="s">
        <v>10</v>
      </c>
      <c r="C30" s="52" t="s">
        <v>11</v>
      </c>
      <c r="D30" s="53" t="str">
        <f t="shared" si="8"/>
        <v>Project Manager</v>
      </c>
      <c r="E30" s="53" t="str">
        <f t="shared" si="8"/>
        <v>Subject Matter Expert</v>
      </c>
      <c r="F30" s="54" t="str">
        <f t="shared" si="8"/>
        <v>Prime</v>
      </c>
      <c r="G30" s="54" t="str">
        <f t="shared" si="8"/>
        <v>Vendor</v>
      </c>
      <c r="H30" s="55">
        <v>10</v>
      </c>
      <c r="I30" s="55">
        <v>10</v>
      </c>
      <c r="J30" s="55">
        <v>10</v>
      </c>
      <c r="K30" s="55">
        <v>10</v>
      </c>
      <c r="L30" s="32">
        <f>SUM(H30:K30)</f>
        <v>40</v>
      </c>
      <c r="M30" s="32">
        <v>1880</v>
      </c>
      <c r="N30" s="33">
        <f t="shared" si="9"/>
        <v>2.1276595744680851E-2</v>
      </c>
    </row>
    <row r="31" spans="2:14" ht="5.0999999999999996" customHeight="1" x14ac:dyDescent="0.25">
      <c r="B31" s="51"/>
      <c r="C31" s="51"/>
      <c r="D31" s="53"/>
      <c r="E31" s="53"/>
      <c r="F31" s="54"/>
      <c r="G31" s="54"/>
      <c r="H31" s="56"/>
      <c r="I31" s="56"/>
      <c r="J31" s="56"/>
      <c r="K31" s="56"/>
      <c r="L31" s="57"/>
      <c r="M31" s="57"/>
      <c r="N31" s="58"/>
    </row>
    <row r="32" spans="2:14" x14ac:dyDescent="0.25">
      <c r="B32" s="59" t="str">
        <f>"Total Hours "&amp;" "&amp;B27</f>
        <v>Total Hours  Option Year 3</v>
      </c>
      <c r="C32" s="59"/>
      <c r="D32" s="60"/>
      <c r="E32" s="60"/>
      <c r="F32" s="61"/>
      <c r="G32" s="61"/>
      <c r="H32" s="62">
        <f t="shared" ref="H32:L32" si="10">SUM(H27:H31)</f>
        <v>40</v>
      </c>
      <c r="I32" s="62">
        <f t="shared" si="10"/>
        <v>40</v>
      </c>
      <c r="J32" s="62">
        <f t="shared" si="10"/>
        <v>40</v>
      </c>
      <c r="K32" s="62">
        <f t="shared" si="10"/>
        <v>40</v>
      </c>
      <c r="L32" s="62">
        <f t="shared" si="10"/>
        <v>160</v>
      </c>
      <c r="M32" s="62"/>
      <c r="N32" s="63">
        <f>SUM(N27:N31)</f>
        <v>8.5106382978723402E-2</v>
      </c>
    </row>
    <row r="33" spans="2:14" ht="5.0999999999999996" customHeight="1" x14ac:dyDescent="0.25">
      <c r="B33" s="51"/>
      <c r="C33" s="51"/>
      <c r="D33" s="53"/>
      <c r="E33" s="53"/>
      <c r="F33" s="54"/>
      <c r="G33" s="54"/>
      <c r="H33" s="56"/>
      <c r="I33" s="56"/>
      <c r="J33" s="56"/>
      <c r="K33" s="56"/>
      <c r="L33" s="57"/>
      <c r="M33" s="57"/>
      <c r="N33" s="58"/>
    </row>
    <row r="34" spans="2:14" x14ac:dyDescent="0.25">
      <c r="B34" s="51" t="s">
        <v>12</v>
      </c>
      <c r="C34" s="52" t="s">
        <v>13</v>
      </c>
      <c r="D34" s="53" t="str">
        <f>D27</f>
        <v>Lead Statistician</v>
      </c>
      <c r="E34" s="53" t="str">
        <f>E27</f>
        <v>Sr. Health Data Scientist</v>
      </c>
      <c r="F34" s="54" t="str">
        <f>F27</f>
        <v>Prime</v>
      </c>
      <c r="G34" s="54" t="str">
        <f>G27</f>
        <v>Vendor</v>
      </c>
      <c r="H34" s="55">
        <v>10</v>
      </c>
      <c r="I34" s="55">
        <v>10</v>
      </c>
      <c r="J34" s="55">
        <v>10</v>
      </c>
      <c r="K34" s="55">
        <v>10</v>
      </c>
      <c r="L34" s="32">
        <f>SUM(H34:K34)</f>
        <v>40</v>
      </c>
      <c r="M34" s="32">
        <v>1880</v>
      </c>
      <c r="N34" s="33">
        <f>L34/M34</f>
        <v>2.1276595744680851E-2</v>
      </c>
    </row>
    <row r="35" spans="2:14" x14ac:dyDescent="0.25">
      <c r="B35" s="51" t="s">
        <v>12</v>
      </c>
      <c r="C35" s="52" t="s">
        <v>13</v>
      </c>
      <c r="D35" s="53" t="str">
        <f t="shared" ref="D35:D37" si="11">D28</f>
        <v>Data Analyst</v>
      </c>
      <c r="E35" s="53" t="str">
        <f>E28</f>
        <v>Sr. Health Research Analyst</v>
      </c>
      <c r="F35" s="54" t="str">
        <f t="shared" ref="F35:G37" si="12">F28</f>
        <v>Prime</v>
      </c>
      <c r="G35" s="54" t="str">
        <f t="shared" si="12"/>
        <v>Vendor</v>
      </c>
      <c r="H35" s="55">
        <v>10</v>
      </c>
      <c r="I35" s="55">
        <v>10</v>
      </c>
      <c r="J35" s="55">
        <v>10</v>
      </c>
      <c r="K35" s="55">
        <v>10</v>
      </c>
      <c r="L35" s="32">
        <f>SUM(H35:K35)</f>
        <v>40</v>
      </c>
      <c r="M35" s="32">
        <v>1880</v>
      </c>
      <c r="N35" s="33">
        <f t="shared" ref="N35:N37" si="13">L35/M35</f>
        <v>2.1276595744680851E-2</v>
      </c>
    </row>
    <row r="36" spans="2:14" x14ac:dyDescent="0.25">
      <c r="B36" s="51" t="s">
        <v>12</v>
      </c>
      <c r="C36" s="52" t="s">
        <v>13</v>
      </c>
      <c r="D36" s="53" t="str">
        <f t="shared" si="11"/>
        <v>Senior Developer</v>
      </c>
      <c r="E36" s="53" t="str">
        <f>E29</f>
        <v>Sr. Health Informatics Developer</v>
      </c>
      <c r="F36" s="54" t="str">
        <f t="shared" si="12"/>
        <v>Subcontractor</v>
      </c>
      <c r="G36" s="54" t="str">
        <f t="shared" si="12"/>
        <v>Sub</v>
      </c>
      <c r="H36" s="55">
        <v>10</v>
      </c>
      <c r="I36" s="55">
        <v>10</v>
      </c>
      <c r="J36" s="55">
        <v>10</v>
      </c>
      <c r="K36" s="55">
        <v>10</v>
      </c>
      <c r="L36" s="32">
        <f>SUM(H36:K36)</f>
        <v>40</v>
      </c>
      <c r="M36" s="32">
        <v>1880</v>
      </c>
      <c r="N36" s="33">
        <f t="shared" si="13"/>
        <v>2.1276595744680851E-2</v>
      </c>
    </row>
    <row r="37" spans="2:14" x14ac:dyDescent="0.25">
      <c r="B37" s="51" t="s">
        <v>12</v>
      </c>
      <c r="C37" s="52" t="s">
        <v>13</v>
      </c>
      <c r="D37" s="53" t="str">
        <f t="shared" si="11"/>
        <v>Project Manager</v>
      </c>
      <c r="E37" s="53" t="str">
        <f>E30</f>
        <v>Subject Matter Expert</v>
      </c>
      <c r="F37" s="54" t="str">
        <f t="shared" si="12"/>
        <v>Prime</v>
      </c>
      <c r="G37" s="54" t="str">
        <f t="shared" si="12"/>
        <v>Vendor</v>
      </c>
      <c r="H37" s="55">
        <v>10</v>
      </c>
      <c r="I37" s="55">
        <v>10</v>
      </c>
      <c r="J37" s="55">
        <v>10</v>
      </c>
      <c r="K37" s="55">
        <v>10</v>
      </c>
      <c r="L37" s="32">
        <f>SUM(H37:K37)</f>
        <v>40</v>
      </c>
      <c r="M37" s="32">
        <v>1880</v>
      </c>
      <c r="N37" s="33">
        <f t="shared" si="13"/>
        <v>2.1276595744680851E-2</v>
      </c>
    </row>
    <row r="38" spans="2:14" ht="5.0999999999999996" customHeight="1" x14ac:dyDescent="0.25">
      <c r="B38" s="51"/>
      <c r="C38" s="51"/>
      <c r="D38" s="53"/>
      <c r="E38" s="53"/>
      <c r="F38" s="54"/>
      <c r="G38" s="54"/>
      <c r="H38" s="56"/>
      <c r="I38" s="56"/>
      <c r="J38" s="56"/>
      <c r="K38" s="56"/>
      <c r="L38" s="57"/>
      <c r="M38" s="57"/>
      <c r="N38" s="58"/>
    </row>
    <row r="39" spans="2:14" x14ac:dyDescent="0.25">
      <c r="B39" s="59" t="str">
        <f>"Total Hours "&amp;" "&amp;B34</f>
        <v>Total Hours  Option Year 4</v>
      </c>
      <c r="C39" s="59"/>
      <c r="D39" s="60"/>
      <c r="E39" s="60"/>
      <c r="F39" s="61"/>
      <c r="G39" s="61"/>
      <c r="H39" s="62">
        <f t="shared" ref="H39:L39" si="14">SUM(H34:H38)</f>
        <v>40</v>
      </c>
      <c r="I39" s="62">
        <f t="shared" si="14"/>
        <v>40</v>
      </c>
      <c r="J39" s="62">
        <f t="shared" si="14"/>
        <v>40</v>
      </c>
      <c r="K39" s="62">
        <f t="shared" si="14"/>
        <v>40</v>
      </c>
      <c r="L39" s="62">
        <f t="shared" si="14"/>
        <v>160</v>
      </c>
      <c r="M39" s="62"/>
      <c r="N39" s="63">
        <f>SUM(N34:N38)</f>
        <v>8.5106382978723402E-2</v>
      </c>
    </row>
    <row r="40" spans="2:14" x14ac:dyDescent="0.25">
      <c r="B40" s="64"/>
      <c r="C40" s="64"/>
      <c r="D40" s="65"/>
      <c r="E40" s="65"/>
      <c r="F40" s="64"/>
      <c r="G40" s="64"/>
      <c r="H40" s="64"/>
      <c r="I40" s="64"/>
      <c r="J40" s="64"/>
      <c r="K40" s="64"/>
      <c r="L40" s="64"/>
      <c r="M40" s="64"/>
      <c r="N40" s="64"/>
    </row>
    <row r="41" spans="2:14" x14ac:dyDescent="0.25">
      <c r="B41" s="59" t="s">
        <v>23</v>
      </c>
      <c r="C41" s="59"/>
      <c r="D41" s="60"/>
      <c r="E41" s="60"/>
      <c r="F41" s="61"/>
      <c r="G41" s="61"/>
      <c r="H41" s="62">
        <f>H11+H18+H25+H32+H39</f>
        <v>200</v>
      </c>
      <c r="I41" s="62">
        <f>I11+I18+I25+I32+I39</f>
        <v>200</v>
      </c>
      <c r="J41" s="62">
        <f>J11+J18+J25+J32+J39</f>
        <v>200</v>
      </c>
      <c r="K41" s="62">
        <f>K11+K18+K25+K32+K39</f>
        <v>200</v>
      </c>
      <c r="L41" s="62">
        <f>L11+L18+L25+L32+L39</f>
        <v>800</v>
      </c>
      <c r="M41" s="62"/>
      <c r="N41" s="63"/>
    </row>
  </sheetData>
  <pageMargins left="1" right="1" top="1" bottom="1" header="0.5" footer="0.5"/>
  <pageSetup orientation="landscape" r:id="rId1"/>
  <headerFooter>
    <oddFooter>&amp;L&amp;"Arial Narrow,Italic"&amp;10Use or disclosure of data contained on this page is subject to the restriction on the cover sheet of this proposal or quotation.&amp;R
&amp;P of &amp;N</oddFooter>
  </headerFooter>
  <rowBreaks count="1" manualBreakCount="1">
    <brk id="25" min="1" max="1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C50F-DF98-4600-A987-944A3DC1E7ED}">
  <sheetPr>
    <tabColor theme="4" tint="0.59999389629810485"/>
  </sheetPr>
  <dimension ref="B1:H24"/>
  <sheetViews>
    <sheetView topLeftCell="A7" zoomScaleNormal="100" zoomScaleSheetLayoutView="110" workbookViewId="0">
      <selection activeCell="G23" sqref="G23:G24"/>
    </sheetView>
  </sheetViews>
  <sheetFormatPr defaultColWidth="9.125" defaultRowHeight="15.75" x14ac:dyDescent="0.25"/>
  <cols>
    <col min="1" max="1" width="4.625" customWidth="1"/>
    <col min="3" max="3" width="26.5" bestFit="1" customWidth="1"/>
    <col min="4" max="8" width="12.625" customWidth="1"/>
  </cols>
  <sheetData>
    <row r="1" spans="2:8" x14ac:dyDescent="0.25">
      <c r="B1" s="14" t="s">
        <v>57</v>
      </c>
    </row>
    <row r="2" spans="2:8" x14ac:dyDescent="0.25">
      <c r="B2" s="14" t="s">
        <v>0</v>
      </c>
    </row>
    <row r="3" spans="2:8" x14ac:dyDescent="0.25">
      <c r="B3" s="1" t="str" cm="1">
        <f t="array" aca="1" ref="B3" ca="1">MID(CELL("filename",A2),FIND("]",CELL("filename",A2))+1,256)</f>
        <v>Vendor GSA MAS 541611 Rates</v>
      </c>
    </row>
    <row r="4" spans="2:8" ht="16.5" thickBot="1" x14ac:dyDescent="0.3">
      <c r="B4" s="1"/>
    </row>
    <row r="5" spans="2:8" x14ac:dyDescent="0.25">
      <c r="B5" s="1"/>
      <c r="D5" s="72">
        <v>43525</v>
      </c>
      <c r="E5" s="72">
        <f>D7+1</f>
        <v>43891</v>
      </c>
      <c r="F5" s="72">
        <f>E7+1</f>
        <v>44256</v>
      </c>
      <c r="G5" s="72">
        <f>F7+1</f>
        <v>44621</v>
      </c>
      <c r="H5" s="72">
        <f>G7+1</f>
        <v>44986</v>
      </c>
    </row>
    <row r="6" spans="2:8" x14ac:dyDescent="0.25">
      <c r="B6" s="1"/>
      <c r="D6" s="73" t="s">
        <v>56</v>
      </c>
      <c r="E6" s="73" t="s">
        <v>56</v>
      </c>
      <c r="F6" s="73" t="s">
        <v>56</v>
      </c>
      <c r="G6" s="73" t="s">
        <v>56</v>
      </c>
      <c r="H6" s="74" t="s">
        <v>56</v>
      </c>
    </row>
    <row r="7" spans="2:8" ht="16.5" thickBot="1" x14ac:dyDescent="0.3">
      <c r="B7" s="1"/>
      <c r="D7" s="75">
        <f>D5+365</f>
        <v>43890</v>
      </c>
      <c r="E7" s="75">
        <f>E5+364</f>
        <v>44255</v>
      </c>
      <c r="F7" s="75">
        <f>F5+364</f>
        <v>44620</v>
      </c>
      <c r="G7" s="75">
        <f>G5+364</f>
        <v>44985</v>
      </c>
      <c r="H7" s="75">
        <f t="shared" ref="H7" si="0">H5+365</f>
        <v>45351</v>
      </c>
    </row>
    <row r="8" spans="2:8" ht="16.5" thickBot="1" x14ac:dyDescent="0.3">
      <c r="B8" s="66" t="s">
        <v>40</v>
      </c>
      <c r="C8" s="67" t="s">
        <v>41</v>
      </c>
      <c r="D8" s="68" t="s">
        <v>42</v>
      </c>
      <c r="E8" s="68" t="s">
        <v>43</v>
      </c>
      <c r="F8" s="68" t="s">
        <v>44</v>
      </c>
      <c r="G8" s="68" t="s">
        <v>45</v>
      </c>
      <c r="H8" s="68" t="s">
        <v>46</v>
      </c>
    </row>
    <row r="9" spans="2:8" x14ac:dyDescent="0.25">
      <c r="B9" s="69">
        <v>541611</v>
      </c>
      <c r="C9" s="78" t="s">
        <v>47</v>
      </c>
      <c r="D9" s="76">
        <v>10</v>
      </c>
      <c r="E9" s="76">
        <v>11</v>
      </c>
      <c r="F9" s="80">
        <v>12</v>
      </c>
      <c r="G9" s="76">
        <v>13</v>
      </c>
      <c r="H9" s="76">
        <v>14</v>
      </c>
    </row>
    <row r="10" spans="2:8" ht="16.5" thickBot="1" x14ac:dyDescent="0.3">
      <c r="B10" s="70" t="s">
        <v>48</v>
      </c>
      <c r="C10" s="79"/>
      <c r="D10" s="77"/>
      <c r="E10" s="77"/>
      <c r="F10" s="81"/>
      <c r="G10" s="77"/>
      <c r="H10" s="77"/>
    </row>
    <row r="11" spans="2:8" x14ac:dyDescent="0.25">
      <c r="B11" s="71">
        <v>541611</v>
      </c>
      <c r="C11" s="78" t="s">
        <v>49</v>
      </c>
      <c r="D11" s="76">
        <v>13</v>
      </c>
      <c r="E11" s="76">
        <v>14</v>
      </c>
      <c r="F11" s="80">
        <v>15</v>
      </c>
      <c r="G11" s="76">
        <v>16</v>
      </c>
      <c r="H11" s="76">
        <v>17</v>
      </c>
    </row>
    <row r="12" spans="2:8" ht="16.5" thickBot="1" x14ac:dyDescent="0.3">
      <c r="B12" s="70" t="s">
        <v>48</v>
      </c>
      <c r="C12" s="79"/>
      <c r="D12" s="77"/>
      <c r="E12" s="77"/>
      <c r="F12" s="81"/>
      <c r="G12" s="77"/>
      <c r="H12" s="77"/>
    </row>
    <row r="13" spans="2:8" x14ac:dyDescent="0.25">
      <c r="B13" s="71">
        <v>541611</v>
      </c>
      <c r="C13" s="78" t="s">
        <v>50</v>
      </c>
      <c r="D13" s="76">
        <v>10</v>
      </c>
      <c r="E13" s="76">
        <v>11</v>
      </c>
      <c r="F13" s="80">
        <v>12</v>
      </c>
      <c r="G13" s="76">
        <v>13</v>
      </c>
      <c r="H13" s="76">
        <v>14</v>
      </c>
    </row>
    <row r="14" spans="2:8" ht="16.5" thickBot="1" x14ac:dyDescent="0.3">
      <c r="B14" s="70" t="s">
        <v>48</v>
      </c>
      <c r="C14" s="79"/>
      <c r="D14" s="77"/>
      <c r="E14" s="77"/>
      <c r="F14" s="81"/>
      <c r="G14" s="77"/>
      <c r="H14" s="77"/>
    </row>
    <row r="15" spans="2:8" x14ac:dyDescent="0.25">
      <c r="B15" s="71">
        <v>541611</v>
      </c>
      <c r="C15" s="78" t="s">
        <v>51</v>
      </c>
      <c r="D15" s="76">
        <v>12</v>
      </c>
      <c r="E15" s="76">
        <v>13</v>
      </c>
      <c r="F15" s="80">
        <v>14</v>
      </c>
      <c r="G15" s="76">
        <v>15</v>
      </c>
      <c r="H15" s="76">
        <v>16</v>
      </c>
    </row>
    <row r="16" spans="2:8" ht="16.5" thickBot="1" x14ac:dyDescent="0.3">
      <c r="B16" s="70" t="s">
        <v>48</v>
      </c>
      <c r="C16" s="79"/>
      <c r="D16" s="77"/>
      <c r="E16" s="77"/>
      <c r="F16" s="81"/>
      <c r="G16" s="77"/>
      <c r="H16" s="77"/>
    </row>
    <row r="17" spans="2:8" x14ac:dyDescent="0.25">
      <c r="B17" s="71">
        <v>541611</v>
      </c>
      <c r="C17" s="78" t="s">
        <v>52</v>
      </c>
      <c r="D17" s="76">
        <v>10</v>
      </c>
      <c r="E17" s="76">
        <v>11</v>
      </c>
      <c r="F17" s="80">
        <v>12</v>
      </c>
      <c r="G17" s="76">
        <v>13</v>
      </c>
      <c r="H17" s="76">
        <v>14</v>
      </c>
    </row>
    <row r="18" spans="2:8" ht="16.5" thickBot="1" x14ac:dyDescent="0.3">
      <c r="B18" s="70" t="s">
        <v>48</v>
      </c>
      <c r="C18" s="79"/>
      <c r="D18" s="77"/>
      <c r="E18" s="77"/>
      <c r="F18" s="81"/>
      <c r="G18" s="77"/>
      <c r="H18" s="77"/>
    </row>
    <row r="19" spans="2:8" x14ac:dyDescent="0.25">
      <c r="B19" s="71">
        <v>541611</v>
      </c>
      <c r="C19" s="78" t="s">
        <v>53</v>
      </c>
      <c r="D19" s="76">
        <v>19</v>
      </c>
      <c r="E19" s="76">
        <v>20</v>
      </c>
      <c r="F19" s="80">
        <v>21</v>
      </c>
      <c r="G19" s="76">
        <v>22</v>
      </c>
      <c r="H19" s="76">
        <v>23</v>
      </c>
    </row>
    <row r="20" spans="2:8" ht="16.5" thickBot="1" x14ac:dyDescent="0.3">
      <c r="B20" s="70" t="s">
        <v>48</v>
      </c>
      <c r="C20" s="79"/>
      <c r="D20" s="77"/>
      <c r="E20" s="77"/>
      <c r="F20" s="81"/>
      <c r="G20" s="77"/>
      <c r="H20" s="77"/>
    </row>
    <row r="21" spans="2:8" x14ac:dyDescent="0.25">
      <c r="B21" s="71">
        <v>541611</v>
      </c>
      <c r="C21" s="78" t="s">
        <v>54</v>
      </c>
      <c r="D21" s="76">
        <v>10</v>
      </c>
      <c r="E21" s="76">
        <v>11</v>
      </c>
      <c r="F21" s="80">
        <v>12</v>
      </c>
      <c r="G21" s="76">
        <v>13</v>
      </c>
      <c r="H21" s="76">
        <v>14</v>
      </c>
    </row>
    <row r="22" spans="2:8" ht="16.5" thickBot="1" x14ac:dyDescent="0.3">
      <c r="B22" s="70" t="s">
        <v>48</v>
      </c>
      <c r="C22" s="79"/>
      <c r="D22" s="77"/>
      <c r="E22" s="77"/>
      <c r="F22" s="81"/>
      <c r="G22" s="77"/>
      <c r="H22" s="77"/>
    </row>
    <row r="23" spans="2:8" x14ac:dyDescent="0.25">
      <c r="B23" s="71">
        <v>541611</v>
      </c>
      <c r="C23" s="78" t="s">
        <v>55</v>
      </c>
      <c r="D23" s="76">
        <v>11</v>
      </c>
      <c r="E23" s="76">
        <v>12</v>
      </c>
      <c r="F23" s="80">
        <v>13</v>
      </c>
      <c r="G23" s="76">
        <v>14</v>
      </c>
      <c r="H23" s="76">
        <v>15</v>
      </c>
    </row>
    <row r="24" spans="2:8" ht="16.5" thickBot="1" x14ac:dyDescent="0.3">
      <c r="B24" s="70" t="s">
        <v>48</v>
      </c>
      <c r="C24" s="79"/>
      <c r="D24" s="77"/>
      <c r="E24" s="77"/>
      <c r="F24" s="81"/>
      <c r="G24" s="77"/>
      <c r="H24" s="77"/>
    </row>
  </sheetData>
  <mergeCells count="48">
    <mergeCell ref="H11:H12"/>
    <mergeCell ref="C9:C10"/>
    <mergeCell ref="D9:D10"/>
    <mergeCell ref="E9:E10"/>
    <mergeCell ref="F9:F10"/>
    <mergeCell ref="G9:G10"/>
    <mergeCell ref="H9:H10"/>
    <mergeCell ref="C11:C12"/>
    <mergeCell ref="D11:D12"/>
    <mergeCell ref="E11:E12"/>
    <mergeCell ref="F11:F12"/>
    <mergeCell ref="G11:G12"/>
    <mergeCell ref="H15:H16"/>
    <mergeCell ref="C13:C14"/>
    <mergeCell ref="D13:D14"/>
    <mergeCell ref="E13:E14"/>
    <mergeCell ref="F13:F14"/>
    <mergeCell ref="G13:G14"/>
    <mergeCell ref="H13:H14"/>
    <mergeCell ref="C15:C16"/>
    <mergeCell ref="D15:D16"/>
    <mergeCell ref="E15:E16"/>
    <mergeCell ref="F15:F16"/>
    <mergeCell ref="G15:G16"/>
    <mergeCell ref="H19:H20"/>
    <mergeCell ref="C17:C18"/>
    <mergeCell ref="D17:D18"/>
    <mergeCell ref="E17:E18"/>
    <mergeCell ref="F17:F18"/>
    <mergeCell ref="G17:G18"/>
    <mergeCell ref="H17:H18"/>
    <mergeCell ref="C19:C20"/>
    <mergeCell ref="D19:D20"/>
    <mergeCell ref="E19:E20"/>
    <mergeCell ref="F19:F20"/>
    <mergeCell ref="G19:G20"/>
    <mergeCell ref="H23:H24"/>
    <mergeCell ref="C21:C22"/>
    <mergeCell ref="D21:D22"/>
    <mergeCell ref="E21:E22"/>
    <mergeCell ref="F21:F22"/>
    <mergeCell ref="G21:G22"/>
    <mergeCell ref="H21:H22"/>
    <mergeCell ref="C23:C24"/>
    <mergeCell ref="D23:D24"/>
    <mergeCell ref="E23:E24"/>
    <mergeCell ref="F23:F24"/>
    <mergeCell ref="G23:G24"/>
  </mergeCells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COST SUMMARY</vt:lpstr>
      <vt:lpstr>Task 1</vt:lpstr>
      <vt:lpstr>Task 2</vt:lpstr>
      <vt:lpstr>Task 3</vt:lpstr>
      <vt:lpstr>Task 4</vt:lpstr>
      <vt:lpstr>Level of Effort</vt:lpstr>
      <vt:lpstr>Vendor GSA MAS 541611 Rates</vt:lpstr>
      <vt:lpstr>'COST SUMMARY'!Print_Area</vt:lpstr>
      <vt:lpstr>'Level of Effort'!Print_Area</vt:lpstr>
      <vt:lpstr>'Task 1'!Print_Area</vt:lpstr>
      <vt:lpstr>'Task 2'!Print_Area</vt:lpstr>
      <vt:lpstr>'Task 3'!Print_Area</vt:lpstr>
      <vt:lpstr>'Task 4'!Print_Area</vt:lpstr>
      <vt:lpstr>'Vendor GSA MAS 541611 Rates'!Print_Area</vt:lpstr>
      <vt:lpstr>'Level of Effort'!Print_Titles</vt:lpstr>
      <vt:lpstr>'Task 1'!Print_Titles</vt:lpstr>
      <vt:lpstr>'Task 2'!Print_Titles</vt:lpstr>
      <vt:lpstr>'Task 3'!Print_Titles</vt:lpstr>
      <vt:lpstr>'Task 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Levy, Marina (CMS/OIT)</cp:lastModifiedBy>
  <cp:lastPrinted>2021-04-23T18:38:04Z</cp:lastPrinted>
  <dcterms:created xsi:type="dcterms:W3CDTF">2021-04-22T15:47:01Z</dcterms:created>
  <dcterms:modified xsi:type="dcterms:W3CDTF">2024-07-01T13:25:16Z</dcterms:modified>
</cp:coreProperties>
</file>